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E:\王超岳\2021年\2021-1-0527宋庄\F01结果\"/>
    </mc:Choice>
  </mc:AlternateContent>
  <xr:revisionPtr revIDLastSave="0" documentId="13_ncr:1_{3AECD908-4BA0-4FEC-8C35-06EF5F2DBAE1}" xr6:coauthVersionLast="47" xr6:coauthVersionMax="47" xr10:uidLastSave="{00000000-0000-0000-0000-000000000000}"/>
  <bookViews>
    <workbookView xWindow="-120" yWindow="-120" windowWidth="19440" windowHeight="15000" tabRatio="875" firstSheet="18" activeTab="2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规划面积表预评用" sheetId="76" r:id="rId14"/>
    <sheet name="数据-取费表" sheetId="1" r:id="rId15"/>
    <sheet name="权属信息" sheetId="68" r:id="rId16"/>
    <sheet name="多规合一4、21、24、7" sheetId="70" r:id="rId17"/>
    <sheet name="规证1、10、18" sheetId="69" r:id="rId18"/>
    <sheet name="估价对象房地状况" sheetId="20" r:id="rId19"/>
    <sheet name="系统读取表" sheetId="66" r:id="rId20"/>
    <sheet name="结果表" sheetId="9" r:id="rId21"/>
    <sheet name="比较法-住宅、综合" sheetId="39" r:id="rId22"/>
    <sheet name="土地案例" sheetId="73" r:id="rId23"/>
    <sheet name="剩余法-待开发" sheetId="12" r:id="rId24"/>
    <sheet name="不动产比较法-住宅" sheetId="21" r:id="rId25"/>
    <sheet name="住宅及车库案例" sheetId="74" r:id="rId26"/>
    <sheet name="不动产比较法-车位" sheetId="35" r:id="rId27"/>
    <sheet name="不动产比较法-仓储" sheetId="36" r:id="rId28"/>
    <sheet name="地下仓储案例" sheetId="75" r:id="rId29"/>
    <sheet name="不动产收益法" sheetId="15" state="hidden" r:id="rId30"/>
    <sheet name="剩余法-现房" sheetId="43" state="hidden" r:id="rId31"/>
    <sheet name="比较法-工业" sheetId="40" state="hidden" r:id="rId32"/>
    <sheet name="基准地价（汇总）" sheetId="67" state="hidden" r:id="rId33"/>
    <sheet name="基准地价" sheetId="46" state="hidden" r:id="rId34"/>
    <sheet name="修正" sheetId="49" state="hidden" r:id="rId35"/>
    <sheet name="区片价" sheetId="48" state="hidden" r:id="rId36"/>
    <sheet name="容积率修正" sheetId="45" state="hidden" r:id="rId37"/>
    <sheet name="因素修正幅度" sheetId="56" state="hidden" r:id="rId38"/>
    <sheet name="地价" sheetId="59" state="hidden" r:id="rId39"/>
    <sheet name="收益还原法" sheetId="44" state="hidden" r:id="rId40"/>
    <sheet name="酒店收入计算" sheetId="57" state="hidden" r:id="rId41"/>
    <sheet name="成本逼近法" sheetId="11" state="hidden" r:id="rId42"/>
    <sheet name="不动产收益法 (车库)" sheetId="71" state="hidden" r:id="rId43"/>
    <sheet name="不动产比较法-商业" sheetId="33"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31" hidden="1">'比较法-工业'!$A$1:$L$45</definedName>
    <definedName name="_xlnm._FilterDatabase" localSheetId="21" hidden="1">'比较法-住宅、综合'!$A$1:$L$50</definedName>
    <definedName name="_xlnm._FilterDatabase" localSheetId="44" hidden="1">'不动产比较法-办公'!$A$1:$L$50</definedName>
    <definedName name="_xlnm._FilterDatabase" localSheetId="27" hidden="1">'不动产比较法-仓储'!$A$1:$L$37</definedName>
    <definedName name="_xlnm._FilterDatabase" localSheetId="2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2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'比较法-工业'!$A$1:$K$63,'比较法-工业'!$A$66:$N$123</definedName>
    <definedName name="_xlnm.Print_Area" localSheetId="21">'比较法-住宅、综合'!$A$1:$K$68,'比较法-住宅、综合'!$A$71:$N$134</definedName>
    <definedName name="_xlnm.Print_Area" localSheetId="44">'不动产比较法-办公'!$A$1:$K$55,'不动产比较法-办公'!$A$58:$M$132</definedName>
    <definedName name="_xlnm.Print_Area" localSheetId="27">'不动产比较法-仓储'!$A$1:$K$42,'不动产比较法-仓储'!$A$45:$M$96</definedName>
    <definedName name="_xlnm.Print_Area" localSheetId="2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24">'不动产比较法-住宅'!$A$1:$K$54,'不动产比较法-住宅'!$A$57:$M$131</definedName>
    <definedName name="_xlnm.Print_Area" localSheetId="29">不动产收益法!$A$1:$F$43,不动产收益法!$H$3:$M$29,不动产收益法!$A$46:$F$70,不动产收益法!$I$46:$M$60</definedName>
    <definedName name="_xlnm.Print_Area" localSheetId="42">'不动产收益法 (车库)'!$A$1:$F$43,'不动产收益法 (车库)'!$H$3:$M$29,'不动产收益法 (车库)'!$A$46:$F$70,'不动产收益法 (车库)'!$I$46:$M$60</definedName>
    <definedName name="_xlnm.Print_Area" localSheetId="41">成本逼近法!$A$1:$G$23</definedName>
    <definedName name="_xlnm.Print_Area" localSheetId="18">估价对象房地状况!$A$1:$G$24</definedName>
    <definedName name="_xlnm.Print_Area" localSheetId="7">估价师及机构信息!$A$1:$F$22</definedName>
    <definedName name="_xlnm.Print_Area" localSheetId="33">基准地价!$A$1:$J$41,基准地价!$A$44:$N$87,基准地价!$R$1:$V$16</definedName>
    <definedName name="_xlnm.Print_Area" localSheetId="32">'基准地价（汇总）'!$A$1:$F$14</definedName>
    <definedName name="_xlnm.Print_Area" localSheetId="20">结果表!$A$1:$I$46,结果表!$K$25:$O$44,结果表!$A$62:$I$115,结果表!$K$64:$P$81</definedName>
    <definedName name="_xlnm.Print_Area" localSheetId="23">'剩余法-待开发'!$A$1:$K$36</definedName>
    <definedName name="_xlnm.Print_Area" localSheetId="30">'剩余法-现房'!$A$1:$K$32</definedName>
    <definedName name="_xlnm.Print_Area" localSheetId="39">收益还原法!$A$1:$F$46,收益还原法!$H$3:$M$31,收益还原法!$I$47:$M$61</definedName>
    <definedName name="_xlnm.Print_Area" localSheetId="12">'数据-汇总表'!$A$1:$P$32</definedName>
    <definedName name="_xlnm.Print_Area" localSheetId="19">系统读取表!$A$1:$K$27</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 i="35" l="1"/>
  <c r="F13" i="68"/>
  <c r="F11" i="68"/>
  <c r="D63" i="76"/>
  <c r="D59" i="76"/>
  <c r="D61" i="76"/>
  <c r="E61" i="76"/>
  <c r="F61" i="76"/>
  <c r="C10" i="70" l="1"/>
  <c r="C5" i="70"/>
  <c r="E5" i="70"/>
  <c r="D5" i="70"/>
  <c r="G35" i="36"/>
  <c r="N9" i="74"/>
  <c r="J9" i="74"/>
  <c r="D18" i="66" l="1"/>
  <c r="D31" i="66" s="1"/>
  <c r="C18" i="66"/>
  <c r="B18" i="66"/>
  <c r="C33" i="21"/>
  <c r="Q22" i="68"/>
  <c r="C40" i="39"/>
  <c r="E47" i="36" l="1"/>
  <c r="F47" i="36"/>
  <c r="G47" i="36" s="1"/>
  <c r="H47" i="36" s="1"/>
  <c r="I47" i="36" s="1"/>
  <c r="J47" i="36" s="1"/>
  <c r="K47" i="36" s="1"/>
  <c r="L47" i="36" s="1"/>
  <c r="M47" i="36" s="1"/>
  <c r="D47" i="36"/>
  <c r="I7" i="36"/>
  <c r="G7" i="36"/>
  <c r="E49" i="35"/>
  <c r="F49" i="35"/>
  <c r="G49" i="35" s="1"/>
  <c r="H49" i="35" s="1"/>
  <c r="I49" i="35" s="1"/>
  <c r="J49" i="35" s="1"/>
  <c r="K49" i="35" s="1"/>
  <c r="L49" i="35" s="1"/>
  <c r="M49" i="35" s="1"/>
  <c r="D49" i="35"/>
  <c r="E59" i="21"/>
  <c r="F59" i="21"/>
  <c r="G59" i="21" s="1"/>
  <c r="H59" i="21" s="1"/>
  <c r="I59" i="21" s="1"/>
  <c r="J59" i="21" s="1"/>
  <c r="K59" i="21" s="1"/>
  <c r="L59" i="21" s="1"/>
  <c r="M59" i="21" s="1"/>
  <c r="D59" i="21"/>
  <c r="I7" i="35"/>
  <c r="G7" i="35"/>
  <c r="I7" i="21"/>
  <c r="G7" i="21"/>
  <c r="N4" i="74"/>
  <c r="AH18" i="1"/>
  <c r="AH8" i="1"/>
  <c r="AT13" i="3" l="1"/>
  <c r="AN13" i="3"/>
  <c r="AF13" i="3"/>
  <c r="AD13" i="3"/>
  <c r="A3" i="3"/>
  <c r="M13" i="3"/>
  <c r="K13" i="3"/>
  <c r="I13" i="3"/>
  <c r="L27" i="76" l="1"/>
  <c r="M27" i="76" l="1"/>
  <c r="E28" i="66" l="1"/>
  <c r="O22" i="68"/>
  <c r="L26" i="1"/>
  <c r="L13" i="76" l="1"/>
  <c r="M19" i="66" l="1"/>
  <c r="N13" i="76"/>
  <c r="L26" i="76" s="1"/>
  <c r="L11" i="76" l="1"/>
  <c r="M20" i="66" l="1"/>
  <c r="L9" i="76" l="1"/>
  <c r="L10" i="76" l="1"/>
  <c r="M17" i="66" l="1"/>
  <c r="N9" i="76"/>
  <c r="L24" i="76" s="1"/>
  <c r="L8" i="76" l="1"/>
  <c r="N7" i="76" l="1"/>
  <c r="L23" i="76" s="1"/>
  <c r="M16" i="66" l="1"/>
  <c r="L14" i="76" l="1"/>
  <c r="L7" i="76" l="1"/>
  <c r="Q13" i="76" l="1"/>
  <c r="Q9" i="76"/>
  <c r="Q7" i="76"/>
  <c r="O13" i="76"/>
  <c r="M26" i="76" s="1"/>
  <c r="O9" i="76"/>
  <c r="M24" i="76" s="1"/>
  <c r="O7" i="76"/>
  <c r="M23" i="76" s="1"/>
  <c r="E59" i="76"/>
  <c r="F59" i="76"/>
  <c r="K19" i="66" l="1"/>
  <c r="K15" i="66"/>
  <c r="Q20" i="1" l="1"/>
  <c r="Q19" i="1"/>
  <c r="Q18" i="1"/>
  <c r="E73" i="39"/>
  <c r="F73" i="39" s="1"/>
  <c r="G73" i="39" s="1"/>
  <c r="H73" i="39" s="1"/>
  <c r="I73" i="39" s="1"/>
  <c r="J73" i="39" s="1"/>
  <c r="T41" i="69" l="1"/>
  <c r="X15" i="70"/>
  <c r="X5" i="70"/>
  <c r="Z15" i="70"/>
  <c r="I35" i="36" l="1"/>
  <c r="E35" i="36"/>
  <c r="E47" i="21"/>
  <c r="I5" i="36"/>
  <c r="G5" i="36"/>
  <c r="E5" i="36"/>
  <c r="E50" i="21" l="1"/>
  <c r="I47" i="21"/>
  <c r="G47" i="21"/>
  <c r="E5" i="21"/>
  <c r="G5" i="21"/>
  <c r="K20" i="66"/>
  <c r="K18" i="66"/>
  <c r="K17" i="66"/>
  <c r="K16" i="66"/>
  <c r="K14" i="66"/>
  <c r="K21" i="66" l="1"/>
  <c r="Z20" i="70"/>
  <c r="Z10" i="70"/>
  <c r="Z5" i="70"/>
  <c r="F20" i="66" l="1"/>
  <c r="E37" i="35"/>
  <c r="N8" i="74"/>
  <c r="N3" i="74"/>
  <c r="G31" i="35" s="1"/>
  <c r="N2" i="74"/>
  <c r="E31" i="35" s="1"/>
  <c r="I31" i="35"/>
  <c r="C31" i="35"/>
  <c r="I37" i="35"/>
  <c r="G37" i="35"/>
  <c r="N24" i="70" l="1"/>
  <c r="V3" i="73" l="1"/>
  <c r="X3" i="73"/>
  <c r="G41" i="35" l="1"/>
  <c r="E41" i="35"/>
  <c r="D82" i="35"/>
  <c r="E82" i="35" s="1"/>
  <c r="F82" i="35" s="1"/>
  <c r="G82" i="35" s="1"/>
  <c r="H82" i="35" s="1"/>
  <c r="I82" i="35" s="1"/>
  <c r="J82" i="35" s="1"/>
  <c r="I5" i="35"/>
  <c r="E5" i="35"/>
  <c r="I5" i="21"/>
  <c r="J3" i="74"/>
  <c r="J2" i="74"/>
  <c r="N5" i="74"/>
  <c r="N6" i="74"/>
  <c r="N7" i="74"/>
  <c r="V10" i="73"/>
  <c r="I40" i="39"/>
  <c r="V8" i="73"/>
  <c r="E48" i="39"/>
  <c r="I48" i="39"/>
  <c r="G48" i="39"/>
  <c r="G40" i="39"/>
  <c r="E40" i="39"/>
  <c r="K73" i="39"/>
  <c r="L73" i="39" s="1"/>
  <c r="M73" i="39" s="1"/>
  <c r="N73" i="39" s="1"/>
  <c r="Z7" i="73"/>
  <c r="G7" i="73" l="1"/>
  <c r="I9" i="39"/>
  <c r="G9" i="39"/>
  <c r="E9" i="39"/>
  <c r="I7" i="39"/>
  <c r="G7" i="39"/>
  <c r="E7" i="39"/>
  <c r="C7" i="39"/>
  <c r="V7" i="73" l="1"/>
  <c r="V9" i="73"/>
  <c r="V6" i="73"/>
  <c r="V5" i="73"/>
  <c r="V4" i="73"/>
  <c r="V2" i="73"/>
  <c r="G3" i="73"/>
  <c r="G4" i="73"/>
  <c r="G5" i="73"/>
  <c r="G6" i="73"/>
  <c r="G8" i="73"/>
  <c r="G9" i="73"/>
  <c r="G10" i="73"/>
  <c r="G11" i="73"/>
  <c r="G12" i="73"/>
  <c r="G13" i="73"/>
  <c r="G14" i="73"/>
  <c r="G2" i="73"/>
  <c r="Q73" i="71" l="1"/>
  <c r="Q60" i="71"/>
  <c r="D60" i="71"/>
  <c r="Q59" i="71"/>
  <c r="K59" i="71"/>
  <c r="P75" i="71" s="1"/>
  <c r="F58" i="71"/>
  <c r="Q52" i="71"/>
  <c r="J50" i="71"/>
  <c r="M47" i="71"/>
  <c r="L46" i="71" s="1"/>
  <c r="F33" i="71"/>
  <c r="F60" i="71" s="1"/>
  <c r="F31" i="71"/>
  <c r="F23" i="71"/>
  <c r="D24" i="71" s="1"/>
  <c r="F21" i="71"/>
  <c r="F20" i="71"/>
  <c r="M19" i="71"/>
  <c r="F18" i="71"/>
  <c r="M17" i="71"/>
  <c r="F17" i="71"/>
  <c r="F15" i="71"/>
  <c r="H17" i="4"/>
  <c r="L8" i="1"/>
  <c r="L14" i="1" s="1"/>
  <c r="C26" i="68"/>
  <c r="C27" i="68"/>
  <c r="C47" i="69"/>
  <c r="C27" i="69"/>
  <c r="C5" i="69"/>
  <c r="F39" i="69"/>
  <c r="F42" i="69" s="1"/>
  <c r="U52" i="69"/>
  <c r="B12" i="70"/>
  <c r="B7" i="70"/>
  <c r="B17" i="70"/>
  <c r="B2" i="70"/>
  <c r="X20" i="70"/>
  <c r="V20" i="70"/>
  <c r="K20" i="70"/>
  <c r="E20" i="70"/>
  <c r="V15" i="70"/>
  <c r="K15" i="70"/>
  <c r="E15" i="70"/>
  <c r="I10" i="70"/>
  <c r="E10" i="70" s="1"/>
  <c r="C7" i="70" s="1"/>
  <c r="V10" i="70"/>
  <c r="V5" i="70"/>
  <c r="X10" i="70"/>
  <c r="K10" i="70"/>
  <c r="K5" i="70"/>
  <c r="C52" i="69"/>
  <c r="I52" i="69"/>
  <c r="S42" i="69"/>
  <c r="K21" i="69"/>
  <c r="G21" i="69" s="1"/>
  <c r="D42" i="69"/>
  <c r="T42" i="69" s="1"/>
  <c r="E42" i="69"/>
  <c r="G42" i="69"/>
  <c r="H42" i="69"/>
  <c r="J24" i="70" s="1"/>
  <c r="J42" i="69"/>
  <c r="K42" i="69"/>
  <c r="L42" i="69"/>
  <c r="M42" i="69"/>
  <c r="N42" i="69"/>
  <c r="K24" i="70" s="1"/>
  <c r="I40" i="69"/>
  <c r="I33" i="69"/>
  <c r="I34" i="69"/>
  <c r="I35" i="69"/>
  <c r="I36" i="69"/>
  <c r="I37" i="69"/>
  <c r="I38" i="69"/>
  <c r="I39" i="69"/>
  <c r="I41" i="69"/>
  <c r="I32" i="69"/>
  <c r="C32" i="69"/>
  <c r="C41" i="69"/>
  <c r="C40" i="69"/>
  <c r="T39" i="69"/>
  <c r="T38" i="69"/>
  <c r="T37" i="69"/>
  <c r="C36" i="69"/>
  <c r="B36" i="69" s="1"/>
  <c r="C35" i="69"/>
  <c r="T35" i="69"/>
  <c r="T33" i="69"/>
  <c r="T34" i="69"/>
  <c r="T36" i="69"/>
  <c r="T32" i="69"/>
  <c r="C33" i="69"/>
  <c r="C34" i="69"/>
  <c r="C37" i="69"/>
  <c r="C38" i="69"/>
  <c r="G11" i="69"/>
  <c r="G12" i="69"/>
  <c r="G13" i="69"/>
  <c r="G14" i="69"/>
  <c r="G15" i="69"/>
  <c r="G16" i="69"/>
  <c r="G17" i="69"/>
  <c r="G18" i="69"/>
  <c r="G19" i="69"/>
  <c r="G20" i="69"/>
  <c r="G10" i="69"/>
  <c r="C11" i="69"/>
  <c r="C12" i="69"/>
  <c r="C13" i="69"/>
  <c r="C14" i="69"/>
  <c r="C15" i="69"/>
  <c r="C16" i="69"/>
  <c r="C17" i="69"/>
  <c r="C18" i="69"/>
  <c r="C19" i="69"/>
  <c r="C20" i="69"/>
  <c r="C21" i="69"/>
  <c r="C10" i="69"/>
  <c r="Q21" i="69"/>
  <c r="P22" i="69"/>
  <c r="E22" i="69"/>
  <c r="F22" i="69"/>
  <c r="H22" i="69"/>
  <c r="G20" i="6" s="1"/>
  <c r="I22" i="69"/>
  <c r="J22" i="69"/>
  <c r="G21" i="6" s="1"/>
  <c r="D22" i="69"/>
  <c r="F19" i="6" s="1"/>
  <c r="O21" i="69"/>
  <c r="O20" i="69"/>
  <c r="Q20" i="69"/>
  <c r="O19" i="69"/>
  <c r="O18" i="69"/>
  <c r="O17" i="69"/>
  <c r="O16" i="69"/>
  <c r="O15" i="69"/>
  <c r="Q15" i="69"/>
  <c r="Q16" i="69"/>
  <c r="Q17" i="69"/>
  <c r="Q18" i="69"/>
  <c r="Q19" i="69"/>
  <c r="Q14" i="69"/>
  <c r="O14" i="69"/>
  <c r="Q13" i="69"/>
  <c r="O13" i="69"/>
  <c r="O12" i="69"/>
  <c r="Q11" i="69"/>
  <c r="Q12" i="69"/>
  <c r="Q10" i="69"/>
  <c r="D47" i="69" l="1"/>
  <c r="E26" i="68"/>
  <c r="G35" i="9"/>
  <c r="B35" i="69"/>
  <c r="D20" i="70"/>
  <c r="L24" i="70"/>
  <c r="C39" i="69"/>
  <c r="B39" i="69" s="1"/>
  <c r="I42" i="69"/>
  <c r="B52" i="69"/>
  <c r="C2" i="70"/>
  <c r="E27" i="68"/>
  <c r="D22" i="71"/>
  <c r="D23" i="71"/>
  <c r="P62" i="71"/>
  <c r="C17" i="70"/>
  <c r="C42" i="69"/>
  <c r="D27" i="69" s="1"/>
  <c r="D15" i="70"/>
  <c r="C12" i="70"/>
  <c r="D10" i="70"/>
  <c r="B34" i="69"/>
  <c r="B19" i="69"/>
  <c r="B17" i="69"/>
  <c r="B15" i="69"/>
  <c r="B13" i="69"/>
  <c r="B11" i="69"/>
  <c r="B41" i="69"/>
  <c r="B40" i="69"/>
  <c r="B38" i="69"/>
  <c r="B37" i="69"/>
  <c r="C22" i="69"/>
  <c r="D5" i="69" s="1"/>
  <c r="B20" i="69"/>
  <c r="B18" i="69"/>
  <c r="B16" i="69"/>
  <c r="B14" i="69"/>
  <c r="B12" i="69"/>
  <c r="B33" i="69"/>
  <c r="B32" i="69"/>
  <c r="Q22" i="69"/>
  <c r="G22" i="69"/>
  <c r="B21" i="69"/>
  <c r="B10" i="69"/>
  <c r="K22" i="69"/>
  <c r="D3" i="4"/>
  <c r="E28" i="68" l="1"/>
  <c r="E29" i="68" s="1"/>
  <c r="B42" i="69"/>
  <c r="B22" i="69"/>
  <c r="AH5" i="59"/>
  <c r="AG5" i="59"/>
  <c r="AE5" i="59"/>
  <c r="AF5" i="59" s="1"/>
  <c r="AD5" i="59"/>
  <c r="Q5" i="59"/>
  <c r="P5" i="59"/>
  <c r="O5" i="59"/>
  <c r="N5" i="59"/>
  <c r="F26" i="70" l="1"/>
  <c r="F27" i="70" s="1"/>
  <c r="E20" i="46"/>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J50" i="15"/>
  <c r="D20" i="59"/>
  <c r="AH18" i="59"/>
  <c r="AG18" i="59"/>
  <c r="AE18" i="59"/>
  <c r="AF18" i="59" s="1"/>
  <c r="AD18" i="59"/>
  <c r="AE19" i="59"/>
  <c r="AF19" i="59" s="1"/>
  <c r="AG19" i="59"/>
  <c r="AH19" i="59"/>
  <c r="AD19" i="59"/>
  <c r="Q19" i="59"/>
  <c r="P19" i="59"/>
  <c r="O19" i="59"/>
  <c r="N19" i="59"/>
  <c r="N20" i="59"/>
  <c r="Q20" i="59"/>
  <c r="P20" i="59"/>
  <c r="O20" i="59"/>
  <c r="K59" i="15"/>
  <c r="P62" i="15" s="1"/>
  <c r="Q74" i="44"/>
  <c r="Q61" i="44"/>
  <c r="Q60" i="44"/>
  <c r="Q53" i="44"/>
  <c r="J51" i="44"/>
  <c r="J52" i="44" s="1"/>
  <c r="M48" i="44"/>
  <c r="A16" i="55"/>
  <c r="A15" i="55"/>
  <c r="B66" i="63" s="1"/>
  <c r="A10" i="55"/>
  <c r="B61" i="63" s="1"/>
  <c r="A9" i="55"/>
  <c r="B60" i="63" s="1"/>
  <c r="A8" i="55"/>
  <c r="A6" i="54"/>
  <c r="A8" i="54"/>
  <c r="A7" i="54"/>
  <c r="B51" i="63" s="1"/>
  <c r="A28" i="51"/>
  <c r="B21" i="63" s="1"/>
  <c r="A27" i="51"/>
  <c r="B20" i="63" s="1"/>
  <c r="Q21" i="59"/>
  <c r="O21" i="59"/>
  <c r="N22" i="59"/>
  <c r="O22" i="59"/>
  <c r="P22" i="59"/>
  <c r="Q22" i="59"/>
  <c r="N21" i="59"/>
  <c r="P21" i="59"/>
  <c r="K75" i="9"/>
  <c r="K6" i="4"/>
  <c r="O76" i="9" s="1"/>
  <c r="B22" i="31"/>
  <c r="E20" i="66"/>
  <c r="E21" i="66"/>
  <c r="F21" i="66"/>
  <c r="E22" i="66"/>
  <c r="F22" i="66"/>
  <c r="E23" i="66"/>
  <c r="F23" i="66"/>
  <c r="B3" i="66"/>
  <c r="B19" i="59"/>
  <c r="E19" i="59"/>
  <c r="E18" i="59" s="1"/>
  <c r="E17" i="59" s="1"/>
  <c r="E16" i="59" s="1"/>
  <c r="E15" i="59" s="1"/>
  <c r="E14" i="59" s="1"/>
  <c r="E13" i="59" s="1"/>
  <c r="E12" i="59" s="1"/>
  <c r="F19" i="59"/>
  <c r="V19" i="59" s="1"/>
  <c r="U19" i="59"/>
  <c r="S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18" i="59" s="1"/>
  <c r="C3" i="65"/>
  <c r="C1" i="65"/>
  <c r="N1" i="65" s="1"/>
  <c r="D19" i="59"/>
  <c r="B76" i="63"/>
  <c r="M5" i="54"/>
  <c r="B41" i="63" s="1"/>
  <c r="A23" i="5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Z12" i="46"/>
  <c r="AG12" i="46"/>
  <c r="AC12" i="46"/>
  <c r="AA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B10" i="63" s="1"/>
  <c r="A26" i="64"/>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N4" i="63"/>
  <c r="B67" i="63"/>
  <c r="I19" i="46"/>
  <c r="Q23" i="59"/>
  <c r="P23" i="59"/>
  <c r="E23" i="59" s="1"/>
  <c r="O23" i="59"/>
  <c r="N23" i="59"/>
  <c r="B23" i="59" s="1"/>
  <c r="D84" i="59"/>
  <c r="F83" i="59"/>
  <c r="E83" i="59"/>
  <c r="E82" i="59" s="1"/>
  <c r="E81" i="59" s="1"/>
  <c r="C83" i="59"/>
  <c r="D83" i="59" s="1"/>
  <c r="B83" i="59"/>
  <c r="B82" i="59" s="1"/>
  <c r="B81" i="59" s="1"/>
  <c r="F82" i="59"/>
  <c r="F81" i="59" s="1"/>
  <c r="D80" i="59"/>
  <c r="F79" i="59"/>
  <c r="F78" i="59" s="1"/>
  <c r="F77" i="59" s="1"/>
  <c r="E79" i="59"/>
  <c r="E78" i="59" s="1"/>
  <c r="E77" i="59" s="1"/>
  <c r="C79" i="59"/>
  <c r="B79" i="59"/>
  <c r="B78" i="59" s="1"/>
  <c r="B77" i="59" s="1"/>
  <c r="D76" i="59"/>
  <c r="Q75" i="59"/>
  <c r="P75" i="59"/>
  <c r="O75" i="59"/>
  <c r="N75" i="59"/>
  <c r="F75" i="59"/>
  <c r="V75" i="59" s="1"/>
  <c r="E75" i="59"/>
  <c r="U75" i="59" s="1"/>
  <c r="C75" i="59"/>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s="1"/>
  <c r="B62" i="59"/>
  <c r="N62" i="59" s="1"/>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c r="D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C39" i="59" s="1"/>
  <c r="D39" i="59" s="1"/>
  <c r="N36" i="59"/>
  <c r="B37" i="59" s="1"/>
  <c r="D36" i="59"/>
  <c r="Q35" i="59"/>
  <c r="P35" i="59"/>
  <c r="O35" i="59"/>
  <c r="N35" i="59"/>
  <c r="Q34" i="59"/>
  <c r="P34" i="59"/>
  <c r="AA34" i="59" s="1"/>
  <c r="O34" i="59"/>
  <c r="Y34" i="59"/>
  <c r="Z34" i="59" s="1"/>
  <c r="N34" i="59"/>
  <c r="Q33" i="59"/>
  <c r="P33" i="59"/>
  <c r="O33" i="59"/>
  <c r="Y33" i="59" s="1"/>
  <c r="Z33" i="59" s="1"/>
  <c r="N33" i="59"/>
  <c r="Q32" i="59"/>
  <c r="P32" i="59"/>
  <c r="O32" i="59"/>
  <c r="C33" i="59" s="1"/>
  <c r="N32" i="59"/>
  <c r="B33" i="59" s="1"/>
  <c r="B34" i="59" s="1"/>
  <c r="B35" i="59" s="1"/>
  <c r="S35" i="59" s="1"/>
  <c r="D32" i="59"/>
  <c r="Q31" i="59"/>
  <c r="P31" i="59"/>
  <c r="AA31" i="59" s="1"/>
  <c r="O31" i="59"/>
  <c r="N31" i="59"/>
  <c r="X31" i="59" s="1"/>
  <c r="Q30" i="59"/>
  <c r="P30" i="59"/>
  <c r="AA30" i="59" s="1"/>
  <c r="O30" i="59"/>
  <c r="N30" i="59"/>
  <c r="X30" i="59" s="1"/>
  <c r="Q29" i="59"/>
  <c r="P29" i="59"/>
  <c r="AA29" i="59" s="1"/>
  <c r="O29" i="59"/>
  <c r="N29" i="59"/>
  <c r="Q28" i="59"/>
  <c r="F29" i="59"/>
  <c r="F30" i="59" s="1"/>
  <c r="F31" i="59" s="1"/>
  <c r="P28" i="59"/>
  <c r="E29" i="59"/>
  <c r="E30" i="59" s="1"/>
  <c r="E31" i="59" s="1"/>
  <c r="U31" i="59" s="1"/>
  <c r="O28" i="59"/>
  <c r="N28" i="59"/>
  <c r="X23" i="59" s="1"/>
  <c r="D28" i="59"/>
  <c r="Q27" i="59"/>
  <c r="P27" i="59"/>
  <c r="O27" i="59"/>
  <c r="N27" i="59"/>
  <c r="Q26" i="59"/>
  <c r="P26" i="59"/>
  <c r="O26" i="59"/>
  <c r="N26" i="59"/>
  <c r="Q25" i="59"/>
  <c r="P25" i="59"/>
  <c r="O25" i="59"/>
  <c r="N25" i="59"/>
  <c r="Q24" i="59"/>
  <c r="P24" i="59"/>
  <c r="O24" i="59"/>
  <c r="C25" i="59" s="1"/>
  <c r="N24" i="59"/>
  <c r="B25" i="59" s="1"/>
  <c r="B26" i="59" s="1"/>
  <c r="B27" i="59" s="1"/>
  <c r="S27" i="59" s="1"/>
  <c r="D24" i="59"/>
  <c r="Y21" i="59"/>
  <c r="Z21" i="59" s="1"/>
  <c r="S63" i="59"/>
  <c r="V31" i="59"/>
  <c r="F43" i="59"/>
  <c r="V43" i="59" s="1"/>
  <c r="C50" i="59"/>
  <c r="C51" i="59" s="1"/>
  <c r="D51" i="59" s="1"/>
  <c r="B61" i="59"/>
  <c r="N60" i="59" s="1"/>
  <c r="T63" i="59"/>
  <c r="P63" i="59"/>
  <c r="Q63" i="59"/>
  <c r="D67" i="59"/>
  <c r="E70" i="59"/>
  <c r="E69" i="59" s="1"/>
  <c r="E74" i="59"/>
  <c r="E73" i="59" s="1"/>
  <c r="U16" i="4"/>
  <c r="S16" i="4"/>
  <c r="Q16" i="4"/>
  <c r="O16" i="4"/>
  <c r="M16" i="4"/>
  <c r="K16" i="4"/>
  <c r="D38" i="59"/>
  <c r="T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s="1"/>
  <c r="C22" i="20"/>
  <c r="S18" i="36"/>
  <c r="S27" i="40"/>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G19" i="46" s="1"/>
  <c r="O19" i="46"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F7" i="1" s="1"/>
  <c r="G7" i="1" s="1"/>
  <c r="G19" i="4"/>
  <c r="F8" i="1" s="1"/>
  <c r="AP8" i="1" s="1"/>
  <c r="F9" i="1"/>
  <c r="AP9" i="1" s="1"/>
  <c r="F19" i="4"/>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D3" i="36" s="1"/>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C6" i="43"/>
  <c r="K9" i="43"/>
  <c r="J9" i="43"/>
  <c r="I9" i="43"/>
  <c r="H9" i="43"/>
  <c r="G9" i="43"/>
  <c r="F9" i="43"/>
  <c r="E9" i="43"/>
  <c r="D9" i="43"/>
  <c r="C9" i="43"/>
  <c r="BC13" i="3"/>
  <c r="BC5" i="3" s="1"/>
  <c r="BB13" i="3"/>
  <c r="BR13" i="3"/>
  <c r="B24" i="1"/>
  <c r="O75" i="9"/>
  <c r="L75" i="9"/>
  <c r="P75" i="9"/>
  <c r="O74" i="9"/>
  <c r="O73" i="9"/>
  <c r="E66" i="9"/>
  <c r="O72" i="9" s="1"/>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s="1"/>
  <c r="F30" i="36"/>
  <c r="AA30" i="36" s="1"/>
  <c r="C26" i="35"/>
  <c r="C79" i="35" s="1"/>
  <c r="J31" i="35"/>
  <c r="AC31" i="35" s="1"/>
  <c r="H31" i="35"/>
  <c r="AB31" i="35" s="1"/>
  <c r="F31" i="35"/>
  <c r="D87" i="35"/>
  <c r="E87" i="35" s="1"/>
  <c r="F87" i="35" s="1"/>
  <c r="G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s="1"/>
  <c r="W26" i="36" s="1"/>
  <c r="B75" i="36"/>
  <c r="J25" i="36" s="1"/>
  <c r="B73" i="36"/>
  <c r="J24" i="36" s="1"/>
  <c r="W24" i="36" s="1"/>
  <c r="B71" i="36"/>
  <c r="H23" i="36" s="1"/>
  <c r="AB23" i="36" s="1"/>
  <c r="D70" i="36"/>
  <c r="H22" i="36"/>
  <c r="AB22" i="36" s="1"/>
  <c r="D68" i="36"/>
  <c r="E68" i="36" s="1"/>
  <c r="D64" i="36"/>
  <c r="E64" i="36" s="1"/>
  <c r="F64" i="36" s="1"/>
  <c r="G64" i="36" s="1"/>
  <c r="D62" i="36"/>
  <c r="E62" i="36" s="1"/>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F32" i="35" s="1"/>
  <c r="AA32" i="35" s="1"/>
  <c r="D84" i="35"/>
  <c r="E84" i="35" s="1"/>
  <c r="F84" i="35" s="1"/>
  <c r="G84" i="35" s="1"/>
  <c r="H84" i="35" s="1"/>
  <c r="I84" i="35" s="1"/>
  <c r="J84" i="35" s="1"/>
  <c r="K84" i="35" s="1"/>
  <c r="L84" i="35" s="1"/>
  <c r="M84" i="35" s="1"/>
  <c r="D80" i="35"/>
  <c r="D72" i="35"/>
  <c r="D70" i="35"/>
  <c r="E70" i="35" s="1"/>
  <c r="D66" i="35"/>
  <c r="E66" i="35" s="1"/>
  <c r="F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Q33" i="35"/>
  <c r="Z33" i="35" s="1"/>
  <c r="Q32" i="35"/>
  <c r="Z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B130" i="21"/>
  <c r="H46" i="21" s="1"/>
  <c r="B128" i="21"/>
  <c r="B126" i="21"/>
  <c r="H44" i="21" s="1"/>
  <c r="B98" i="21"/>
  <c r="B96" i="21"/>
  <c r="H30" i="21" s="1"/>
  <c r="B94" i="21"/>
  <c r="B92" i="21"/>
  <c r="H28" i="21" s="1"/>
  <c r="B90" i="21"/>
  <c r="B74" i="21"/>
  <c r="J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AB34" i="21" s="1"/>
  <c r="F43" i="21"/>
  <c r="S43" i="21" s="1"/>
  <c r="H38" i="21"/>
  <c r="AB38" i="21" s="1"/>
  <c r="H43" i="21"/>
  <c r="AB43" i="21" s="1"/>
  <c r="F32" i="21"/>
  <c r="AA32"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W23" i="36"/>
  <c r="AC31" i="36"/>
  <c r="J33" i="36"/>
  <c r="W33" i="36" s="1"/>
  <c r="W36" i="35"/>
  <c r="S31" i="35"/>
  <c r="F36" i="34"/>
  <c r="S36" i="34" s="1"/>
  <c r="W9" i="34"/>
  <c r="W39" i="34"/>
  <c r="H39" i="33"/>
  <c r="AB39" i="33" s="1"/>
  <c r="F26" i="33"/>
  <c r="AA26" i="33" s="1"/>
  <c r="S40" i="33"/>
  <c r="S33" i="33"/>
  <c r="U38" i="33"/>
  <c r="H39" i="37"/>
  <c r="AB39" i="37" s="1"/>
  <c r="S10" i="40"/>
  <c r="W10" i="40"/>
  <c r="S11" i="40"/>
  <c r="U11" i="40"/>
  <c r="S36" i="40"/>
  <c r="U36" i="40"/>
  <c r="C29" i="39"/>
  <c r="C23" i="39"/>
  <c r="S42" i="39"/>
  <c r="H32" i="33"/>
  <c r="AB32" i="33" s="1"/>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W40" i="33"/>
  <c r="AB30" i="36"/>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W42" i="21" s="1"/>
  <c r="J44" i="34"/>
  <c r="AC44" i="34" s="1"/>
  <c r="F44" i="34"/>
  <c r="S44" i="34" s="1"/>
  <c r="J10" i="35"/>
  <c r="W10" i="35" s="1"/>
  <c r="AL5" i="3"/>
  <c r="BQ13" i="3"/>
  <c r="F14" i="21"/>
  <c r="AA14" i="21" s="1"/>
  <c r="F28" i="21"/>
  <c r="S28" i="21" s="1"/>
  <c r="J44" i="21"/>
  <c r="AC44" i="21" s="1"/>
  <c r="F44" i="21"/>
  <c r="AA44" i="21" s="1"/>
  <c r="H26" i="33"/>
  <c r="U26" i="33"/>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U36" i="37"/>
  <c r="AB45" i="33"/>
  <c r="AA27" i="33"/>
  <c r="AB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AC12" i="35"/>
  <c r="AC23" i="37"/>
  <c r="U39" i="37"/>
  <c r="AC8" i="37"/>
  <c r="AC36" i="34"/>
  <c r="AB8" i="34"/>
  <c r="AC45" i="33"/>
  <c r="F43" i="33"/>
  <c r="AA43" i="33" s="1"/>
  <c r="AA23" i="37"/>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AZ127" i="3" s="1"/>
  <c r="G128" i="3"/>
  <c r="BA130" i="3"/>
  <c r="BL131" i="3"/>
  <c r="G132" i="3"/>
  <c r="BA134" i="3"/>
  <c r="BL135" i="3"/>
  <c r="G136" i="3"/>
  <c r="BA138" i="3"/>
  <c r="BL139" i="3"/>
  <c r="G140" i="3"/>
  <c r="BA142" i="3"/>
  <c r="AZ142" i="3"/>
  <c r="BL143" i="3"/>
  <c r="G144" i="3"/>
  <c r="BA146" i="3"/>
  <c r="AZ146" i="3"/>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G171" i="3"/>
  <c r="BA173" i="3"/>
  <c r="AZ173" i="3" s="1"/>
  <c r="BL174" i="3"/>
  <c r="AZ174" i="3" s="1"/>
  <c r="G175" i="3"/>
  <c r="BA178" i="3"/>
  <c r="BL179" i="3"/>
  <c r="AZ179" i="3" s="1"/>
  <c r="G180" i="3"/>
  <c r="AZ23" i="3"/>
  <c r="AZ27" i="3"/>
  <c r="AZ43" i="3"/>
  <c r="AZ47" i="3"/>
  <c r="AZ51"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c r="BL381" i="3"/>
  <c r="G382" i="3"/>
  <c r="G385" i="3"/>
  <c r="AZ170"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AZ340" i="3" s="1"/>
  <c r="BL341" i="3"/>
  <c r="G342" i="3"/>
  <c r="BA344" i="3"/>
  <c r="BL345" i="3"/>
  <c r="G346" i="3"/>
  <c r="BA348" i="3"/>
  <c r="AZ348" i="3" s="1"/>
  <c r="BL349" i="3"/>
  <c r="AZ349" i="3" s="1"/>
  <c r="G350" i="3"/>
  <c r="BA352" i="3"/>
  <c r="BL353" i="3"/>
  <c r="G354" i="3"/>
  <c r="BA356" i="3"/>
  <c r="AZ356" i="3" s="1"/>
  <c r="BL357" i="3"/>
  <c r="G358" i="3"/>
  <c r="BA362" i="3"/>
  <c r="BL363" i="3"/>
  <c r="AZ363" i="3" s="1"/>
  <c r="G364" i="3"/>
  <c r="BA366" i="3"/>
  <c r="BL367" i="3"/>
  <c r="AZ367" i="3" s="1"/>
  <c r="AZ221" i="3"/>
  <c r="AZ225" i="3"/>
  <c r="AZ341" i="3"/>
  <c r="AZ353" i="3"/>
  <c r="G368" i="3"/>
  <c r="BA370" i="3"/>
  <c r="BL371" i="3"/>
  <c r="AZ371" i="3" s="1"/>
  <c r="G372" i="3"/>
  <c r="BA374" i="3"/>
  <c r="BL375" i="3"/>
  <c r="G376" i="3"/>
  <c r="BA378" i="3"/>
  <c r="BL379" i="3"/>
  <c r="G380" i="3"/>
  <c r="BA382" i="3"/>
  <c r="BL383" i="3"/>
  <c r="G384" i="3"/>
  <c r="AZ253" i="3"/>
  <c r="AZ257" i="3"/>
  <c r="AZ375" i="3"/>
  <c r="AZ290" i="3"/>
  <c r="AZ295" i="3"/>
  <c r="AZ418" i="3"/>
  <c r="AZ459" i="3"/>
  <c r="AZ463"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AZ300" i="3"/>
  <c r="H11" i="37"/>
  <c r="AB11" i="37" s="1"/>
  <c r="W37" i="37"/>
  <c r="AA30" i="33"/>
  <c r="S42" i="33"/>
  <c r="U32" i="33"/>
  <c r="AZ524" i="3"/>
  <c r="AC29" i="33"/>
  <c r="AA45" i="33"/>
  <c r="AC11" i="36"/>
  <c r="AC10" i="36"/>
  <c r="AB45" i="34"/>
  <c r="AB35" i="35"/>
  <c r="S25" i="35"/>
  <c r="W44" i="33"/>
  <c r="AC30" i="33"/>
  <c r="W30" i="33"/>
  <c r="AC29" i="37"/>
  <c r="AC32" i="36"/>
  <c r="U28" i="33"/>
  <c r="AB28" i="33"/>
  <c r="J33" i="34"/>
  <c r="AC33" i="34" s="1"/>
  <c r="AB36" i="34"/>
  <c r="J40" i="34"/>
  <c r="W40" i="34"/>
  <c r="S24" i="36"/>
  <c r="W42" i="33"/>
  <c r="J35" i="34"/>
  <c r="W35" i="34"/>
  <c r="F107" i="34"/>
  <c r="G107" i="34"/>
  <c r="H107" i="34" s="1"/>
  <c r="I107" i="34" s="1"/>
  <c r="J107" i="34" s="1"/>
  <c r="K107" i="34" s="1"/>
  <c r="L107" i="34" s="1"/>
  <c r="M107" i="34" s="1"/>
  <c r="H16" i="36"/>
  <c r="AB16" i="36" s="1"/>
  <c r="H35" i="37"/>
  <c r="AB35" i="37" s="1"/>
  <c r="S26" i="2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H43" i="39"/>
  <c r="U43" i="39" s="1"/>
  <c r="J43" i="39"/>
  <c r="AC43" i="39" s="1"/>
  <c r="F99" i="37"/>
  <c r="AC27" i="37"/>
  <c r="U25" i="35"/>
  <c r="S45" i="34"/>
  <c r="U31" i="34"/>
  <c r="AC40" i="37"/>
  <c r="W40" i="37"/>
  <c r="W27" i="33"/>
  <c r="AC45" i="21"/>
  <c r="S28" i="33"/>
  <c r="AA44" i="34"/>
  <c r="AC19" i="33"/>
  <c r="W19" i="33"/>
  <c r="U43" i="34"/>
  <c r="AB43" i="34"/>
  <c r="AC34" i="37"/>
  <c r="S35" i="37"/>
  <c r="AA35" i="37"/>
  <c r="BL571" i="3"/>
  <c r="BA571" i="3"/>
  <c r="BL570" i="3"/>
  <c r="BE5" i="3"/>
  <c r="AB40" i="33"/>
  <c r="U40" i="33"/>
  <c r="AA35" i="34"/>
  <c r="S35" i="34"/>
  <c r="E90" i="34"/>
  <c r="H27" i="34"/>
  <c r="AB27" i="34" s="1"/>
  <c r="AB8" i="35"/>
  <c r="U8" i="35"/>
  <c r="F14" i="35"/>
  <c r="AA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H39" i="39"/>
  <c r="AB39" i="39" s="1"/>
  <c r="J39" i="39"/>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C28" i="35"/>
  <c r="W28" i="35"/>
  <c r="J20" i="35"/>
  <c r="AC20" i="35" s="1"/>
  <c r="E72" i="35"/>
  <c r="F72" i="35" s="1"/>
  <c r="G72" i="35" s="1"/>
  <c r="H22" i="35"/>
  <c r="AB22" i="35" s="1"/>
  <c r="H23" i="35"/>
  <c r="U23" i="35" s="1"/>
  <c r="F23" i="35"/>
  <c r="AA23" i="35" s="1"/>
  <c r="AB36" i="35"/>
  <c r="U36" i="35"/>
  <c r="W12" i="36"/>
  <c r="AC12"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J42" i="40"/>
  <c r="AC42" i="40" s="1"/>
  <c r="J40" i="40"/>
  <c r="AC40" i="40" s="1"/>
  <c r="J34" i="40"/>
  <c r="AC34" i="40" s="1"/>
  <c r="H16" i="40"/>
  <c r="AB16" i="40" s="1"/>
  <c r="H14" i="40"/>
  <c r="U14" i="40" s="1"/>
  <c r="F32" i="40"/>
  <c r="AA32" i="40" s="1"/>
  <c r="M1" i="46"/>
  <c r="M6" i="46"/>
  <c r="M10" i="46"/>
  <c r="N2" i="46"/>
  <c r="N5" i="46"/>
  <c r="F58" i="46"/>
  <c r="H61" i="46" s="1"/>
  <c r="N7" i="46"/>
  <c r="AZ461" i="3"/>
  <c r="AZ477" i="3"/>
  <c r="AZ223" i="3"/>
  <c r="AZ228" i="3"/>
  <c r="AZ255" i="3"/>
  <c r="AZ260" i="3"/>
  <c r="AZ289" i="3"/>
  <c r="AZ292" i="3"/>
  <c r="AZ140" i="3"/>
  <c r="M7" i="46"/>
  <c r="M11" i="46"/>
  <c r="N3" i="46"/>
  <c r="N6" i="46"/>
  <c r="N10" i="46"/>
  <c r="AZ164" i="3"/>
  <c r="AZ40" i="3"/>
  <c r="AZ48" i="3"/>
  <c r="AZ71" i="3"/>
  <c r="AZ107" i="3"/>
  <c r="J13" i="40"/>
  <c r="W13" i="40" s="1"/>
  <c r="AC14" i="40"/>
  <c r="S33" i="40"/>
  <c r="AC47" i="39"/>
  <c r="AC41" i="40"/>
  <c r="U41" i="40"/>
  <c r="J23" i="40"/>
  <c r="AC23" i="40" s="1"/>
  <c r="F23" i="40"/>
  <c r="S23" i="40" s="1"/>
  <c r="W14" i="39"/>
  <c r="AB23" i="35"/>
  <c r="H20" i="35"/>
  <c r="U20" i="35" s="1"/>
  <c r="H15" i="34"/>
  <c r="AB15" i="34" s="1"/>
  <c r="G78" i="34"/>
  <c r="J15" i="34"/>
  <c r="H41" i="33"/>
  <c r="U41" i="33" s="1"/>
  <c r="F30" i="40"/>
  <c r="AA30" i="40" s="1"/>
  <c r="AB38" i="34"/>
  <c r="AZ497" i="3"/>
  <c r="AZ515" i="3"/>
  <c r="AZ530" i="3"/>
  <c r="AZ547" i="3"/>
  <c r="AZ549" i="3"/>
  <c r="U39" i="39"/>
  <c r="J29" i="39"/>
  <c r="AC29" i="39" s="1"/>
  <c r="AB21" i="39"/>
  <c r="U21" i="39"/>
  <c r="AA11" i="36"/>
  <c r="G99" i="37"/>
  <c r="F33" i="37"/>
  <c r="S33" i="37" s="1"/>
  <c r="AB19" i="39"/>
  <c r="U19" i="39"/>
  <c r="U46" i="34"/>
  <c r="AC30" i="34"/>
  <c r="AA14" i="34"/>
  <c r="W12" i="34"/>
  <c r="U29" i="33"/>
  <c r="AC13" i="33"/>
  <c r="U17" i="34"/>
  <c r="AA11" i="34"/>
  <c r="W32" i="33"/>
  <c r="H15" i="33"/>
  <c r="AA11" i="33"/>
  <c r="AA40" i="21"/>
  <c r="U16" i="40"/>
  <c r="AB34" i="40"/>
  <c r="W32" i="40"/>
  <c r="H25" i="40"/>
  <c r="AB25" i="40" s="1"/>
  <c r="F94" i="40"/>
  <c r="G94" i="40" s="1"/>
  <c r="W15" i="39"/>
  <c r="J37" i="34"/>
  <c r="AC37" i="34" s="1"/>
  <c r="J36" i="33"/>
  <c r="W36" i="33" s="1"/>
  <c r="S41" i="40"/>
  <c r="H23" i="39"/>
  <c r="AB23" i="39" s="1"/>
  <c r="F97" i="39"/>
  <c r="G97" i="39" s="1"/>
  <c r="S15" i="34"/>
  <c r="AA15" i="34"/>
  <c r="AA41" i="33"/>
  <c r="AA34" i="33"/>
  <c r="F106" i="33"/>
  <c r="G106" i="33" s="1"/>
  <c r="H106" i="33" s="1"/>
  <c r="I106" i="33" s="1"/>
  <c r="J106" i="33" s="1"/>
  <c r="K106" i="33" s="1"/>
  <c r="L106" i="33" s="1"/>
  <c r="M106" i="33" s="1"/>
  <c r="J34" i="33"/>
  <c r="U30" i="40"/>
  <c r="AA37" i="39"/>
  <c r="AC39" i="39"/>
  <c r="W39" i="39"/>
  <c r="AA39" i="39"/>
  <c r="S39" i="39"/>
  <c r="AB46" i="39"/>
  <c r="AB44" i="39"/>
  <c r="AA33" i="39"/>
  <c r="S33" i="39"/>
  <c r="U11" i="36"/>
  <c r="F80" i="35"/>
  <c r="G80" i="35" s="1"/>
  <c r="H80" i="35" s="1"/>
  <c r="I80" i="35" s="1"/>
  <c r="J80" i="35" s="1"/>
  <c r="K80" i="35" s="1"/>
  <c r="L80" i="35" s="1"/>
  <c r="M80" i="35" s="1"/>
  <c r="F90" i="34"/>
  <c r="G90" i="34" s="1"/>
  <c r="H90" i="34" s="1"/>
  <c r="I90" i="34" s="1"/>
  <c r="J90" i="34" s="1"/>
  <c r="K90" i="34" s="1"/>
  <c r="L90" i="34" s="1"/>
  <c r="M90" i="34" s="1"/>
  <c r="F27" i="34"/>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J11" i="34"/>
  <c r="W11" i="34" s="1"/>
  <c r="S17" i="34"/>
  <c r="F25" i="40"/>
  <c r="AA25" i="40" s="1"/>
  <c r="J11" i="33"/>
  <c r="W11" i="33" s="1"/>
  <c r="H33" i="37"/>
  <c r="AB33" i="37" s="1"/>
  <c r="W15" i="34"/>
  <c r="AC15" i="34"/>
  <c r="W23" i="40"/>
  <c r="B11" i="1"/>
  <c r="E11" i="1" s="1"/>
  <c r="K11" i="1"/>
  <c r="M11" i="1" s="1"/>
  <c r="B9" i="1"/>
  <c r="E9" i="1" s="1"/>
  <c r="K9" i="1"/>
  <c r="M9" i="1" s="1"/>
  <c r="B7" i="1"/>
  <c r="E7" i="1" s="1"/>
  <c r="K7" i="1"/>
  <c r="M7" i="1" s="1"/>
  <c r="C20" i="43"/>
  <c r="F6" i="1"/>
  <c r="AP6" i="1" s="1"/>
  <c r="M22" i="44"/>
  <c r="S23" i="36"/>
  <c r="S8" i="36"/>
  <c r="AA26" i="36"/>
  <c r="H20" i="36"/>
  <c r="U20" i="36" s="1"/>
  <c r="F68" i="36"/>
  <c r="G68" i="36" s="1"/>
  <c r="J20" i="36"/>
  <c r="AC20" i="36" s="1"/>
  <c r="F20" i="36"/>
  <c r="S20" i="36" s="1"/>
  <c r="U32" i="36"/>
  <c r="AB12" i="36"/>
  <c r="S33" i="36"/>
  <c r="S29" i="36"/>
  <c r="U22" i="35"/>
  <c r="AA13" i="35"/>
  <c r="S8" i="35"/>
  <c r="U33" i="35"/>
  <c r="S23" i="35"/>
  <c r="AC10" i="35"/>
  <c r="W13" i="35"/>
  <c r="AC18" i="35"/>
  <c r="W18" i="35"/>
  <c r="U18" i="35"/>
  <c r="AB18" i="35"/>
  <c r="AA35" i="35"/>
  <c r="AB30" i="35"/>
  <c r="S28" i="35"/>
  <c r="AB9" i="37"/>
  <c r="W12" i="37"/>
  <c r="AA9" i="37"/>
  <c r="S17" i="37"/>
  <c r="W28" i="37"/>
  <c r="AB37" i="37"/>
  <c r="AA31"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U36" i="33"/>
  <c r="S29" i="33"/>
  <c r="W31" i="33"/>
  <c r="W43" i="33"/>
  <c r="U46" i="33"/>
  <c r="W39" i="33"/>
  <c r="U35" i="33"/>
  <c r="AB34" i="33"/>
  <c r="AB26" i="33"/>
  <c r="H25" i="33"/>
  <c r="AB25" i="33"/>
  <c r="J25" i="33"/>
  <c r="W25" i="33"/>
  <c r="F25" i="33"/>
  <c r="J23" i="33"/>
  <c r="F23" i="33"/>
  <c r="H23" i="33"/>
  <c r="U19" i="33"/>
  <c r="F17" i="33"/>
  <c r="H17" i="33"/>
  <c r="J17" i="33"/>
  <c r="AC11" i="33"/>
  <c r="S10" i="33"/>
  <c r="S14" i="33"/>
  <c r="W10" i="33"/>
  <c r="AC21" i="33"/>
  <c r="W21" i="33"/>
  <c r="W14" i="33"/>
  <c r="AB10" i="33"/>
  <c r="U25" i="33"/>
  <c r="AB21" i="33"/>
  <c r="U21" i="33"/>
  <c r="AA21" i="33"/>
  <c r="S21" i="33"/>
  <c r="AA44" i="33"/>
  <c r="AA36" i="33"/>
  <c r="W43" i="21"/>
  <c r="AC26" i="21"/>
  <c r="F23" i="21"/>
  <c r="AA23" i="21" s="1"/>
  <c r="W1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AC29" i="40" s="1"/>
  <c r="S30" i="40"/>
  <c r="S25" i="40"/>
  <c r="AA23" i="40"/>
  <c r="F19" i="40"/>
  <c r="AA19" i="40" s="1"/>
  <c r="H19" i="40"/>
  <c r="U19" i="40" s="1"/>
  <c r="J19" i="40"/>
  <c r="W19" i="40" s="1"/>
  <c r="W17" i="40"/>
  <c r="AC17" i="40"/>
  <c r="F17" i="40"/>
  <c r="AA17" i="40" s="1"/>
  <c r="H17" i="40"/>
  <c r="AB17" i="40" s="1"/>
  <c r="W21" i="40"/>
  <c r="AB40" i="40"/>
  <c r="U10" i="40"/>
  <c r="U27" i="40"/>
  <c r="AB27" i="40"/>
  <c r="AC44" i="39"/>
  <c r="S11" i="39"/>
  <c r="AB45" i="39"/>
  <c r="AA21" i="39"/>
  <c r="AC19" i="39"/>
  <c r="AC38" i="39"/>
  <c r="AC21" i="39"/>
  <c r="S14" i="39"/>
  <c r="U11" i="39"/>
  <c r="AB38" i="39"/>
  <c r="U31" i="39"/>
  <c r="AB31" i="39"/>
  <c r="S38" i="39"/>
  <c r="M20" i="15"/>
  <c r="D96" i="9"/>
  <c r="A18" i="64"/>
  <c r="B74" i="63" s="1"/>
  <c r="C53" i="10"/>
  <c r="A25" i="64" s="1"/>
  <c r="A18" i="51"/>
  <c r="B14" i="63" s="1"/>
  <c r="BA16" i="3"/>
  <c r="BA17" i="3"/>
  <c r="AZ17" i="3"/>
  <c r="F3" i="35"/>
  <c r="K1" i="43"/>
  <c r="K1" i="12"/>
  <c r="G1" i="44"/>
  <c r="I4" i="6"/>
  <c r="AZ15" i="3"/>
  <c r="BK5" i="3"/>
  <c r="BO5" i="3"/>
  <c r="BP5" i="3"/>
  <c r="BL18" i="3"/>
  <c r="AZ18" i="3" s="1"/>
  <c r="E8" i="6"/>
  <c r="E53" i="40" s="1"/>
  <c r="BD5" i="3"/>
  <c r="BR5" i="3"/>
  <c r="BS5" i="3"/>
  <c r="BQ5" i="3"/>
  <c r="BL16" i="3"/>
  <c r="BM5" i="3"/>
  <c r="G22" i="43"/>
  <c r="D24" i="44"/>
  <c r="D26" i="44"/>
  <c r="G27" i="12"/>
  <c r="G21" i="43"/>
  <c r="N8" i="46"/>
  <c r="N4" i="46"/>
  <c r="N1" i="46"/>
  <c r="F47" i="46"/>
  <c r="H53" i="46" s="1"/>
  <c r="M9" i="46"/>
  <c r="C6" i="46" s="1"/>
  <c r="M2" i="46"/>
  <c r="N11" i="46"/>
  <c r="N9" i="46"/>
  <c r="F69" i="46" s="1"/>
  <c r="M4" i="46"/>
  <c r="M12" i="46"/>
  <c r="M8" i="46"/>
  <c r="M3" i="46"/>
  <c r="M5" i="46"/>
  <c r="H6" i="48"/>
  <c r="H15" i="48"/>
  <c r="H5" i="48"/>
  <c r="H14" i="48"/>
  <c r="F36" i="46"/>
  <c r="K17" i="46"/>
  <c r="F39" i="46"/>
  <c r="H13" i="48"/>
  <c r="H11" i="48"/>
  <c r="D17" i="46"/>
  <c r="D71" i="46"/>
  <c r="D84" i="46"/>
  <c r="E80" i="46" s="1"/>
  <c r="B78" i="46" s="1"/>
  <c r="D69" i="46"/>
  <c r="E69" i="46" s="1"/>
  <c r="B67" i="46" s="1"/>
  <c r="C24" i="46" s="1"/>
  <c r="E47" i="46"/>
  <c r="B45" i="46" s="1"/>
  <c r="E58" i="46"/>
  <c r="B56" i="46" s="1"/>
  <c r="A4" i="64"/>
  <c r="A4" i="51"/>
  <c r="B6" i="63" s="1"/>
  <c r="C51" i="10"/>
  <c r="A9" i="51" s="1"/>
  <c r="B9" i="63" s="1"/>
  <c r="I100" i="46"/>
  <c r="N100" i="46"/>
  <c r="H100" i="46"/>
  <c r="F108" i="46"/>
  <c r="H80" i="46"/>
  <c r="E100" i="46"/>
  <c r="G100" i="46"/>
  <c r="H84" i="46"/>
  <c r="C100" i="46"/>
  <c r="J100" i="46"/>
  <c r="M100" i="46"/>
  <c r="AA12" i="36"/>
  <c r="W11" i="35"/>
  <c r="AA11" i="35"/>
  <c r="S14" i="37"/>
  <c r="U13" i="37"/>
  <c r="S13" i="21"/>
  <c r="C24" i="9"/>
  <c r="C25" i="9"/>
  <c r="G8" i="1"/>
  <c r="L5" i="54"/>
  <c r="B39" i="63" s="1"/>
  <c r="K5" i="54"/>
  <c r="B38" i="63" s="1"/>
  <c r="T41" i="4"/>
  <c r="A17" i="64" s="1"/>
  <c r="B46" i="50"/>
  <c r="B4" i="63" s="1"/>
  <c r="H86" i="46"/>
  <c r="H82" i="46"/>
  <c r="H10" i="48"/>
  <c r="H87" i="46"/>
  <c r="H85" i="46"/>
  <c r="H83" i="46"/>
  <c r="K10" i="1"/>
  <c r="M10" i="1" s="1"/>
  <c r="S11" i="1"/>
  <c r="R11" i="1"/>
  <c r="S13" i="1"/>
  <c r="R13" i="1"/>
  <c r="B6" i="1"/>
  <c r="E6" i="1" s="1"/>
  <c r="B10" i="1"/>
  <c r="E10" i="1" s="1"/>
  <c r="S10" i="1"/>
  <c r="B8" i="1"/>
  <c r="E8" i="1" s="1"/>
  <c r="B12" i="1"/>
  <c r="E12" i="1" s="1"/>
  <c r="S12" i="1"/>
  <c r="G1" i="15"/>
  <c r="F66" i="36"/>
  <c r="H18" i="36"/>
  <c r="AB18" i="36" s="1"/>
  <c r="AA34" i="36"/>
  <c r="AC27" i="36"/>
  <c r="U13" i="36"/>
  <c r="AA13" i="36"/>
  <c r="W29" i="36"/>
  <c r="W8" i="36"/>
  <c r="U24" i="35"/>
  <c r="S24" i="35"/>
  <c r="AA33"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9" i="21"/>
  <c r="U27" i="21"/>
  <c r="W31" i="21"/>
  <c r="S27" i="21"/>
  <c r="AC27" i="21"/>
  <c r="W29" i="21"/>
  <c r="G96" i="40"/>
  <c r="J27" i="40"/>
  <c r="W37" i="40"/>
  <c r="W30" i="40"/>
  <c r="S34" i="40"/>
  <c r="U17" i="40"/>
  <c r="U38" i="40"/>
  <c r="S40" i="40"/>
  <c r="S42" i="40"/>
  <c r="J31" i="39"/>
  <c r="W31" i="39" s="1"/>
  <c r="S45" i="39"/>
  <c r="AB43" i="39"/>
  <c r="AB33" i="39"/>
  <c r="AC46" i="39"/>
  <c r="W42" i="39"/>
  <c r="AC37" i="39"/>
  <c r="U14" i="39"/>
  <c r="S15" i="39"/>
  <c r="W45" i="39"/>
  <c r="AA44" i="39"/>
  <c r="AA46" i="39"/>
  <c r="W10" i="39"/>
  <c r="W11" i="39"/>
  <c r="U42"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39" i="40"/>
  <c r="AC39" i="40"/>
  <c r="W39" i="40"/>
  <c r="S39" i="40"/>
  <c r="U37" i="40"/>
  <c r="AB37" i="40"/>
  <c r="AA37" i="40"/>
  <c r="S37" i="40"/>
  <c r="AB29" i="40"/>
  <c r="W29" i="40"/>
  <c r="AA29" i="40"/>
  <c r="S29" i="40"/>
  <c r="AC19" i="40"/>
  <c r="S19" i="40"/>
  <c r="AB19" i="40"/>
  <c r="AC27" i="40"/>
  <c r="W27" i="40"/>
  <c r="A17" i="51"/>
  <c r="B13" i="63" s="1"/>
  <c r="E5" i="6"/>
  <c r="D12" i="11" s="1"/>
  <c r="C12" i="11" s="1"/>
  <c r="A9" i="64"/>
  <c r="A3" i="55"/>
  <c r="B56" i="63" s="1"/>
  <c r="G66" i="36"/>
  <c r="J18" i="36"/>
  <c r="AC18" i="36" s="1"/>
  <c r="AE6" i="1"/>
  <c r="AG6" i="1"/>
  <c r="L20" i="6"/>
  <c r="S9" i="1"/>
  <c r="R9" i="1"/>
  <c r="C45" i="9"/>
  <c r="H14" i="66" s="1"/>
  <c r="B7" i="66" s="1"/>
  <c r="K31" i="9"/>
  <c r="K32" i="9" s="1"/>
  <c r="N76" i="9"/>
  <c r="C46" i="9"/>
  <c r="K33" i="9" s="1"/>
  <c r="K34" i="9" s="1"/>
  <c r="J17" i="46"/>
  <c r="C17" i="46"/>
  <c r="F34" i="46"/>
  <c r="F38" i="46"/>
  <c r="F37" i="46"/>
  <c r="H113" i="46"/>
  <c r="H49" i="46"/>
  <c r="D18" i="59"/>
  <c r="C17" i="59"/>
  <c r="D17" i="59"/>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51" i="46"/>
  <c r="X7" i="46"/>
  <c r="E17" i="46"/>
  <c r="N17" i="46"/>
  <c r="O17" i="46"/>
  <c r="M17" i="46"/>
  <c r="L17" i="46"/>
  <c r="AP7" i="1"/>
  <c r="H50" i="46"/>
  <c r="F35" i="46"/>
  <c r="I17" i="46"/>
  <c r="H63" i="46"/>
  <c r="H64" i="46"/>
  <c r="H66" i="46"/>
  <c r="D100" i="46"/>
  <c r="H62" i="46"/>
  <c r="AF12" i="46"/>
  <c r="K100" i="46"/>
  <c r="AB12" i="46"/>
  <c r="AJ12" i="46"/>
  <c r="H60" i="46"/>
  <c r="H59" i="46"/>
  <c r="H65" i="46"/>
  <c r="E10" i="46"/>
  <c r="E9" i="46"/>
  <c r="E11" i="46"/>
  <c r="E8" i="46"/>
  <c r="C7" i="46" s="1"/>
  <c r="H55" i="46"/>
  <c r="H52" i="46"/>
  <c r="AD12" i="46"/>
  <c r="AH12" i="46"/>
  <c r="C16" i="59"/>
  <c r="C15" i="59"/>
  <c r="C14" i="59" s="1"/>
  <c r="C13" i="59" s="1"/>
  <c r="C12" i="59" s="1"/>
  <c r="D16" i="59"/>
  <c r="AE8" i="1"/>
  <c r="M24" i="15"/>
  <c r="B8" i="67"/>
  <c r="M29" i="44"/>
  <c r="J36" i="15"/>
  <c r="B11" i="67"/>
  <c r="F6" i="15"/>
  <c r="M8" i="15"/>
  <c r="B10" i="67"/>
  <c r="B12" i="67"/>
  <c r="F13" i="67"/>
  <c r="N5" i="65"/>
  <c r="M29" i="15"/>
  <c r="E14" i="67"/>
  <c r="F39" i="44"/>
  <c r="L47" i="15"/>
  <c r="F12" i="67"/>
  <c r="E11" i="67"/>
  <c r="M26" i="44"/>
  <c r="F37" i="44"/>
  <c r="F26" i="15"/>
  <c r="B13" i="67"/>
  <c r="F8" i="44"/>
  <c r="F10" i="67"/>
  <c r="B14" i="67"/>
  <c r="N4" i="65"/>
  <c r="F16" i="15"/>
  <c r="E9" i="67"/>
  <c r="F9" i="67"/>
  <c r="F42" i="15"/>
  <c r="N7" i="65"/>
  <c r="L48" i="15"/>
  <c r="F8" i="67"/>
  <c r="M6" i="15"/>
  <c r="N6" i="65"/>
  <c r="N3" i="65"/>
  <c r="J15" i="15"/>
  <c r="B9" i="67"/>
  <c r="E12" i="67"/>
  <c r="J17" i="44"/>
  <c r="E13" i="67"/>
  <c r="E10" i="67"/>
  <c r="F15" i="44"/>
  <c r="F11" i="67"/>
  <c r="L49" i="44"/>
  <c r="F14" i="67"/>
  <c r="E8" i="67"/>
  <c r="F8" i="15"/>
  <c r="AP11" i="1" l="1"/>
  <c r="C7" i="21"/>
  <c r="C58" i="21" s="1"/>
  <c r="W31" i="35"/>
  <c r="U31" i="35"/>
  <c r="F28" i="6"/>
  <c r="E58" i="39"/>
  <c r="BA13" i="3"/>
  <c r="F27" i="6"/>
  <c r="K6" i="1"/>
  <c r="M6" i="1" s="1"/>
  <c r="O6" i="1" s="1"/>
  <c r="H1" i="65"/>
  <c r="C7" i="34"/>
  <c r="C59" i="34" s="1"/>
  <c r="C7" i="33"/>
  <c r="C58" i="33" s="1"/>
  <c r="D58" i="33" s="1"/>
  <c r="E58" i="33" s="1"/>
  <c r="F58" i="33" s="1"/>
  <c r="G58" i="33" s="1"/>
  <c r="H58" i="33" s="1"/>
  <c r="I58" i="33" s="1"/>
  <c r="J58" i="33" s="1"/>
  <c r="K58" i="33" s="1"/>
  <c r="L58" i="33" s="1"/>
  <c r="M58" i="33" s="1"/>
  <c r="N58" i="33" s="1"/>
  <c r="O58" i="33" s="1"/>
  <c r="C7" i="35"/>
  <c r="C9" i="40"/>
  <c r="C65" i="40" s="1"/>
  <c r="D65" i="40" s="1"/>
  <c r="N67" i="9"/>
  <c r="D38" i="4"/>
  <c r="C39" i="4" s="1"/>
  <c r="G6" i="1"/>
  <c r="I20" i="46"/>
  <c r="G9" i="1"/>
  <c r="AB28" i="21"/>
  <c r="U28" i="21"/>
  <c r="U30" i="21"/>
  <c r="AB30" i="21"/>
  <c r="U44" i="21"/>
  <c r="AB44" i="21"/>
  <c r="AB26" i="37"/>
  <c r="U26" i="37"/>
  <c r="U12" i="33"/>
  <c r="AB12" i="33"/>
  <c r="S22" i="31"/>
  <c r="H33" i="21"/>
  <c r="S17" i="40"/>
  <c r="AB41" i="33"/>
  <c r="W37" i="34"/>
  <c r="AC11" i="34"/>
  <c r="AA33" i="37"/>
  <c r="AC13" i="40"/>
  <c r="J23" i="39"/>
  <c r="AC23" i="39" s="1"/>
  <c r="AB23" i="40"/>
  <c r="U42" i="40"/>
  <c r="AB16" i="39"/>
  <c r="U37" i="34"/>
  <c r="AB14" i="40"/>
  <c r="AZ486" i="3"/>
  <c r="AZ537" i="3"/>
  <c r="AZ548" i="3"/>
  <c r="AZ567" i="3"/>
  <c r="AZ571" i="3"/>
  <c r="AC14" i="37"/>
  <c r="AA36" i="37"/>
  <c r="W25" i="35"/>
  <c r="AZ378" i="3"/>
  <c r="AZ370" i="3"/>
  <c r="AZ362" i="3"/>
  <c r="AZ352" i="3"/>
  <c r="AZ344" i="3"/>
  <c r="AZ336" i="3"/>
  <c r="AZ320" i="3"/>
  <c r="AZ354" i="3"/>
  <c r="AZ339" i="3"/>
  <c r="AZ331" i="3"/>
  <c r="AZ299" i="3"/>
  <c r="AZ377" i="3"/>
  <c r="AZ327" i="3"/>
  <c r="AC37" i="33"/>
  <c r="AC41" i="34"/>
  <c r="AZ543" i="3"/>
  <c r="AZ541" i="3"/>
  <c r="AZ555" i="3"/>
  <c r="W31" i="34"/>
  <c r="AB31" i="21"/>
  <c r="J30" i="21"/>
  <c r="F30" i="21"/>
  <c r="J28" i="21"/>
  <c r="BL13" i="3"/>
  <c r="AZ13" i="3" s="1"/>
  <c r="S38" i="33"/>
  <c r="W8" i="21"/>
  <c r="W38" i="33"/>
  <c r="S34" i="34"/>
  <c r="H12" i="21"/>
  <c r="G572" i="3"/>
  <c r="G570" i="3"/>
  <c r="BL572" i="3"/>
  <c r="H32" i="35"/>
  <c r="H9" i="36"/>
  <c r="AB9" i="36" s="1"/>
  <c r="H26" i="36"/>
  <c r="J16" i="36"/>
  <c r="F26" i="37"/>
  <c r="G567" i="3"/>
  <c r="G563" i="3"/>
  <c r="G559" i="3"/>
  <c r="G540" i="3"/>
  <c r="G536" i="3"/>
  <c r="G532" i="3"/>
  <c r="G516" i="3"/>
  <c r="G512" i="3"/>
  <c r="G505" i="3"/>
  <c r="G490" i="3"/>
  <c r="G489" i="3"/>
  <c r="C18" i="9"/>
  <c r="AZ311" i="3"/>
  <c r="AZ197" i="3"/>
  <c r="BF5" i="3"/>
  <c r="BA464" i="3"/>
  <c r="AZ464" i="3" s="1"/>
  <c r="BA466" i="3"/>
  <c r="AZ466" i="3" s="1"/>
  <c r="BL466" i="3"/>
  <c r="BL468" i="3"/>
  <c r="G469" i="3"/>
  <c r="BA470" i="3"/>
  <c r="AZ470" i="3" s="1"/>
  <c r="BL470" i="3"/>
  <c r="BL472" i="3"/>
  <c r="G473" i="3"/>
  <c r="G475" i="3"/>
  <c r="G479" i="3"/>
  <c r="BL306" i="3"/>
  <c r="AZ306" i="3" s="1"/>
  <c r="G307" i="3"/>
  <c r="BA309" i="3"/>
  <c r="AZ309" i="3" s="1"/>
  <c r="BA311" i="3"/>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08" i="3"/>
  <c r="AZ208" i="3" s="1"/>
  <c r="BL208" i="3"/>
  <c r="BA210" i="3"/>
  <c r="AZ210" i="3" s="1"/>
  <c r="BA212" i="3"/>
  <c r="BL212" i="3"/>
  <c r="BL214" i="3"/>
  <c r="G215" i="3"/>
  <c r="BA216" i="3"/>
  <c r="BL216" i="3"/>
  <c r="BL218" i="3"/>
  <c r="G219" i="3"/>
  <c r="G221" i="3"/>
  <c r="G225" i="3"/>
  <c r="G228" i="3"/>
  <c r="G230" i="3"/>
  <c r="BL231" i="3"/>
  <c r="G232" i="3"/>
  <c r="G234" i="3"/>
  <c r="BA235" i="3"/>
  <c r="BL235" i="3"/>
  <c r="BA237" i="3"/>
  <c r="AZ237" i="3" s="1"/>
  <c r="BL237" i="3"/>
  <c r="BA238" i="3"/>
  <c r="AZ238" i="3" s="1"/>
  <c r="BA239" i="3"/>
  <c r="AZ239" i="3" s="1"/>
  <c r="BA241" i="3"/>
  <c r="AZ241" i="3" s="1"/>
  <c r="BL241" i="3"/>
  <c r="BA242" i="3"/>
  <c r="AZ242" i="3" s="1"/>
  <c r="BA244" i="3"/>
  <c r="BL244" i="3"/>
  <c r="BL246" i="3"/>
  <c r="G247" i="3"/>
  <c r="BA248" i="3"/>
  <c r="BL248" i="3"/>
  <c r="BL250" i="3"/>
  <c r="G251" i="3"/>
  <c r="G253" i="3"/>
  <c r="G257" i="3"/>
  <c r="G260" i="3"/>
  <c r="G262" i="3"/>
  <c r="BL263" i="3"/>
  <c r="G264" i="3"/>
  <c r="G266" i="3"/>
  <c r="BA267" i="3"/>
  <c r="AZ267" i="3" s="1"/>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BL389" i="3"/>
  <c r="G390" i="3"/>
  <c r="BL391" i="3"/>
  <c r="G392" i="3"/>
  <c r="BL394" i="3"/>
  <c r="G395" i="3"/>
  <c r="BA397" i="3"/>
  <c r="BL397" i="3"/>
  <c r="BA399" i="3"/>
  <c r="BL399" i="3"/>
  <c r="BA400" i="3"/>
  <c r="AZ400" i="3" s="1"/>
  <c r="BA401" i="3"/>
  <c r="AZ401" i="3" s="1"/>
  <c r="BA403" i="3"/>
  <c r="BL403" i="3"/>
  <c r="BA404" i="3"/>
  <c r="AZ404" i="3" s="1"/>
  <c r="BL406" i="3"/>
  <c r="G407" i="3"/>
  <c r="BA408" i="3"/>
  <c r="AZ408" i="3" s="1"/>
  <c r="BL408" i="3"/>
  <c r="BA409" i="3"/>
  <c r="AZ409" i="3" s="1"/>
  <c r="BA410" i="3"/>
  <c r="AZ410" i="3" s="1"/>
  <c r="BL412" i="3"/>
  <c r="G413" i="3"/>
  <c r="G415" i="3"/>
  <c r="G418" i="3"/>
  <c r="G421" i="3"/>
  <c r="BL422" i="3"/>
  <c r="G423" i="3"/>
  <c r="BA424" i="3"/>
  <c r="BL424" i="3"/>
  <c r="AZ424" i="3" s="1"/>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G184" i="3"/>
  <c r="G187" i="3"/>
  <c r="BA190" i="3"/>
  <c r="BL190" i="3"/>
  <c r="BL192" i="3"/>
  <c r="AZ192" i="3" s="1"/>
  <c r="G193" i="3"/>
  <c r="BA195" i="3"/>
  <c r="BL195" i="3"/>
  <c r="BA197" i="3"/>
  <c r="G200" i="3"/>
  <c r="G202" i="3"/>
  <c r="G21" i="3"/>
  <c r="G23" i="3"/>
  <c r="G25" i="3"/>
  <c r="G27" i="3"/>
  <c r="G30" i="3"/>
  <c r="BL31" i="3"/>
  <c r="G32" i="3"/>
  <c r="BA33" i="3"/>
  <c r="BL33" i="3"/>
  <c r="BA34" i="3"/>
  <c r="AZ34" i="3" s="1"/>
  <c r="BA35" i="3"/>
  <c r="AZ35" i="3" s="1"/>
  <c r="BL37" i="3"/>
  <c r="G38" i="3"/>
  <c r="G40" i="3"/>
  <c r="G43" i="3"/>
  <c r="G46" i="3"/>
  <c r="G50" i="3"/>
  <c r="G53" i="3"/>
  <c r="G55" i="3"/>
  <c r="I10" i="57"/>
  <c r="I21" i="57" s="1"/>
  <c r="N16" i="4"/>
  <c r="BA55" i="3"/>
  <c r="BL55" i="3"/>
  <c r="BA57" i="3"/>
  <c r="AZ57" i="3" s="1"/>
  <c r="BA59" i="3"/>
  <c r="AZ59" i="3" s="1"/>
  <c r="BL59" i="3"/>
  <c r="BA60" i="3"/>
  <c r="AZ60" i="3" s="1"/>
  <c r="BL62" i="3"/>
  <c r="G63" i="3"/>
  <c r="BA64" i="3"/>
  <c r="BL64" i="3"/>
  <c r="BA65" i="3"/>
  <c r="AZ65" i="3" s="1"/>
  <c r="BA66" i="3"/>
  <c r="AZ66" i="3" s="1"/>
  <c r="BL68" i="3"/>
  <c r="G69" i="3"/>
  <c r="G71" i="3"/>
  <c r="G74" i="3"/>
  <c r="BA76" i="3"/>
  <c r="BL76" i="3"/>
  <c r="BL77" i="3"/>
  <c r="G78" i="3"/>
  <c r="BL79" i="3"/>
  <c r="G80" i="3"/>
  <c r="BL82" i="3"/>
  <c r="G83" i="3"/>
  <c r="G85" i="3"/>
  <c r="BL86" i="3"/>
  <c r="G87" i="3"/>
  <c r="G90" i="3"/>
  <c r="G92" i="3"/>
  <c r="BA93" i="3"/>
  <c r="AZ93" i="3" s="1"/>
  <c r="BL93" i="3"/>
  <c r="BA94" i="3"/>
  <c r="AZ94" i="3" s="1"/>
  <c r="BL94" i="3"/>
  <c r="BL95" i="3"/>
  <c r="G96" i="3"/>
  <c r="BL98" i="3"/>
  <c r="G99" i="3"/>
  <c r="BA100" i="3"/>
  <c r="BL100" i="3"/>
  <c r="BL101" i="3"/>
  <c r="G102" i="3"/>
  <c r="BA103" i="3"/>
  <c r="AZ103" i="3" s="1"/>
  <c r="BL103" i="3"/>
  <c r="BL104" i="3"/>
  <c r="G105" i="3"/>
  <c r="G107" i="3"/>
  <c r="BA109" i="3"/>
  <c r="BL109" i="3"/>
  <c r="AZ109" i="3" s="1"/>
  <c r="BL111" i="3"/>
  <c r="G112" i="3"/>
  <c r="AI12" i="46"/>
  <c r="L76" i="9"/>
  <c r="AA22" i="59"/>
  <c r="AB20" i="59"/>
  <c r="D14" i="59"/>
  <c r="E29" i="6"/>
  <c r="AC35" i="33"/>
  <c r="AC23" i="35"/>
  <c r="W23" i="35"/>
  <c r="AB34" i="36"/>
  <c r="U34" i="36"/>
  <c r="F30" i="6"/>
  <c r="F31" i="6" s="1"/>
  <c r="AZ16" i="3"/>
  <c r="S27" i="34"/>
  <c r="AA27" i="34"/>
  <c r="AC34" i="33"/>
  <c r="W34" i="33"/>
  <c r="U15" i="33"/>
  <c r="AB15" i="33"/>
  <c r="AB9" i="34"/>
  <c r="U9" i="34"/>
  <c r="W27" i="34"/>
  <c r="AC27" i="34"/>
  <c r="AC24" i="35"/>
  <c r="W24" i="35"/>
  <c r="AZ562" i="3"/>
  <c r="AZ572" i="3"/>
  <c r="H5" i="3"/>
  <c r="BG5" i="3"/>
  <c r="BA570" i="3"/>
  <c r="AZ570" i="3" s="1"/>
  <c r="BT5" i="3"/>
  <c r="U47" i="39"/>
  <c r="AC16" i="40"/>
  <c r="W34" i="40"/>
  <c r="AB37" i="39"/>
  <c r="AC15" i="40"/>
  <c r="S47" i="39"/>
  <c r="AB32" i="40"/>
  <c r="W35" i="40"/>
  <c r="W40" i="40"/>
  <c r="AZ482" i="3"/>
  <c r="AZ489" i="3"/>
  <c r="AZ513" i="3"/>
  <c r="AZ523" i="3"/>
  <c r="AA36" i="35"/>
  <c r="AZ374" i="3"/>
  <c r="AZ373" i="3"/>
  <c r="AZ365" i="3"/>
  <c r="AZ347" i="3"/>
  <c r="AZ379" i="3"/>
  <c r="AZ361" i="3"/>
  <c r="AZ345" i="3"/>
  <c r="AZ329" i="3"/>
  <c r="AZ305" i="3"/>
  <c r="AZ303" i="3"/>
  <c r="U12" i="37"/>
  <c r="AA13" i="33"/>
  <c r="AZ538" i="3"/>
  <c r="AZ492" i="3"/>
  <c r="AZ520" i="3"/>
  <c r="AZ544" i="3"/>
  <c r="AZ493" i="3"/>
  <c r="S45" i="21"/>
  <c r="AA28" i="21"/>
  <c r="AB13" i="21"/>
  <c r="U30" i="33"/>
  <c r="AA38" i="37"/>
  <c r="AC34" i="36"/>
  <c r="S8" i="21"/>
  <c r="W33" i="33"/>
  <c r="U33" i="33"/>
  <c r="F9" i="35"/>
  <c r="H34" i="35"/>
  <c r="AB34" i="35" s="1"/>
  <c r="BA389" i="3"/>
  <c r="AZ389" i="3" s="1"/>
  <c r="BA390" i="3"/>
  <c r="AZ390" i="3" s="1"/>
  <c r="BA391" i="3"/>
  <c r="AZ391" i="3" s="1"/>
  <c r="BA393" i="3"/>
  <c r="AZ393" i="3" s="1"/>
  <c r="BA394" i="3"/>
  <c r="AZ394" i="3" s="1"/>
  <c r="BA396" i="3"/>
  <c r="AZ396" i="3" s="1"/>
  <c r="BL398" i="3"/>
  <c r="AZ398" i="3" s="1"/>
  <c r="G401" i="3"/>
  <c r="G402" i="3"/>
  <c r="BL402" i="3"/>
  <c r="G405" i="3"/>
  <c r="BL405" i="3"/>
  <c r="AZ405" i="3" s="1"/>
  <c r="BA406" i="3"/>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G568" i="3"/>
  <c r="G553" i="3"/>
  <c r="G548" i="3"/>
  <c r="G541" i="3"/>
  <c r="G533" i="3"/>
  <c r="G527" i="3"/>
  <c r="G519" i="3"/>
  <c r="G509" i="3"/>
  <c r="G503" i="3"/>
  <c r="G495" i="3"/>
  <c r="G486" i="3"/>
  <c r="G14" i="3"/>
  <c r="AZ402" i="3"/>
  <c r="AZ411" i="3"/>
  <c r="AZ417" i="3"/>
  <c r="AZ420" i="3"/>
  <c r="AZ427" i="3"/>
  <c r="AZ478" i="3"/>
  <c r="G211" i="3"/>
  <c r="BL211" i="3"/>
  <c r="AZ211" i="3" s="1"/>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BA117" i="3"/>
  <c r="AZ117" i="3" s="1"/>
  <c r="BL118" i="3"/>
  <c r="AZ118" i="3" s="1"/>
  <c r="BA120" i="3"/>
  <c r="AZ120" i="3" s="1"/>
  <c r="BA121" i="3"/>
  <c r="AZ121" i="3" s="1"/>
  <c r="BL122" i="3"/>
  <c r="AZ122" i="3" s="1"/>
  <c r="G126" i="3"/>
  <c r="G129" i="3"/>
  <c r="BL129" i="3"/>
  <c r="AZ129" i="3" s="1"/>
  <c r="BA131" i="3"/>
  <c r="AZ131" i="3" s="1"/>
  <c r="BL132" i="3"/>
  <c r="BA133" i="3"/>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G181" i="3"/>
  <c r="BL183" i="3"/>
  <c r="AZ183" i="3" s="1"/>
  <c r="BA185" i="3"/>
  <c r="AZ185" i="3" s="1"/>
  <c r="BL186" i="3"/>
  <c r="G189" i="3"/>
  <c r="BL191" i="3"/>
  <c r="AZ191" i="3" s="1"/>
  <c r="BA193" i="3"/>
  <c r="AZ193" i="3" s="1"/>
  <c r="BL194" i="3"/>
  <c r="G197" i="3"/>
  <c r="BL199" i="3"/>
  <c r="AZ199" i="3" s="1"/>
  <c r="BA201" i="3"/>
  <c r="AZ201" i="3" s="1"/>
  <c r="G203" i="3"/>
  <c r="G204" i="3"/>
  <c r="BL204" i="3"/>
  <c r="G22" i="3"/>
  <c r="BL22" i="3"/>
  <c r="BL24" i="3"/>
  <c r="AZ24" i="3" s="1"/>
  <c r="G26" i="3"/>
  <c r="BL26" i="3"/>
  <c r="G29" i="3"/>
  <c r="BL29" i="3"/>
  <c r="BA30" i="3"/>
  <c r="AZ30" i="3" s="1"/>
  <c r="BA31" i="3"/>
  <c r="AZ31" i="3" s="1"/>
  <c r="BA32" i="3"/>
  <c r="AZ32" i="3" s="1"/>
  <c r="G35" i="3"/>
  <c r="G36" i="3"/>
  <c r="BL36" i="3"/>
  <c r="AZ36" i="3" s="1"/>
  <c r="BA37" i="3"/>
  <c r="AZ37" i="3" s="1"/>
  <c r="BL39" i="3"/>
  <c r="AZ39" i="3" s="1"/>
  <c r="G42" i="3"/>
  <c r="BL42" i="3"/>
  <c r="AZ29" i="3"/>
  <c r="AZ42" i="3"/>
  <c r="B13" i="1"/>
  <c r="E13" i="1" s="1"/>
  <c r="K13" i="1"/>
  <c r="M13" i="1" s="1"/>
  <c r="O13" i="1" s="1"/>
  <c r="P13" i="1" s="1"/>
  <c r="C26" i="59"/>
  <c r="D25" i="59"/>
  <c r="G45" i="3"/>
  <c r="BL45" i="3"/>
  <c r="AZ45" i="3" s="1"/>
  <c r="G47" i="3"/>
  <c r="G48" i="3"/>
  <c r="G49" i="3"/>
  <c r="BL49" i="3"/>
  <c r="G51" i="3"/>
  <c r="G52" i="3"/>
  <c r="BL52" i="3"/>
  <c r="G54" i="3"/>
  <c r="BL54" i="3"/>
  <c r="BL56" i="3"/>
  <c r="AZ56" i="3" s="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C27" i="40"/>
  <c r="S21" i="34"/>
  <c r="B65" i="46"/>
  <c r="B74" i="46"/>
  <c r="BA95" i="3"/>
  <c r="BA97" i="3"/>
  <c r="AZ97" i="3" s="1"/>
  <c r="BA98" i="3"/>
  <c r="BA99" i="3"/>
  <c r="AZ99" i="3" s="1"/>
  <c r="BA101" i="3"/>
  <c r="BA102" i="3"/>
  <c r="AZ102" i="3" s="1"/>
  <c r="BA104" i="3"/>
  <c r="BL106" i="3"/>
  <c r="AZ106" i="3" s="1"/>
  <c r="BA108" i="3"/>
  <c r="AZ108" i="3" s="1"/>
  <c r="BL110" i="3"/>
  <c r="AZ110" i="3" s="1"/>
  <c r="BA111" i="3"/>
  <c r="AZ111" i="3" s="1"/>
  <c r="BA112" i="3"/>
  <c r="AZ112" i="3" s="1"/>
  <c r="I15" i="57"/>
  <c r="E26" i="57"/>
  <c r="C46" i="59"/>
  <c r="C54" i="59"/>
  <c r="C55" i="59" s="1"/>
  <c r="AA18" i="59"/>
  <c r="X13" i="59"/>
  <c r="X8" i="59"/>
  <c r="AA8" i="59"/>
  <c r="AB13" i="59"/>
  <c r="X9" i="59"/>
  <c r="T39" i="59"/>
  <c r="D50" i="59"/>
  <c r="D71" i="59"/>
  <c r="C70" i="59"/>
  <c r="E66" i="59"/>
  <c r="E65" i="59" s="1"/>
  <c r="U63" i="59"/>
  <c r="C58" i="59"/>
  <c r="D37" i="59"/>
  <c r="X3" i="59"/>
  <c r="B38" i="59"/>
  <c r="B39" i="59" s="1"/>
  <c r="S39" i="59" s="1"/>
  <c r="B50" i="59"/>
  <c r="B51" i="59" s="1"/>
  <c r="S51" i="59" s="1"/>
  <c r="B58" i="59"/>
  <c r="B59" i="59" s="1"/>
  <c r="S59" i="59" s="1"/>
  <c r="F62" i="59"/>
  <c r="AE12" i="46"/>
  <c r="T19" i="59"/>
  <c r="B18" i="59"/>
  <c r="B17" i="59" s="1"/>
  <c r="B16" i="59" s="1"/>
  <c r="B15" i="59" s="1"/>
  <c r="S15" i="59" s="1"/>
  <c r="G23" i="43"/>
  <c r="G26" i="12"/>
  <c r="G28" i="12"/>
  <c r="F34" i="35"/>
  <c r="AA34" i="35" s="1"/>
  <c r="AC33" i="35"/>
  <c r="AB12" i="35"/>
  <c r="U12" i="35"/>
  <c r="F12" i="35"/>
  <c r="S22" i="35"/>
  <c r="AA32" i="36"/>
  <c r="AB33" i="36"/>
  <c r="U31" i="36"/>
  <c r="AA31" i="36"/>
  <c r="S30" i="36"/>
  <c r="AA27" i="36"/>
  <c r="U27" i="36"/>
  <c r="W28" i="36"/>
  <c r="AA28" i="36"/>
  <c r="AB28" i="36"/>
  <c r="AC26" i="36"/>
  <c r="AA20" i="36"/>
  <c r="W25" i="36"/>
  <c r="AC25" i="36"/>
  <c r="U23" i="36"/>
  <c r="S25" i="36"/>
  <c r="H25" i="36"/>
  <c r="AC24" i="36"/>
  <c r="W22" i="36"/>
  <c r="U22" i="36"/>
  <c r="AA22" i="36"/>
  <c r="W20" i="36"/>
  <c r="AB20" i="36"/>
  <c r="W18" i="36"/>
  <c r="H14" i="35"/>
  <c r="U14" i="35" s="1"/>
  <c r="J14" i="35"/>
  <c r="S16" i="36"/>
  <c r="J14" i="36"/>
  <c r="F14" i="36"/>
  <c r="AA14" i="36" s="1"/>
  <c r="F62" i="36"/>
  <c r="G62" i="36" s="1"/>
  <c r="H14" i="36"/>
  <c r="U18" i="36"/>
  <c r="U16" i="36"/>
  <c r="AB46" i="21"/>
  <c r="U46" i="21"/>
  <c r="F46" i="21"/>
  <c r="J46" i="21"/>
  <c r="AA25" i="21"/>
  <c r="W14" i="21"/>
  <c r="AC14" i="21"/>
  <c r="S14" i="21"/>
  <c r="H14" i="21"/>
  <c r="U14" i="21" s="1"/>
  <c r="U10" i="36"/>
  <c r="S10" i="36"/>
  <c r="AC9" i="36"/>
  <c r="W9" i="36"/>
  <c r="U9" i="36"/>
  <c r="F9" i="36"/>
  <c r="F38" i="21"/>
  <c r="S38" i="21" s="1"/>
  <c r="F42" i="21"/>
  <c r="AA42" i="21" s="1"/>
  <c r="S12" i="21"/>
  <c r="AA12" i="21"/>
  <c r="W26" i="33"/>
  <c r="AC26" i="33"/>
  <c r="B14" i="59"/>
  <c r="B13" i="59" s="1"/>
  <c r="B12" i="59" s="1"/>
  <c r="F14" i="59"/>
  <c r="F13" i="59" s="1"/>
  <c r="F12" i="59" s="1"/>
  <c r="F11" i="59" s="1"/>
  <c r="V15" i="59"/>
  <c r="AC9" i="33"/>
  <c r="W9" i="33"/>
  <c r="AC5" i="3"/>
  <c r="BI5" i="3"/>
  <c r="D12" i="59"/>
  <c r="C11" i="59"/>
  <c r="D13" i="59"/>
  <c r="D15" i="59"/>
  <c r="T15" i="59"/>
  <c r="H47" i="46"/>
  <c r="H54" i="46"/>
  <c r="H48" i="46"/>
  <c r="G28" i="6"/>
  <c r="E28" i="6" s="1"/>
  <c r="C11" i="21"/>
  <c r="H11" i="21" s="1"/>
  <c r="U11" i="21" s="1"/>
  <c r="C13" i="39"/>
  <c r="AC36" i="33"/>
  <c r="H29" i="39"/>
  <c r="U29" i="39" s="1"/>
  <c r="F29" i="39"/>
  <c r="AA29" i="39" s="1"/>
  <c r="AB17" i="37"/>
  <c r="AB44" i="33"/>
  <c r="S39" i="33"/>
  <c r="S27" i="37"/>
  <c r="AB43" i="33"/>
  <c r="AC28" i="34"/>
  <c r="AC28" i="33"/>
  <c r="AB31" i="33"/>
  <c r="AC13" i="36"/>
  <c r="S46" i="33"/>
  <c r="AB40" i="37"/>
  <c r="W46" i="33"/>
  <c r="W35" i="35"/>
  <c r="AA39" i="37"/>
  <c r="U9" i="21"/>
  <c r="AC40" i="21"/>
  <c r="J12" i="21"/>
  <c r="L9" i="12"/>
  <c r="F9" i="33"/>
  <c r="H9" i="33"/>
  <c r="C48" i="35"/>
  <c r="D48" i="35" s="1"/>
  <c r="E48" i="35" s="1"/>
  <c r="F48" i="35" s="1"/>
  <c r="G48" i="35" s="1"/>
  <c r="H48" i="35" s="1"/>
  <c r="I48" i="35" s="1"/>
  <c r="J48" i="35" s="1"/>
  <c r="K48" i="35" s="1"/>
  <c r="L48" i="35" s="1"/>
  <c r="M48" i="35" s="1"/>
  <c r="N48" i="35" s="1"/>
  <c r="O48" i="35" s="1"/>
  <c r="A11" i="55"/>
  <c r="B62" i="63" s="1"/>
  <c r="A2" i="55"/>
  <c r="B55" i="63" s="1"/>
  <c r="AZ432" i="3"/>
  <c r="AZ443" i="3"/>
  <c r="AZ447" i="3"/>
  <c r="AZ387" i="3"/>
  <c r="AZ219" i="3"/>
  <c r="AZ235" i="3"/>
  <c r="AZ251" i="3"/>
  <c r="AZ271" i="3"/>
  <c r="AZ283" i="3"/>
  <c r="AZ287" i="3"/>
  <c r="AZ159" i="3"/>
  <c r="AZ172" i="3"/>
  <c r="C47" i="59"/>
  <c r="D46" i="59"/>
  <c r="D54" i="59"/>
  <c r="F25" i="37"/>
  <c r="J25" i="37"/>
  <c r="F34" i="15"/>
  <c r="F61" i="15" s="1"/>
  <c r="F34" i="71"/>
  <c r="M20" i="71"/>
  <c r="K145" i="21"/>
  <c r="AZ392" i="3"/>
  <c r="AZ395" i="3"/>
  <c r="AZ397" i="3"/>
  <c r="AZ413" i="3"/>
  <c r="AZ457" i="3"/>
  <c r="AZ473" i="3"/>
  <c r="AZ318" i="3"/>
  <c r="AZ334" i="3"/>
  <c r="AZ350" i="3"/>
  <c r="AZ224" i="3"/>
  <c r="AZ227" i="3"/>
  <c r="AZ240" i="3"/>
  <c r="AZ256" i="3"/>
  <c r="AZ259" i="3"/>
  <c r="AZ279" i="3"/>
  <c r="AZ116" i="3"/>
  <c r="AZ132" i="3"/>
  <c r="AZ148" i="3"/>
  <c r="R12" i="1"/>
  <c r="K12" i="1"/>
  <c r="M12" i="1" s="1"/>
  <c r="O12" i="1" s="1"/>
  <c r="P12" i="1" s="1"/>
  <c r="Y28" i="59"/>
  <c r="Z28" i="59" s="1"/>
  <c r="C29" i="59"/>
  <c r="Y20" i="59"/>
  <c r="Z20" i="59" s="1"/>
  <c r="Y22" i="59"/>
  <c r="Z22" i="59" s="1"/>
  <c r="C34" i="59"/>
  <c r="D33" i="59"/>
  <c r="Y13" i="59"/>
  <c r="Z13" i="59" s="1"/>
  <c r="AZ186" i="3"/>
  <c r="AZ194" i="3"/>
  <c r="AZ204" i="3"/>
  <c r="AZ22" i="3"/>
  <c r="AZ26" i="3"/>
  <c r="AZ49" i="3"/>
  <c r="AZ52" i="3"/>
  <c r="AZ54" i="3"/>
  <c r="AZ76" i="3"/>
  <c r="AZ80" i="3"/>
  <c r="AZ83" i="3"/>
  <c r="AZ96" i="3"/>
  <c r="AZ100" i="3"/>
  <c r="AZ105" i="3"/>
  <c r="D1" i="57"/>
  <c r="E10" i="57" s="1"/>
  <c r="AA21" i="37"/>
  <c r="S21" i="37"/>
  <c r="N61" i="59"/>
  <c r="C82" i="59"/>
  <c r="Y23" i="59"/>
  <c r="Z23" i="59" s="1"/>
  <c r="AA24" i="59"/>
  <c r="AA3" i="59"/>
  <c r="AA21" i="59"/>
  <c r="AA23" i="59"/>
  <c r="AA20" i="59"/>
  <c r="E25" i="59"/>
  <c r="E26" i="59" s="1"/>
  <c r="E27" i="59" s="1"/>
  <c r="U27" i="59" s="1"/>
  <c r="X29" i="59"/>
  <c r="X21" i="59"/>
  <c r="AA32" i="59"/>
  <c r="E33" i="59"/>
  <c r="E34" i="59" s="1"/>
  <c r="E35" i="59" s="1"/>
  <c r="X5" i="59"/>
  <c r="X34" i="59"/>
  <c r="AB34" i="59"/>
  <c r="AB23" i="59"/>
  <c r="AB22" i="59"/>
  <c r="P62" i="59"/>
  <c r="E61" i="59"/>
  <c r="T67" i="59"/>
  <c r="C66" i="59"/>
  <c r="T75" i="59"/>
  <c r="C74" i="59"/>
  <c r="D75" i="59"/>
  <c r="G1" i="71"/>
  <c r="C42" i="1"/>
  <c r="C95" i="9" s="1"/>
  <c r="C92" i="9" s="1"/>
  <c r="J51" i="71"/>
  <c r="AB24" i="59"/>
  <c r="F25" i="59"/>
  <c r="F26" i="59" s="1"/>
  <c r="F27" i="59" s="1"/>
  <c r="V27" i="59" s="1"/>
  <c r="Y25" i="59"/>
  <c r="Z25" i="59" s="1"/>
  <c r="AB25" i="59"/>
  <c r="Y26" i="59"/>
  <c r="Z26" i="59" s="1"/>
  <c r="AB26" i="59"/>
  <c r="Y27" i="59"/>
  <c r="Z27" i="59" s="1"/>
  <c r="AB27" i="59"/>
  <c r="X28" i="59"/>
  <c r="B29" i="59"/>
  <c r="B30" i="59" s="1"/>
  <c r="B31" i="59" s="1"/>
  <c r="S31" i="59" s="1"/>
  <c r="X20" i="59"/>
  <c r="X22" i="59"/>
  <c r="AB32" i="59"/>
  <c r="F33" i="59"/>
  <c r="F34" i="59" s="1"/>
  <c r="F35" i="59" s="1"/>
  <c r="V35" i="59" s="1"/>
  <c r="AB33" i="59"/>
  <c r="AA5" i="59"/>
  <c r="C42" i="59"/>
  <c r="D42" i="59" s="1"/>
  <c r="D41" i="59"/>
  <c r="O63" i="59"/>
  <c r="C62" i="59"/>
  <c r="D79" i="59"/>
  <c r="C78" i="59"/>
  <c r="Y18" i="59"/>
  <c r="Z18" i="59" s="1"/>
  <c r="Y19" i="59"/>
  <c r="Z19" i="59" s="1"/>
  <c r="C23" i="59"/>
  <c r="F23" i="59"/>
  <c r="AB18" i="59"/>
  <c r="AB19" i="59"/>
  <c r="AB3" i="59"/>
  <c r="AB21" i="59"/>
  <c r="L16" i="4"/>
  <c r="X24" i="59"/>
  <c r="Y24" i="59"/>
  <c r="Z24" i="59" s="1"/>
  <c r="X25" i="59"/>
  <c r="AA25" i="59"/>
  <c r="X26" i="59"/>
  <c r="AA26" i="59"/>
  <c r="X27" i="59"/>
  <c r="AA27" i="59"/>
  <c r="AA28" i="59"/>
  <c r="AB28" i="59"/>
  <c r="Y29" i="59"/>
  <c r="Z29" i="59" s="1"/>
  <c r="AB29" i="59"/>
  <c r="Y30" i="59"/>
  <c r="Z30" i="59" s="1"/>
  <c r="AB30" i="59"/>
  <c r="Y31" i="59"/>
  <c r="Z31" i="59" s="1"/>
  <c r="AB31" i="59"/>
  <c r="X32" i="59"/>
  <c r="Y32" i="59"/>
  <c r="Z32" i="59" s="1"/>
  <c r="X33" i="59"/>
  <c r="AA33" i="59"/>
  <c r="Y5" i="59"/>
  <c r="Z5" i="59" s="1"/>
  <c r="B22" i="59"/>
  <c r="B21" i="59" s="1"/>
  <c r="S23" i="59"/>
  <c r="U23" i="59"/>
  <c r="E22" i="59"/>
  <c r="E21" i="59" s="1"/>
  <c r="X18" i="59"/>
  <c r="AA16" i="59"/>
  <c r="Y8" i="59"/>
  <c r="Z8" i="59" s="1"/>
  <c r="K76" i="9"/>
  <c r="X16" i="59"/>
  <c r="AA13" i="59"/>
  <c r="AB10" i="59"/>
  <c r="X12" i="59"/>
  <c r="Y12" i="59"/>
  <c r="Z12" i="59" s="1"/>
  <c r="AA12" i="59"/>
  <c r="AB12" i="59"/>
  <c r="AB6" i="59"/>
  <c r="AB7" i="59"/>
  <c r="AB9" i="59"/>
  <c r="Y6" i="59"/>
  <c r="Z6" i="59" s="1"/>
  <c r="Y9" i="59"/>
  <c r="Z9" i="59" s="1"/>
  <c r="X7" i="59"/>
  <c r="X19" i="59"/>
  <c r="J51" i="15"/>
  <c r="J57" i="15" s="1"/>
  <c r="J55" i="15" s="1"/>
  <c r="J58" i="15" s="1"/>
  <c r="Q51" i="15" s="1"/>
  <c r="AA10" i="59"/>
  <c r="X11" i="59"/>
  <c r="AB5" i="59"/>
  <c r="AB8" i="59"/>
  <c r="Y7" i="59"/>
  <c r="Z7" i="59" s="1"/>
  <c r="AA6" i="59"/>
  <c r="AA7" i="59"/>
  <c r="AA9" i="59"/>
  <c r="X6" i="59"/>
  <c r="H32" i="21"/>
  <c r="U32" i="21" s="1"/>
  <c r="S34" i="35"/>
  <c r="W34" i="35"/>
  <c r="U34" i="35"/>
  <c r="W20" i="35"/>
  <c r="F70" i="35"/>
  <c r="G70" i="35" s="1"/>
  <c r="F20" i="35"/>
  <c r="S20" i="35" s="1"/>
  <c r="AB20" i="35"/>
  <c r="H16" i="35"/>
  <c r="U16" i="35" s="1"/>
  <c r="G66" i="35"/>
  <c r="F16" i="35"/>
  <c r="AA16" i="35" s="1"/>
  <c r="J16" i="35"/>
  <c r="S18" i="35"/>
  <c r="H87" i="35"/>
  <c r="I87" i="35" s="1"/>
  <c r="J87" i="35" s="1"/>
  <c r="K87" i="35" s="1"/>
  <c r="L87" i="35" s="1"/>
  <c r="M87" i="35" s="1"/>
  <c r="J29" i="35"/>
  <c r="H29" i="35"/>
  <c r="F29" i="35"/>
  <c r="S27" i="35"/>
  <c r="AB27" i="35"/>
  <c r="AC27" i="35"/>
  <c r="S30" i="35"/>
  <c r="AC30" i="35"/>
  <c r="S32" i="35"/>
  <c r="W32" i="35"/>
  <c r="AA20" i="35"/>
  <c r="S14" i="35"/>
  <c r="AB10" i="35"/>
  <c r="S10" i="35"/>
  <c r="AB9" i="35"/>
  <c r="U9" i="35"/>
  <c r="AC9" i="35"/>
  <c r="J26" i="35"/>
  <c r="H26" i="35"/>
  <c r="F26" i="35"/>
  <c r="W32" i="21"/>
  <c r="F11" i="21"/>
  <c r="S11" i="21" s="1"/>
  <c r="H23" i="21"/>
  <c r="AB23" i="21" s="1"/>
  <c r="J23" i="21"/>
  <c r="F81" i="21"/>
  <c r="F19" i="21" s="1"/>
  <c r="W9" i="21"/>
  <c r="AA9" i="21"/>
  <c r="F109" i="39"/>
  <c r="F34" i="39"/>
  <c r="AA34" i="39" s="1"/>
  <c r="J34" i="39"/>
  <c r="AC34" i="39" s="1"/>
  <c r="S44" i="21"/>
  <c r="W44" i="21"/>
  <c r="AB10" i="21"/>
  <c r="S10" i="21"/>
  <c r="H113" i="21"/>
  <c r="F37" i="21"/>
  <c r="H37" i="21"/>
  <c r="J37" i="21"/>
  <c r="S21" i="21"/>
  <c r="H17" i="21"/>
  <c r="F79" i="21"/>
  <c r="G79" i="21" s="1"/>
  <c r="F17" i="21"/>
  <c r="S17" i="21" s="1"/>
  <c r="J17" i="21"/>
  <c r="AC17" i="21" s="1"/>
  <c r="J15" i="21"/>
  <c r="AC15" i="21" s="1"/>
  <c r="F15" i="21"/>
  <c r="G77" i="21"/>
  <c r="H15" i="21"/>
  <c r="W10" i="21"/>
  <c r="U35" i="21"/>
  <c r="U39" i="21"/>
  <c r="S39" i="21"/>
  <c r="W39" i="21"/>
  <c r="AB36" i="21"/>
  <c r="U42" i="21"/>
  <c r="AC42" i="21"/>
  <c r="U38" i="21"/>
  <c r="AA36" i="21"/>
  <c r="AC35" i="21"/>
  <c r="S35" i="21"/>
  <c r="AC34" i="21"/>
  <c r="S34" i="21"/>
  <c r="U34" i="21"/>
  <c r="S32" i="21"/>
  <c r="S23" i="21"/>
  <c r="A30" i="51"/>
  <c r="B22" i="63" s="1"/>
  <c r="A30" i="64"/>
  <c r="S34" i="39"/>
  <c r="J36" i="39"/>
  <c r="AC36" i="39" s="1"/>
  <c r="H36" i="39"/>
  <c r="AB36" i="39" s="1"/>
  <c r="F36" i="39"/>
  <c r="S29" i="39"/>
  <c r="S27" i="39"/>
  <c r="S41" i="39"/>
  <c r="F126" i="39"/>
  <c r="G126" i="39" s="1"/>
  <c r="H126" i="39" s="1"/>
  <c r="I126" i="39" s="1"/>
  <c r="J126" i="39" s="1"/>
  <c r="K126" i="39" s="1"/>
  <c r="L126" i="39" s="1"/>
  <c r="M126" i="39" s="1"/>
  <c r="F43" i="39"/>
  <c r="S43" i="39" s="1"/>
  <c r="S40" i="39"/>
  <c r="U23" i="39"/>
  <c r="AC31" i="39"/>
  <c r="W33" i="39"/>
  <c r="S31" i="39"/>
  <c r="W29" i="39"/>
  <c r="W27" i="39"/>
  <c r="U27" i="39"/>
  <c r="F91" i="39"/>
  <c r="F17" i="39" s="1"/>
  <c r="AA17" i="39" s="1"/>
  <c r="W25" i="39"/>
  <c r="S25" i="39"/>
  <c r="AB25" i="39"/>
  <c r="S23" i="39"/>
  <c r="W23" i="39"/>
  <c r="C31" i="39"/>
  <c r="W36" i="39"/>
  <c r="U40" i="39"/>
  <c r="W40" i="39"/>
  <c r="W41" i="39"/>
  <c r="U41" i="39"/>
  <c r="W43" i="39"/>
  <c r="W16" i="39"/>
  <c r="S16" i="39"/>
  <c r="AB15" i="39"/>
  <c r="H71" i="46"/>
  <c r="H70" i="46"/>
  <c r="H73" i="46"/>
  <c r="H75" i="46"/>
  <c r="H72" i="46"/>
  <c r="H77" i="46"/>
  <c r="H74" i="46"/>
  <c r="H69" i="46"/>
  <c r="H76" i="46"/>
  <c r="B54" i="46"/>
  <c r="P75" i="15"/>
  <c r="B41" i="1"/>
  <c r="F70" i="9" s="1"/>
  <c r="G13" i="3"/>
  <c r="BL5" i="3"/>
  <c r="E15" i="6"/>
  <c r="E11" i="6"/>
  <c r="E13" i="6"/>
  <c r="E65" i="39" s="1"/>
  <c r="D21" i="12"/>
  <c r="C21" i="12" s="1"/>
  <c r="O7" i="1"/>
  <c r="P7" i="1" s="1"/>
  <c r="O11" i="1"/>
  <c r="P11" i="1" s="1"/>
  <c r="O10" i="1"/>
  <c r="P10" i="1" s="1"/>
  <c r="O9" i="1"/>
  <c r="P9" i="1" s="1"/>
  <c r="G17" i="46"/>
  <c r="C16" i="46" s="1"/>
  <c r="C5" i="46" s="1"/>
  <c r="H58" i="46"/>
  <c r="D5" i="46"/>
  <c r="O41" i="9"/>
  <c r="R8" i="54" s="1"/>
  <c r="B54" i="63" s="1"/>
  <c r="I14" i="66"/>
  <c r="B8" i="66" s="1"/>
  <c r="O40" i="9"/>
  <c r="R7" i="54" s="1"/>
  <c r="B52" i="63" s="1"/>
  <c r="A25" i="51"/>
  <c r="B18" i="63" s="1"/>
  <c r="G10" i="1"/>
  <c r="G13" i="1"/>
  <c r="C25" i="12"/>
  <c r="D23" i="15"/>
  <c r="L52" i="37"/>
  <c r="M52" i="37" s="1"/>
  <c r="N52" i="37" s="1"/>
  <c r="O52" i="37" s="1"/>
  <c r="I46" i="36"/>
  <c r="D59" i="34"/>
  <c r="E59" i="34" s="1"/>
  <c r="F59" i="34" s="1"/>
  <c r="G59" i="34" s="1"/>
  <c r="H59" i="34" s="1"/>
  <c r="I59" i="34" s="1"/>
  <c r="J59" i="34" s="1"/>
  <c r="K59" i="34" s="1"/>
  <c r="L59" i="34" s="1"/>
  <c r="M59" i="34" s="1"/>
  <c r="N59" i="34" s="1"/>
  <c r="O59" i="34" s="1"/>
  <c r="D70" i="39"/>
  <c r="C72" i="39"/>
  <c r="C67" i="40"/>
  <c r="C18" i="11"/>
  <c r="K77" i="9"/>
  <c r="K79" i="9" s="1"/>
  <c r="K81" i="9" s="1"/>
  <c r="E12" i="52"/>
  <c r="B15" i="52"/>
  <c r="F31" i="15"/>
  <c r="F33" i="44"/>
  <c r="E11" i="59"/>
  <c r="B11" i="59"/>
  <c r="X10" i="59"/>
  <c r="Y10" i="59"/>
  <c r="Z10"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C36" i="44"/>
  <c r="F50" i="15"/>
  <c r="C27" i="15"/>
  <c r="I1" i="65"/>
  <c r="L59" i="15"/>
  <c r="L58" i="15"/>
  <c r="J53" i="15"/>
  <c r="I55" i="44"/>
  <c r="J54" i="44"/>
  <c r="L57" i="44"/>
  <c r="J58" i="44"/>
  <c r="J56" i="44" s="1"/>
  <c r="J59" i="44" s="1"/>
  <c r="Q52" i="44" s="1"/>
  <c r="J60" i="44"/>
  <c r="J61" i="44"/>
  <c r="Q50" i="44" s="1"/>
  <c r="Q72" i="15"/>
  <c r="C4" i="65"/>
  <c r="B39" i="1" s="1"/>
  <c r="M31" i="44"/>
  <c r="F45" i="44"/>
  <c r="M30" i="44"/>
  <c r="F9" i="44"/>
  <c r="F46" i="44"/>
  <c r="F37" i="15"/>
  <c r="M27" i="15"/>
  <c r="F36" i="15"/>
  <c r="J5" i="65"/>
  <c r="F43" i="15"/>
  <c r="M11" i="44"/>
  <c r="M23" i="44"/>
  <c r="F7" i="15"/>
  <c r="I5" i="65"/>
  <c r="L48" i="44"/>
  <c r="F40" i="15"/>
  <c r="M22" i="15"/>
  <c r="C16" i="15"/>
  <c r="M23" i="15"/>
  <c r="F11" i="44"/>
  <c r="F38" i="44"/>
  <c r="C19" i="44"/>
  <c r="M24" i="44"/>
  <c r="I4" i="65"/>
  <c r="F28" i="44"/>
  <c r="I7" i="65"/>
  <c r="J3" i="65"/>
  <c r="M25" i="44"/>
  <c r="I3" i="65"/>
  <c r="M8" i="44"/>
  <c r="M26" i="15"/>
  <c r="F13" i="15"/>
  <c r="F18" i="44"/>
  <c r="M28" i="15"/>
  <c r="I6" i="65"/>
  <c r="J7" i="65"/>
  <c r="M9" i="15"/>
  <c r="M28" i="44"/>
  <c r="F38" i="15"/>
  <c r="J4" i="65"/>
  <c r="F43" i="44"/>
  <c r="J6" i="65"/>
  <c r="M10" i="44"/>
  <c r="F40" i="44"/>
  <c r="F9" i="15"/>
  <c r="F10" i="44"/>
  <c r="D58" i="21" l="1"/>
  <c r="E58" i="21" s="1"/>
  <c r="F58" i="21" s="1"/>
  <c r="G58" i="21" s="1"/>
  <c r="H58" i="21" s="1"/>
  <c r="I58" i="21" s="1"/>
  <c r="J58" i="21" s="1"/>
  <c r="K58" i="21" s="1"/>
  <c r="L58" i="21" s="1"/>
  <c r="M58" i="21" s="1"/>
  <c r="N58" i="21" s="1"/>
  <c r="O58" i="21" s="1"/>
  <c r="J7" i="21"/>
  <c r="AC7" i="21" s="1"/>
  <c r="I54" i="15"/>
  <c r="J11" i="21"/>
  <c r="W11" i="21" s="1"/>
  <c r="F33" i="21"/>
  <c r="AP16" i="1"/>
  <c r="F22" i="11" s="1"/>
  <c r="Q16" i="1"/>
  <c r="F33" i="12" s="1"/>
  <c r="C34" i="12" s="1"/>
  <c r="D33" i="12" s="1"/>
  <c r="H16" i="1"/>
  <c r="F67" i="15"/>
  <c r="F64" i="15"/>
  <c r="F63" i="15"/>
  <c r="F70" i="15"/>
  <c r="F65" i="15"/>
  <c r="M9" i="44"/>
  <c r="J8" i="44" s="1"/>
  <c r="F49" i="15"/>
  <c r="C48" i="15" s="1"/>
  <c r="C6" i="15"/>
  <c r="M7" i="15"/>
  <c r="M17" i="15" s="1"/>
  <c r="AB33" i="21"/>
  <c r="U33" i="21"/>
  <c r="K15" i="1"/>
  <c r="L19" i="6"/>
  <c r="L27" i="6" s="1"/>
  <c r="AZ124" i="3"/>
  <c r="D18" i="9"/>
  <c r="M44" i="9" s="1"/>
  <c r="M43" i="9"/>
  <c r="AA26" i="37"/>
  <c r="S26" i="37"/>
  <c r="AB26" i="36"/>
  <c r="U26" i="36"/>
  <c r="AB32" i="35"/>
  <c r="U32" i="35"/>
  <c r="U12" i="21"/>
  <c r="AB12" i="21"/>
  <c r="AC28" i="21"/>
  <c r="W28" i="21"/>
  <c r="AC30" i="21"/>
  <c r="W30" i="21"/>
  <c r="B20" i="31"/>
  <c r="R22" i="31"/>
  <c r="B21" i="31" s="1"/>
  <c r="J7" i="33"/>
  <c r="G30" i="6"/>
  <c r="G31" i="6" s="1"/>
  <c r="AB29" i="39"/>
  <c r="AA38" i="21"/>
  <c r="H19" i="21"/>
  <c r="AB19" i="21" s="1"/>
  <c r="K17" i="4"/>
  <c r="A22" i="51" s="1"/>
  <c r="B16" i="63" s="1"/>
  <c r="E12" i="6"/>
  <c r="E64" i="39" s="1"/>
  <c r="J33" i="21"/>
  <c r="AC33" i="21" s="1"/>
  <c r="AZ104" i="3"/>
  <c r="AZ101" i="3"/>
  <c r="AZ98" i="3"/>
  <c r="AZ95" i="3"/>
  <c r="AZ133" i="3"/>
  <c r="AZ472" i="3"/>
  <c r="AZ435" i="3"/>
  <c r="AZ406" i="3"/>
  <c r="AZ64" i="3"/>
  <c r="AZ55" i="3"/>
  <c r="AZ33" i="3"/>
  <c r="AZ195" i="3"/>
  <c r="AZ190" i="3"/>
  <c r="AZ175" i="3"/>
  <c r="AZ444" i="3"/>
  <c r="AZ428" i="3"/>
  <c r="AZ403" i="3"/>
  <c r="AZ399" i="3"/>
  <c r="AZ276" i="3"/>
  <c r="AZ248" i="3"/>
  <c r="AZ244" i="3"/>
  <c r="AZ216" i="3"/>
  <c r="AZ212" i="3"/>
  <c r="AZ385" i="3"/>
  <c r="W16" i="36"/>
  <c r="AC16" i="36"/>
  <c r="S30" i="21"/>
  <c r="AA30" i="21"/>
  <c r="D70" i="59"/>
  <c r="C69" i="59"/>
  <c r="D69" i="59" s="1"/>
  <c r="BA5" i="3"/>
  <c r="E27" i="6" s="1"/>
  <c r="K25" i="6" s="1"/>
  <c r="M25" i="6" s="1"/>
  <c r="I25" i="6" s="1"/>
  <c r="S25" i="6" s="1"/>
  <c r="H7" i="34"/>
  <c r="U7" i="34" s="1"/>
  <c r="AZ5" i="3"/>
  <c r="E3" i="6" s="1"/>
  <c r="D16" i="43" s="1"/>
  <c r="C16" i="43" s="1"/>
  <c r="Q62" i="59"/>
  <c r="F61" i="59"/>
  <c r="C59" i="59"/>
  <c r="D58" i="59"/>
  <c r="C27" i="59"/>
  <c r="D26" i="59"/>
  <c r="AA9" i="35"/>
  <c r="S9" i="35"/>
  <c r="AA12" i="35"/>
  <c r="S12" i="35"/>
  <c r="AB25" i="36"/>
  <c r="U25" i="36"/>
  <c r="S14" i="36"/>
  <c r="AB14" i="35"/>
  <c r="AC14" i="35"/>
  <c r="W14" i="35"/>
  <c r="U14" i="36"/>
  <c r="AB14" i="36"/>
  <c r="AC14" i="36"/>
  <c r="W14" i="36"/>
  <c r="W46" i="21"/>
  <c r="AC46" i="21"/>
  <c r="S46" i="21"/>
  <c r="AA46" i="21"/>
  <c r="AB14" i="21"/>
  <c r="AA9" i="36"/>
  <c r="S9" i="36"/>
  <c r="S42" i="21"/>
  <c r="AB11" i="21"/>
  <c r="J1" i="65"/>
  <c r="C8" i="44"/>
  <c r="C29" i="44"/>
  <c r="Q73" i="44"/>
  <c r="L59" i="44"/>
  <c r="Q75" i="44" s="1"/>
  <c r="L60" i="44"/>
  <c r="Q63" i="44" s="1"/>
  <c r="J22" i="44"/>
  <c r="AA19" i="21"/>
  <c r="S19" i="21"/>
  <c r="E10" i="59"/>
  <c r="E9" i="59" s="1"/>
  <c r="E8" i="59" s="1"/>
  <c r="E7" i="59" s="1"/>
  <c r="U11" i="59"/>
  <c r="F28" i="15"/>
  <c r="C28" i="15" s="1"/>
  <c r="M18" i="71"/>
  <c r="F32" i="71"/>
  <c r="F59" i="71" s="1"/>
  <c r="F28" i="71"/>
  <c r="C28" i="71" s="1"/>
  <c r="D23" i="59"/>
  <c r="T23" i="59"/>
  <c r="C22" i="59"/>
  <c r="M19" i="46"/>
  <c r="U35" i="59"/>
  <c r="C35" i="59"/>
  <c r="D34" i="59"/>
  <c r="F61" i="71"/>
  <c r="W25" i="37"/>
  <c r="AC25" i="37"/>
  <c r="D55" i="59"/>
  <c r="T55" i="59"/>
  <c r="AB9" i="33"/>
  <c r="U9" i="33"/>
  <c r="H13" i="39"/>
  <c r="J13" i="39"/>
  <c r="C10" i="59"/>
  <c r="T11" i="59"/>
  <c r="W33" i="21"/>
  <c r="L56" i="15"/>
  <c r="D11" i="59"/>
  <c r="B10" i="59"/>
  <c r="B9" i="59" s="1"/>
  <c r="B8" i="59" s="1"/>
  <c r="B7" i="59" s="1"/>
  <c r="B6" i="59" s="1"/>
  <c r="S11" i="59"/>
  <c r="F7" i="34"/>
  <c r="AA7" i="34" s="1"/>
  <c r="R49" i="34" s="1"/>
  <c r="J7" i="34"/>
  <c r="W7" i="34" s="1"/>
  <c r="C15" i="43"/>
  <c r="E60" i="40"/>
  <c r="E10" i="6"/>
  <c r="E14" i="6"/>
  <c r="F66" i="9"/>
  <c r="P72" i="9" s="1"/>
  <c r="F30" i="44"/>
  <c r="C30" i="44" s="1"/>
  <c r="U36" i="39"/>
  <c r="F13" i="39"/>
  <c r="AA13" i="39" s="1"/>
  <c r="AB16" i="35"/>
  <c r="V23" i="59"/>
  <c r="F22" i="59"/>
  <c r="F21" i="59" s="1"/>
  <c r="D78" i="59"/>
  <c r="C77" i="59"/>
  <c r="D77" i="59" s="1"/>
  <c r="O62" i="59"/>
  <c r="D62" i="59"/>
  <c r="C61" i="59"/>
  <c r="C73" i="59"/>
  <c r="D73" i="59" s="1"/>
  <c r="D74" i="59"/>
  <c r="D66" i="59"/>
  <c r="C65" i="59"/>
  <c r="D65" i="59" s="1"/>
  <c r="P60" i="59"/>
  <c r="P61" i="59"/>
  <c r="D82" i="59"/>
  <c r="C81" i="59"/>
  <c r="D81" i="59" s="1"/>
  <c r="D29" i="59"/>
  <c r="C30" i="59"/>
  <c r="AA25" i="37"/>
  <c r="S25" i="37"/>
  <c r="D47" i="59"/>
  <c r="T47" i="59"/>
  <c r="S9" i="33"/>
  <c r="AA9" i="33"/>
  <c r="AC12" i="21"/>
  <c r="W12" i="21"/>
  <c r="AA33" i="21"/>
  <c r="S33" i="21"/>
  <c r="F10" i="59"/>
  <c r="F9" i="59" s="1"/>
  <c r="F8" i="59" s="1"/>
  <c r="F7" i="59" s="1"/>
  <c r="V11" i="59"/>
  <c r="AC11" i="21"/>
  <c r="AA11" i="21"/>
  <c r="AB32" i="21"/>
  <c r="S16" i="35"/>
  <c r="W16" i="35"/>
  <c r="AC16" i="35"/>
  <c r="S29" i="35"/>
  <c r="AA29" i="35"/>
  <c r="AC29" i="35"/>
  <c r="W29" i="35"/>
  <c r="U29" i="35"/>
  <c r="AB29" i="35"/>
  <c r="U26" i="35"/>
  <c r="AB26" i="35"/>
  <c r="AA26" i="35"/>
  <c r="S26" i="35"/>
  <c r="W26" i="35"/>
  <c r="AC26" i="35"/>
  <c r="W17" i="21"/>
  <c r="W15" i="21"/>
  <c r="U23" i="21"/>
  <c r="W23" i="21"/>
  <c r="AC23" i="21"/>
  <c r="G81" i="21"/>
  <c r="J19" i="21"/>
  <c r="W34" i="39"/>
  <c r="G109" i="39"/>
  <c r="H109" i="39" s="1"/>
  <c r="I109" i="39" s="1"/>
  <c r="J109" i="39" s="1"/>
  <c r="K109" i="39" s="1"/>
  <c r="L109" i="39" s="1"/>
  <c r="M109" i="39" s="1"/>
  <c r="H34" i="39"/>
  <c r="W37" i="21"/>
  <c r="AC37" i="21"/>
  <c r="S37" i="21"/>
  <c r="AA37" i="21"/>
  <c r="U37" i="21"/>
  <c r="AB37" i="21"/>
  <c r="U19" i="21"/>
  <c r="AA17" i="21"/>
  <c r="AB17" i="21"/>
  <c r="U17" i="21"/>
  <c r="AB15" i="21"/>
  <c r="U15" i="21"/>
  <c r="S15" i="21"/>
  <c r="AA15" i="21"/>
  <c r="AA36" i="39"/>
  <c r="S36" i="39"/>
  <c r="AA43" i="39"/>
  <c r="S17" i="39"/>
  <c r="G91" i="39"/>
  <c r="J17" i="39"/>
  <c r="H17" i="39"/>
  <c r="M11" i="71"/>
  <c r="J10" i="71" s="1"/>
  <c r="F11" i="71"/>
  <c r="F72" i="9"/>
  <c r="M20" i="44"/>
  <c r="F34" i="44"/>
  <c r="F71" i="9"/>
  <c r="F29" i="12"/>
  <c r="F31" i="43"/>
  <c r="C31" i="43" s="1"/>
  <c r="M18" i="15"/>
  <c r="F27" i="43"/>
  <c r="C27" i="43" s="1"/>
  <c r="D86" i="9"/>
  <c r="F32" i="15"/>
  <c r="F59" i="15" s="1"/>
  <c r="G5" i="3"/>
  <c r="B3" i="3" s="1"/>
  <c r="E6" i="6"/>
  <c r="D22" i="12" s="1"/>
  <c r="C22" i="12" s="1"/>
  <c r="C20" i="12" s="1"/>
  <c r="K14" i="1"/>
  <c r="E30" i="6"/>
  <c r="E63" i="39"/>
  <c r="E58" i="40"/>
  <c r="E67" i="39"/>
  <c r="E62" i="40"/>
  <c r="P6" i="1"/>
  <c r="C15" i="12" s="1"/>
  <c r="E34" i="1" s="1"/>
  <c r="F34" i="1" s="1"/>
  <c r="G16" i="1"/>
  <c r="J12" i="40" s="1"/>
  <c r="F7" i="21"/>
  <c r="AA7" i="21" s="1"/>
  <c r="H7" i="21"/>
  <c r="AB7" i="21" s="1"/>
  <c r="S7" i="59"/>
  <c r="E6" i="59"/>
  <c r="U7" i="59"/>
  <c r="F58" i="15"/>
  <c r="H7" i="35"/>
  <c r="U7" i="35" s="1"/>
  <c r="E65" i="40"/>
  <c r="D67" i="40"/>
  <c r="AC7" i="33"/>
  <c r="V48" i="33" s="1"/>
  <c r="I48" i="33" s="1"/>
  <c r="W7" i="33"/>
  <c r="S7" i="34"/>
  <c r="AC7" i="34"/>
  <c r="V49" i="34" s="1"/>
  <c r="I49" i="34" s="1"/>
  <c r="J7" i="37"/>
  <c r="W7" i="21"/>
  <c r="D72" i="39"/>
  <c r="E70" i="39"/>
  <c r="AB7" i="34"/>
  <c r="T49" i="34" s="1"/>
  <c r="G49" i="34" s="1"/>
  <c r="H7" i="33"/>
  <c r="F7" i="33"/>
  <c r="J46" i="36"/>
  <c r="J7" i="35"/>
  <c r="F7" i="35"/>
  <c r="H7" i="37"/>
  <c r="F7" i="37"/>
  <c r="M19" i="44"/>
  <c r="C19" i="46"/>
  <c r="L47" i="44"/>
  <c r="Q62" i="15"/>
  <c r="Q75" i="15"/>
  <c r="M13" i="44"/>
  <c r="J12" i="44" s="1"/>
  <c r="F11" i="15"/>
  <c r="M11" i="15"/>
  <c r="J10" i="15" s="1"/>
  <c r="F13" i="44"/>
  <c r="C12" i="44" s="1"/>
  <c r="M28" i="46"/>
  <c r="P28" i="46"/>
  <c r="O28" i="46"/>
  <c r="G20" i="46" s="1"/>
  <c r="N28" i="46"/>
  <c r="F1" i="44"/>
  <c r="Q54" i="44"/>
  <c r="F1" i="15"/>
  <c r="Q53" i="15"/>
  <c r="Q61" i="15"/>
  <c r="Q74" i="15"/>
  <c r="AE7" i="1"/>
  <c r="L47" i="71"/>
  <c r="M28" i="71"/>
  <c r="F38" i="71"/>
  <c r="F42" i="71"/>
  <c r="F37" i="71"/>
  <c r="F16" i="71"/>
  <c r="F7" i="71"/>
  <c r="E2" i="65"/>
  <c r="F8" i="71"/>
  <c r="M8" i="71"/>
  <c r="F40" i="71"/>
  <c r="M26" i="71"/>
  <c r="M22" i="71"/>
  <c r="M9" i="71"/>
  <c r="F26" i="71"/>
  <c r="L48" i="71"/>
  <c r="F36" i="71"/>
  <c r="F9" i="71"/>
  <c r="F6" i="71"/>
  <c r="C18" i="44"/>
  <c r="J36" i="71"/>
  <c r="J15" i="71"/>
  <c r="F41" i="71"/>
  <c r="M29" i="71"/>
  <c r="M27" i="71"/>
  <c r="M23" i="71"/>
  <c r="M6" i="71"/>
  <c r="M24" i="71"/>
  <c r="F13" i="71"/>
  <c r="F43" i="71"/>
  <c r="E3" i="65"/>
  <c r="B40" i="1" l="1"/>
  <c r="F24" i="71" s="1"/>
  <c r="F24" i="43"/>
  <c r="C26" i="43" s="1"/>
  <c r="D24" i="43" s="1"/>
  <c r="D45" i="9"/>
  <c r="S13" i="39"/>
  <c r="E59" i="40"/>
  <c r="J6" i="15"/>
  <c r="J5" i="15" s="1"/>
  <c r="E31" i="6"/>
  <c r="K24" i="6"/>
  <c r="M24" i="6" s="1"/>
  <c r="I24" i="6" s="1"/>
  <c r="S24" i="6" s="1"/>
  <c r="K21" i="6"/>
  <c r="K22" i="6"/>
  <c r="M22" i="6" s="1"/>
  <c r="I22" i="6" s="1"/>
  <c r="S22" i="6" s="1"/>
  <c r="K20" i="6"/>
  <c r="S7" i="1" s="1"/>
  <c r="K19" i="6"/>
  <c r="S6" i="1" s="1"/>
  <c r="D16" i="12"/>
  <c r="C16" i="12" s="1"/>
  <c r="D46" i="9"/>
  <c r="L38" i="9"/>
  <c r="B14" i="66" s="1"/>
  <c r="B1" i="66" s="1"/>
  <c r="C7" i="66" s="1"/>
  <c r="C21" i="4"/>
  <c r="O5" i="54" s="1"/>
  <c r="B45" i="63" s="1"/>
  <c r="K23" i="6"/>
  <c r="M23" i="6" s="1"/>
  <c r="I23" i="6" s="1"/>
  <c r="S23" i="6" s="1"/>
  <c r="K26" i="6"/>
  <c r="M26" i="6" s="1"/>
  <c r="I26" i="6" s="1"/>
  <c r="S26" i="6" s="1"/>
  <c r="D13" i="11"/>
  <c r="C13" i="11" s="1"/>
  <c r="E16" i="6"/>
  <c r="C34" i="44"/>
  <c r="D27" i="59"/>
  <c r="T27" i="59"/>
  <c r="D59" i="59"/>
  <c r="T59" i="59"/>
  <c r="J20" i="44"/>
  <c r="Q61" i="59"/>
  <c r="Q60" i="59"/>
  <c r="C8" i="66"/>
  <c r="R48" i="21"/>
  <c r="E48" i="21" s="1"/>
  <c r="Q62" i="44"/>
  <c r="Q76" i="44"/>
  <c r="J7" i="44"/>
  <c r="J28" i="44" s="1"/>
  <c r="J31" i="44" s="1"/>
  <c r="C7" i="44"/>
  <c r="C40" i="44" s="1"/>
  <c r="L56" i="71"/>
  <c r="L60" i="71"/>
  <c r="J53" i="71"/>
  <c r="L57" i="71"/>
  <c r="I54" i="71"/>
  <c r="J57" i="71"/>
  <c r="J55" i="71" s="1"/>
  <c r="J58" i="71" s="1"/>
  <c r="Q51" i="71" s="1"/>
  <c r="J59" i="71"/>
  <c r="J60" i="71"/>
  <c r="Q49" i="71" s="1"/>
  <c r="C6" i="71"/>
  <c r="C27" i="71"/>
  <c r="Q72" i="71"/>
  <c r="F64" i="71"/>
  <c r="F65" i="71"/>
  <c r="L59" i="71"/>
  <c r="L58" i="71"/>
  <c r="F63" i="71"/>
  <c r="F70" i="71"/>
  <c r="F67" i="71"/>
  <c r="F50" i="71"/>
  <c r="M7" i="71"/>
  <c r="J6" i="71" s="1"/>
  <c r="J18" i="71" s="1"/>
  <c r="F49" i="71"/>
  <c r="F17" i="11"/>
  <c r="C17" i="11" s="1"/>
  <c r="C19" i="11" s="1"/>
  <c r="C20" i="11" s="1"/>
  <c r="C21" i="11" s="1"/>
  <c r="C22" i="11" s="1"/>
  <c r="C23" i="11" s="1"/>
  <c r="B2" i="11" s="1"/>
  <c r="E41" i="46"/>
  <c r="C41" i="46" s="1"/>
  <c r="C39" i="46" s="1"/>
  <c r="E39" i="46" s="1"/>
  <c r="C20" i="46"/>
  <c r="C34" i="46" s="1"/>
  <c r="F6" i="59"/>
  <c r="F5" i="59" s="1"/>
  <c r="V5" i="59" s="1"/>
  <c r="V7" i="59"/>
  <c r="C31" i="59"/>
  <c r="D30" i="59"/>
  <c r="C9" i="59"/>
  <c r="D10" i="59"/>
  <c r="AB13" i="39"/>
  <c r="U13" i="39"/>
  <c r="D35" i="59"/>
  <c r="T35" i="59"/>
  <c r="T48" i="21"/>
  <c r="G48" i="21" s="1"/>
  <c r="G52" i="21" s="1"/>
  <c r="H52" i="21" s="1"/>
  <c r="D61" i="59"/>
  <c r="O61" i="59"/>
  <c r="O60" i="59"/>
  <c r="E66" i="39"/>
  <c r="E61" i="40"/>
  <c r="AC13" i="39"/>
  <c r="W13" i="39"/>
  <c r="C21" i="59"/>
  <c r="D21" i="59" s="1"/>
  <c r="D22" i="59"/>
  <c r="W19" i="21"/>
  <c r="AC19" i="21"/>
  <c r="V48" i="21" s="1"/>
  <c r="AB34" i="39"/>
  <c r="U34" i="39"/>
  <c r="U7" i="21"/>
  <c r="S7" i="21"/>
  <c r="U17" i="39"/>
  <c r="AB17" i="39"/>
  <c r="W17" i="39"/>
  <c r="AC17" i="39"/>
  <c r="F68" i="71"/>
  <c r="C52" i="71"/>
  <c r="C24" i="71"/>
  <c r="C32" i="15"/>
  <c r="M20" i="6"/>
  <c r="I20" i="6" s="1"/>
  <c r="S20" i="6" s="1"/>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297" i="3"/>
  <c r="AN6" i="3"/>
  <c r="E59" i="3"/>
  <c r="E464" i="3"/>
  <c r="E209" i="3"/>
  <c r="E450" i="3"/>
  <c r="E472" i="3"/>
  <c r="E253" i="3"/>
  <c r="E537" i="3"/>
  <c r="E54" i="3"/>
  <c r="E452" i="3"/>
  <c r="E213" i="3"/>
  <c r="E536" i="3"/>
  <c r="E397" i="3"/>
  <c r="E462" i="3"/>
  <c r="E47" i="3"/>
  <c r="E545" i="3"/>
  <c r="E184" i="3"/>
  <c r="E482" i="3"/>
  <c r="E473" i="3"/>
  <c r="N6" i="3"/>
  <c r="E232"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 i="3"/>
  <c r="AY6" i="3"/>
  <c r="J12" i="39"/>
  <c r="AC12" i="39" s="1"/>
  <c r="K16" i="1"/>
  <c r="K23" i="1" s="1"/>
  <c r="L27" i="1" s="1"/>
  <c r="M14" i="1"/>
  <c r="M19" i="6"/>
  <c r="H12" i="40"/>
  <c r="H12" i="39"/>
  <c r="W12" i="40"/>
  <c r="AC12" i="40"/>
  <c r="F12" i="40"/>
  <c r="F12" i="39"/>
  <c r="E5" i="59"/>
  <c r="U5" i="59" s="1"/>
  <c r="B5" i="59"/>
  <c r="S5" i="59" s="1"/>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C38" i="46"/>
  <c r="G38" i="46" s="1"/>
  <c r="I38" i="46" s="1"/>
  <c r="T9" i="46"/>
  <c r="V9" i="46" s="1"/>
  <c r="C52" i="15"/>
  <c r="C47" i="15" s="1"/>
  <c r="C10" i="15"/>
  <c r="C5" i="15" s="1"/>
  <c r="C17" i="15"/>
  <c r="F41" i="15"/>
  <c r="C16" i="71"/>
  <c r="D19" i="12" l="1"/>
  <c r="C19" i="12" s="1"/>
  <c r="K27" i="6"/>
  <c r="J18" i="15"/>
  <c r="C37" i="46"/>
  <c r="G37" i="46" s="1"/>
  <c r="I37" i="46" s="1"/>
  <c r="C33" i="46"/>
  <c r="E33" i="46" s="1"/>
  <c r="C36" i="46"/>
  <c r="G36" i="46" s="1"/>
  <c r="I36" i="46" s="1"/>
  <c r="T12" i="46"/>
  <c r="V12" i="46" s="1"/>
  <c r="T13" i="46"/>
  <c r="V13" i="46" s="1"/>
  <c r="T10" i="46"/>
  <c r="V10" i="46" s="1"/>
  <c r="S8" i="1"/>
  <c r="M21" i="6"/>
  <c r="I21" i="6" s="1"/>
  <c r="S21" i="6" s="1"/>
  <c r="G34" i="46"/>
  <c r="I34" i="46" s="1"/>
  <c r="E34" i="46"/>
  <c r="T15" i="46"/>
  <c r="V15" i="46" s="1"/>
  <c r="T11" i="46"/>
  <c r="V11" i="46" s="1"/>
  <c r="C35" i="46"/>
  <c r="G35" i="46" s="1"/>
  <c r="I35" i="46" s="1"/>
  <c r="T8" i="46"/>
  <c r="V8" i="46" s="1"/>
  <c r="T16" i="46"/>
  <c r="V16" i="46" s="1"/>
  <c r="T14" i="46"/>
  <c r="V14" i="46" s="1"/>
  <c r="H6" i="3"/>
  <c r="J26" i="44"/>
  <c r="I48" i="21"/>
  <c r="I53" i="21" s="1"/>
  <c r="J53" i="21" s="1"/>
  <c r="R49" i="21"/>
  <c r="C49" i="21" s="1"/>
  <c r="B3" i="21" s="1"/>
  <c r="C8" i="12" s="1"/>
  <c r="S16" i="1"/>
  <c r="T13" i="1" s="1"/>
  <c r="D9" i="59"/>
  <c r="C8" i="59"/>
  <c r="D31" i="59"/>
  <c r="T31" i="59"/>
  <c r="C48" i="71"/>
  <c r="C60" i="71" s="1"/>
  <c r="Q74" i="71"/>
  <c r="Q61" i="71"/>
  <c r="C33" i="71"/>
  <c r="C32" i="71"/>
  <c r="Q67" i="71"/>
  <c r="Q58" i="71"/>
  <c r="AC6" i="3"/>
  <c r="C10" i="71"/>
  <c r="C5" i="71" s="1"/>
  <c r="C38" i="71" s="1"/>
  <c r="J5" i="71"/>
  <c r="Q75" i="71"/>
  <c r="Q62" i="71"/>
  <c r="Q53" i="71"/>
  <c r="F1" i="71"/>
  <c r="F68" i="15"/>
  <c r="G43" i="35"/>
  <c r="H43" i="35" s="1"/>
  <c r="W12" i="39"/>
  <c r="AY156" i="3"/>
  <c r="AY329" i="3"/>
  <c r="AY23" i="3"/>
  <c r="AY433" i="3"/>
  <c r="AY29" i="3"/>
  <c r="AY548" i="3"/>
  <c r="AY41" i="3"/>
  <c r="AY175" i="3"/>
  <c r="AY139" i="3"/>
  <c r="BK6" i="3"/>
  <c r="AY132" i="3"/>
  <c r="AY57" i="3"/>
  <c r="AY372" i="3"/>
  <c r="AY143" i="3"/>
  <c r="AY246" i="3"/>
  <c r="AY25" i="3"/>
  <c r="AY431" i="3"/>
  <c r="AY176" i="3"/>
  <c r="AY22" i="3"/>
  <c r="AY140" i="3"/>
  <c r="AY222" i="3"/>
  <c r="AY17" i="3"/>
  <c r="AY68" i="3"/>
  <c r="BP6" i="3"/>
  <c r="AY551" i="3"/>
  <c r="AY514" i="3"/>
  <c r="AY235" i="3"/>
  <c r="AY386" i="3"/>
  <c r="AY504" i="3"/>
  <c r="AY467" i="3"/>
  <c r="AY70" i="3"/>
  <c r="AY435" i="3"/>
  <c r="AY97" i="3"/>
  <c r="AY149" i="3"/>
  <c r="AY450" i="3"/>
  <c r="AY236" i="3"/>
  <c r="AY374" i="3"/>
  <c r="AY321" i="3"/>
  <c r="AY34" i="3"/>
  <c r="AY318" i="3"/>
  <c r="AY127" i="3"/>
  <c r="AY66" i="3"/>
  <c r="AY484" i="3"/>
  <c r="AY563" i="3"/>
  <c r="AY88" i="3"/>
  <c r="AY285" i="3"/>
  <c r="BR6" i="3"/>
  <c r="AY540" i="3"/>
  <c r="AY461" i="3"/>
  <c r="AY406" i="3"/>
  <c r="AY44" i="3"/>
  <c r="AY526" i="3"/>
  <c r="AY197" i="3"/>
  <c r="AY408" i="3"/>
  <c r="AY308" i="3"/>
  <c r="AY376" i="3"/>
  <c r="AY349" i="3"/>
  <c r="AY420" i="3"/>
  <c r="AY115" i="3"/>
  <c r="AY364" i="3"/>
  <c r="AY264" i="3"/>
  <c r="AY128" i="3"/>
  <c r="AY217" i="3"/>
  <c r="AY430" i="3"/>
  <c r="AY267" i="3"/>
  <c r="AY507" i="3"/>
  <c r="AY180" i="3"/>
  <c r="BQ6" i="3"/>
  <c r="AY91" i="3"/>
  <c r="AY114" i="3"/>
  <c r="AY249" i="3"/>
  <c r="AY480" i="3"/>
  <c r="AY292" i="3"/>
  <c r="AY33" i="3"/>
  <c r="AY215" i="3"/>
  <c r="AY298" i="3"/>
  <c r="AY545" i="3"/>
  <c r="AY483" i="3"/>
  <c r="AY259" i="3"/>
  <c r="AY525" i="3"/>
  <c r="AY214" i="3"/>
  <c r="D3" i="6"/>
  <c r="B5" i="11" s="1"/>
  <c r="AY203" i="3"/>
  <c r="AY83" i="3"/>
  <c r="AY277" i="3"/>
  <c r="AY425" i="3"/>
  <c r="AY286" i="3"/>
  <c r="AY169" i="3"/>
  <c r="AY72" i="3"/>
  <c r="AY30" i="3"/>
  <c r="AY382" i="3"/>
  <c r="AY198" i="3"/>
  <c r="AY262" i="3"/>
  <c r="AY379" i="3"/>
  <c r="AY62" i="3"/>
  <c r="AY307" i="3"/>
  <c r="AY157" i="3"/>
  <c r="AY516" i="3"/>
  <c r="AY333" i="3"/>
  <c r="AY123" i="3"/>
  <c r="AY341" i="3"/>
  <c r="AY465" i="3"/>
  <c r="AY428" i="3"/>
  <c r="AY218" i="3"/>
  <c r="AY356" i="3"/>
  <c r="AY147" i="3"/>
  <c r="AY562" i="3"/>
  <c r="AY498" i="3"/>
  <c r="AY527" i="3"/>
  <c r="AY325" i="3"/>
  <c r="AY390" i="3"/>
  <c r="AY129" i="3"/>
  <c r="AY324" i="3"/>
  <c r="AY16" i="3"/>
  <c r="AY13" i="3"/>
  <c r="AY38" i="3"/>
  <c r="AY378" i="3"/>
  <c r="AY248" i="3"/>
  <c r="AY131" i="3"/>
  <c r="AY453" i="3"/>
  <c r="AY151" i="3"/>
  <c r="AY485" i="3"/>
  <c r="AY399" i="3"/>
  <c r="AY174" i="3"/>
  <c r="AY328" i="3"/>
  <c r="AY71" i="3"/>
  <c r="AY523" i="3"/>
  <c r="AY517" i="3"/>
  <c r="AY536" i="3"/>
  <c r="AY94" i="3"/>
  <c r="AY462" i="3"/>
  <c r="AY102" i="3"/>
  <c r="AY533" i="3"/>
  <c r="AY470" i="3"/>
  <c r="AY347" i="3"/>
  <c r="AY19" i="3"/>
  <c r="AY231" i="3"/>
  <c r="AY263" i="3"/>
  <c r="AY469" i="3"/>
  <c r="BI6" i="3"/>
  <c r="AY468" i="3"/>
  <c r="AY210" i="3"/>
  <c r="BO6" i="3"/>
  <c r="AY189" i="3"/>
  <c r="AY322" i="3"/>
  <c r="AY40" i="3"/>
  <c r="AY60" i="3"/>
  <c r="AY185" i="3"/>
  <c r="AY503" i="3"/>
  <c r="AY323" i="3"/>
  <c r="AY138" i="3"/>
  <c r="AY154" i="3"/>
  <c r="AY369" i="3"/>
  <c r="AY74" i="3"/>
  <c r="BC6" i="3"/>
  <c r="AY558" i="3"/>
  <c r="AY96" i="3"/>
  <c r="AY225" i="3"/>
  <c r="AY565" i="3"/>
  <c r="AY90" i="3"/>
  <c r="AY190" i="3"/>
  <c r="AY477" i="3"/>
  <c r="AY541" i="3"/>
  <c r="AY306" i="3"/>
  <c r="AY237" i="3"/>
  <c r="AY48" i="3"/>
  <c r="AY454" i="3"/>
  <c r="AY110" i="3"/>
  <c r="AY547" i="3"/>
  <c r="AY363" i="3"/>
  <c r="AY195" i="3"/>
  <c r="AY447" i="3"/>
  <c r="AY319" i="3"/>
  <c r="AY207" i="3"/>
  <c r="AY187" i="3"/>
  <c r="AY35" i="3"/>
  <c r="AY81" i="3"/>
  <c r="AY427" i="3"/>
  <c r="AY486" i="3"/>
  <c r="AY67" i="3"/>
  <c r="AY159" i="3"/>
  <c r="AY105" i="3"/>
  <c r="AY47" i="3"/>
  <c r="AY31" i="3"/>
  <c r="AY234" i="3"/>
  <c r="AY317" i="3"/>
  <c r="AY402" i="3"/>
  <c r="AY181" i="3"/>
  <c r="AY343" i="3"/>
  <c r="AY65" i="3"/>
  <c r="AY265" i="3"/>
  <c r="AY350" i="3"/>
  <c r="AY50" i="3"/>
  <c r="AY346" i="3"/>
  <c r="AY161" i="3"/>
  <c r="AY101" i="3"/>
  <c r="AY305" i="3"/>
  <c r="AY87" i="3"/>
  <c r="AY142" i="3"/>
  <c r="AY144" i="3"/>
  <c r="AY232" i="3"/>
  <c r="AY49" i="3"/>
  <c r="AY326" i="3"/>
  <c r="AY294" i="3"/>
  <c r="AY269" i="3"/>
  <c r="AY302" i="3"/>
  <c r="AY457" i="3"/>
  <c r="AY442" i="3"/>
  <c r="AY572" i="3"/>
  <c r="AY99" i="3"/>
  <c r="AY103" i="3"/>
  <c r="AY150" i="3"/>
  <c r="AY432" i="3"/>
  <c r="AY549" i="3"/>
  <c r="AY497" i="3"/>
  <c r="AY505" i="3"/>
  <c r="AY186" i="3"/>
  <c r="AY407" i="3"/>
  <c r="AY561" i="3"/>
  <c r="AY309" i="3"/>
  <c r="BH6" i="3"/>
  <c r="AY183" i="3"/>
  <c r="AY52" i="3"/>
  <c r="AY555" i="3"/>
  <c r="AY463" i="3"/>
  <c r="AY77" i="3"/>
  <c r="AY230" i="3"/>
  <c r="AY238" i="3"/>
  <c r="AY479" i="3"/>
  <c r="AY182" i="3"/>
  <c r="AY82" i="3"/>
  <c r="AY253" i="3"/>
  <c r="AY208" i="3"/>
  <c r="AY502" i="3"/>
  <c r="AY522" i="3"/>
  <c r="AY358" i="3"/>
  <c r="AY422" i="3"/>
  <c r="AY295" i="3"/>
  <c r="AY160" i="3"/>
  <c r="AY137" i="3"/>
  <c r="AY223" i="3"/>
  <c r="AY167" i="3"/>
  <c r="AY173" i="3"/>
  <c r="AY499" i="3"/>
  <c r="AY455" i="3"/>
  <c r="AY401" i="3"/>
  <c r="AY388" i="3"/>
  <c r="AY445" i="3"/>
  <c r="AY279" i="3"/>
  <c r="AY26" i="3"/>
  <c r="AY37" i="3"/>
  <c r="AY95" i="3"/>
  <c r="AY45" i="3"/>
  <c r="AY384" i="3"/>
  <c r="AY202" i="3"/>
  <c r="AY398" i="3"/>
  <c r="AY348" i="3"/>
  <c r="AY241" i="3"/>
  <c r="AY542" i="3"/>
  <c r="AY530" i="3"/>
  <c r="AY73" i="3"/>
  <c r="AY397" i="3"/>
  <c r="AY135" i="3"/>
  <c r="AY155" i="3"/>
  <c r="AY188" i="3"/>
  <c r="AY528" i="3"/>
  <c r="AY36" i="3"/>
  <c r="AY117" i="3"/>
  <c r="AY337" i="3"/>
  <c r="AY76" i="3"/>
  <c r="AY86" i="3"/>
  <c r="AY42" i="3"/>
  <c r="AY392" i="3"/>
  <c r="AY288" i="3"/>
  <c r="AY162" i="3"/>
  <c r="AY303" i="3"/>
  <c r="AY552" i="3"/>
  <c r="AY519" i="3"/>
  <c r="BF6" i="3"/>
  <c r="AY69" i="3"/>
  <c r="AY291" i="3"/>
  <c r="AY168" i="3"/>
  <c r="AY543" i="3"/>
  <c r="AY556" i="3"/>
  <c r="AY424" i="3"/>
  <c r="BD6" i="3"/>
  <c r="AY233" i="3"/>
  <c r="AY520" i="3"/>
  <c r="AY184" i="3"/>
  <c r="AY531" i="3"/>
  <c r="AY244" i="3"/>
  <c r="AY199" i="3"/>
  <c r="AY351" i="3"/>
  <c r="AY63" i="3"/>
  <c r="AY357" i="3"/>
  <c r="AY535" i="3"/>
  <c r="BJ6" i="3"/>
  <c r="AY511" i="3"/>
  <c r="AY51" i="3"/>
  <c r="AY332" i="3"/>
  <c r="AY89" i="3"/>
  <c r="AY119" i="3"/>
  <c r="AY345" i="3"/>
  <c r="AY513" i="3"/>
  <c r="AY300" i="3"/>
  <c r="AY524" i="3"/>
  <c r="AY177" i="3"/>
  <c r="AY164" i="3"/>
  <c r="AY377" i="3"/>
  <c r="AY297" i="3"/>
  <c r="AY490" i="3"/>
  <c r="AY393" i="3"/>
  <c r="AY395" i="3"/>
  <c r="AY281" i="3"/>
  <c r="AY475" i="3"/>
  <c r="AY108" i="3"/>
  <c r="AY299" i="3"/>
  <c r="AY518" i="3"/>
  <c r="AY166" i="3"/>
  <c r="AY409" i="3"/>
  <c r="AY320" i="3"/>
  <c r="AY335" i="3"/>
  <c r="AY258" i="3"/>
  <c r="AY274" i="3"/>
  <c r="AY27" i="3"/>
  <c r="AY206" i="3"/>
  <c r="AY360" i="3"/>
  <c r="AY553" i="3"/>
  <c r="AY344" i="3"/>
  <c r="AY452" i="3"/>
  <c r="AY439" i="3"/>
  <c r="AY473" i="3"/>
  <c r="AY59" i="3"/>
  <c r="AY61" i="3"/>
  <c r="AY391" i="3"/>
  <c r="AY403" i="3"/>
  <c r="AY213" i="3"/>
  <c r="AY339" i="3"/>
  <c r="AY495" i="3"/>
  <c r="AY440" i="3"/>
  <c r="AY415" i="3"/>
  <c r="AY365" i="3"/>
  <c r="AY224" i="3"/>
  <c r="AY92" i="3"/>
  <c r="AY278" i="3"/>
  <c r="AY116" i="3"/>
  <c r="AY53" i="3"/>
  <c r="AY80" i="3"/>
  <c r="AY58" i="3"/>
  <c r="AY179" i="3"/>
  <c r="AY100" i="3"/>
  <c r="AY126" i="3"/>
  <c r="AY118" i="3"/>
  <c r="AY209" i="3"/>
  <c r="AY416" i="3"/>
  <c r="AY55" i="3"/>
  <c r="AY250" i="3"/>
  <c r="AY560" i="3"/>
  <c r="AY141" i="3"/>
  <c r="AY310" i="3"/>
  <c r="AY459" i="3"/>
  <c r="AY226" i="3"/>
  <c r="AY400" i="3"/>
  <c r="AY272" i="3"/>
  <c r="AY109" i="3"/>
  <c r="AY136" i="3"/>
  <c r="AY381" i="3"/>
  <c r="AY550" i="3"/>
  <c r="AY122" i="3"/>
  <c r="AY43" i="3"/>
  <c r="AY481" i="3"/>
  <c r="AY216"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472" i="3"/>
  <c r="BL6" i="3"/>
  <c r="AY193" i="3"/>
  <c r="AY266" i="3"/>
  <c r="AY227" i="3"/>
  <c r="AY414" i="3"/>
  <c r="AY191" i="3"/>
  <c r="AY330" i="3"/>
  <c r="AY412" i="3"/>
  <c r="AY464" i="3"/>
  <c r="AY39" i="3"/>
  <c r="AY361" i="3"/>
  <c r="AY104" i="3"/>
  <c r="AY383" i="3"/>
  <c r="AY256" i="3"/>
  <c r="AY352" i="3"/>
  <c r="AY411" i="3"/>
  <c r="AY85" i="3"/>
  <c r="AY510" i="3"/>
  <c r="AY471" i="3"/>
  <c r="BT6" i="3"/>
  <c r="AY247" i="3"/>
  <c r="AY375" i="3"/>
  <c r="AY404" i="3"/>
  <c r="AY567" i="3"/>
  <c r="AY534" i="3"/>
  <c r="AY478" i="3"/>
  <c r="AY434" i="3"/>
  <c r="AY93" i="3"/>
  <c r="AY334" i="3"/>
  <c r="AY270" i="3"/>
  <c r="AY571" i="3"/>
  <c r="AY554" i="3"/>
  <c r="AY532" i="3"/>
  <c r="AY212" i="3"/>
  <c r="AY251" i="3"/>
  <c r="AY353" i="3"/>
  <c r="AY284" i="3"/>
  <c r="AY419" i="3"/>
  <c r="AY426" i="3"/>
  <c r="AY301" i="3"/>
  <c r="AY496" i="3"/>
  <c r="AY482" i="3"/>
  <c r="AY491" i="3"/>
  <c r="AY170" i="3"/>
  <c r="AY342" i="3"/>
  <c r="AY124" i="3"/>
  <c r="AY271" i="3"/>
  <c r="AY229" i="3"/>
  <c r="AY75" i="3"/>
  <c r="AY316" i="3"/>
  <c r="AY370" i="3"/>
  <c r="AY20" i="3"/>
  <c r="AY313" i="3"/>
  <c r="AY84" i="3"/>
  <c r="AY192" i="3"/>
  <c r="AY512" i="3"/>
  <c r="AY362" i="3"/>
  <c r="AY260" i="3"/>
  <c r="AY566" i="3"/>
  <c r="AY54" i="3"/>
  <c r="AY134" i="3"/>
  <c r="AY165" i="3"/>
  <c r="AY354" i="3"/>
  <c r="AY559" i="3"/>
  <c r="AY276" i="3"/>
  <c r="AY387" i="3"/>
  <c r="AY421" i="3"/>
  <c r="BM6" i="3"/>
  <c r="AY18" i="3"/>
  <c r="AY451" i="3"/>
  <c r="AY444" i="3"/>
  <c r="AY196" i="3"/>
  <c r="AY521" i="3"/>
  <c r="AY508" i="3"/>
  <c r="AY340" i="3"/>
  <c r="AY405" i="3"/>
  <c r="AY537" i="3"/>
  <c r="AY448" i="3"/>
  <c r="AY178" i="3"/>
  <c r="AY389" i="3"/>
  <c r="AY429" i="3"/>
  <c r="AY501" i="3"/>
  <c r="AY204"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145" i="3"/>
  <c r="BN6" i="3"/>
  <c r="AY14" i="3"/>
  <c r="AY120" i="3"/>
  <c r="AY304" i="3"/>
  <c r="AY275" i="3"/>
  <c r="AY449" i="3"/>
  <c r="AY201" i="3"/>
  <c r="AY194" i="3"/>
  <c r="AY315" i="3"/>
  <c r="AY146" i="3"/>
  <c r="AY106" i="3"/>
  <c r="AY529" i="3"/>
  <c r="AY476" i="3"/>
  <c r="AY438" i="3"/>
  <c r="AY21" i="3"/>
  <c r="AY200" i="3"/>
  <c r="AY314" i="3"/>
  <c r="AY368" i="3"/>
  <c r="AY367" i="3"/>
  <c r="AY456" i="3"/>
  <c r="AY78" i="3"/>
  <c r="AY506" i="3"/>
  <c r="AY327" i="3"/>
  <c r="AY538" i="3"/>
  <c r="AY557" i="3"/>
  <c r="AY418" i="3"/>
  <c r="AY289" i="3"/>
  <c r="AY130" i="3"/>
  <c r="AY331" i="3"/>
  <c r="AY487" i="3"/>
  <c r="AY509" i="3"/>
  <c r="AY539" i="3"/>
  <c r="AY564" i="3"/>
  <c r="BB6" i="3"/>
  <c r="AY296" i="3"/>
  <c r="AY338" i="3"/>
  <c r="AY79" i="3"/>
  <c r="AY243" i="3"/>
  <c r="AY373" i="3"/>
  <c r="AY466" i="3"/>
  <c r="AY474" i="3"/>
  <c r="AY441" i="3"/>
  <c r="AY98" i="3"/>
  <c r="AY366" i="3"/>
  <c r="AY336" i="3"/>
  <c r="AY293" i="3"/>
  <c r="AY111" i="3"/>
  <c r="AY268" i="3"/>
  <c r="AY171" i="3"/>
  <c r="AY413" i="3"/>
  <c r="AY112" i="3"/>
  <c r="AY153" i="3"/>
  <c r="AY240" i="3"/>
  <c r="AY436" i="3"/>
  <c r="AY410" i="3"/>
  <c r="AY125" i="3"/>
  <c r="AY252" i="3"/>
  <c r="AY228" i="3"/>
  <c r="AY568" i="3"/>
  <c r="AY312" i="3"/>
  <c r="BG6" i="3"/>
  <c r="AY255" i="3"/>
  <c r="AY121" i="3"/>
  <c r="AY133" i="3"/>
  <c r="AY113" i="3"/>
  <c r="AY56" i="3"/>
  <c r="AY205" i="3"/>
  <c r="AY423" i="3"/>
  <c r="AY488" i="3"/>
  <c r="AY460" i="3"/>
  <c r="AY261" i="3"/>
  <c r="AY570" i="3"/>
  <c r="BE6" i="3"/>
  <c r="I19" i="6"/>
  <c r="M27" i="6"/>
  <c r="M16" i="1"/>
  <c r="O14" i="1"/>
  <c r="T12" i="1"/>
  <c r="U12" i="40"/>
  <c r="AB12" i="40"/>
  <c r="U12" i="39"/>
  <c r="AB12" i="39"/>
  <c r="AA12" i="39"/>
  <c r="S12" i="39"/>
  <c r="AA12" i="40"/>
  <c r="S12" i="40"/>
  <c r="G39" i="46"/>
  <c r="I39" i="46" s="1"/>
  <c r="E38" i="46"/>
  <c r="E37" i="46"/>
  <c r="F67" i="40"/>
  <c r="G65" i="40"/>
  <c r="C50" i="34"/>
  <c r="B3" i="34" s="1"/>
  <c r="B2" i="34" s="1"/>
  <c r="C49" i="34"/>
  <c r="G70" i="39"/>
  <c r="F72"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3" i="11"/>
  <c r="J26" i="15"/>
  <c r="J29" i="15" s="1"/>
  <c r="J24" i="15"/>
  <c r="C38" i="15"/>
  <c r="Q58" i="44"/>
  <c r="Q67" i="44"/>
  <c r="Q49" i="44"/>
  <c r="Q55" i="44" s="1"/>
  <c r="F7" i="67"/>
  <c r="C17" i="71"/>
  <c r="E6" i="3" l="1"/>
  <c r="T8" i="1"/>
  <c r="B4" i="11"/>
  <c r="N16" i="1"/>
  <c r="C29" i="43" s="1"/>
  <c r="M23" i="1"/>
  <c r="T11" i="1"/>
  <c r="T6" i="1"/>
  <c r="T9" i="1"/>
  <c r="E35" i="46"/>
  <c r="E36" i="46"/>
  <c r="G33" i="46"/>
  <c r="I33" i="46" s="1"/>
  <c r="T10" i="1"/>
  <c r="T7" i="1"/>
  <c r="C48" i="21"/>
  <c r="C47" i="71"/>
  <c r="C7" i="59"/>
  <c r="D8" i="59"/>
  <c r="J24" i="71"/>
  <c r="J26" i="71"/>
  <c r="J29" i="71" s="1"/>
  <c r="I52" i="21"/>
  <c r="J52" i="21" s="1"/>
  <c r="G53" i="21"/>
  <c r="H53" i="21" s="1"/>
  <c r="B2" i="21"/>
  <c r="C10" i="12" s="1"/>
  <c r="D19" i="6"/>
  <c r="D13" i="6"/>
  <c r="D20" i="6"/>
  <c r="K38" i="9"/>
  <c r="C14" i="66" s="1"/>
  <c r="B2" i="66" s="1"/>
  <c r="H20" i="6"/>
  <c r="D15" i="6"/>
  <c r="D21" i="6"/>
  <c r="D23" i="6"/>
  <c r="D8" i="6"/>
  <c r="D24" i="6"/>
  <c r="D9" i="6"/>
  <c r="E46" i="9"/>
  <c r="D6" i="6"/>
  <c r="H23" i="6"/>
  <c r="R23" i="6" s="1"/>
  <c r="E63" i="40"/>
  <c r="D25" i="6"/>
  <c r="D14" i="6"/>
  <c r="F45" i="9"/>
  <c r="D26" i="6"/>
  <c r="D5" i="6"/>
  <c r="C22" i="4"/>
  <c r="D10" i="6"/>
  <c r="D28" i="6"/>
  <c r="E68" i="39"/>
  <c r="D22" i="6"/>
  <c r="D29" i="6"/>
  <c r="H24" i="6"/>
  <c r="H21" i="6"/>
  <c r="H26" i="6"/>
  <c r="R26" i="6" s="1"/>
  <c r="H22" i="6"/>
  <c r="H25" i="6"/>
  <c r="E45" i="9"/>
  <c r="F46" i="9"/>
  <c r="D12" i="6"/>
  <c r="D11" i="6"/>
  <c r="P14" i="1"/>
  <c r="P16" i="1" s="1"/>
  <c r="C13" i="12" s="1"/>
  <c r="O16" i="1"/>
  <c r="C13" i="43"/>
  <c r="L16" i="1"/>
  <c r="I27" i="6"/>
  <c r="H19" i="6"/>
  <c r="S19" i="6"/>
  <c r="S27" i="6" s="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C14" i="71"/>
  <c r="C16" i="44"/>
  <c r="E7" i="67"/>
  <c r="C14" i="15"/>
  <c r="C15" i="71" l="1"/>
  <c r="C18" i="71"/>
  <c r="C20" i="44"/>
  <c r="C17" i="44"/>
  <c r="C15" i="15"/>
  <c r="C18" i="15"/>
  <c r="T16" i="1"/>
  <c r="R22" i="6"/>
  <c r="C59" i="71"/>
  <c r="C65" i="71"/>
  <c r="C6" i="59"/>
  <c r="D7" i="59"/>
  <c r="T7" i="59"/>
  <c r="R24" i="6"/>
  <c r="D7" i="66"/>
  <c r="D8" i="66"/>
  <c r="R25" i="6"/>
  <c r="D30" i="6"/>
  <c r="A6" i="51"/>
  <c r="B7" i="63" s="1"/>
  <c r="A20" i="51"/>
  <c r="B15" i="63" s="1"/>
  <c r="A6" i="64"/>
  <c r="N5" i="54"/>
  <c r="B43" i="63" s="1"/>
  <c r="A20" i="64"/>
  <c r="D16" i="6"/>
  <c r="R21" i="6"/>
  <c r="R8" i="1" s="1"/>
  <c r="R20" i="6"/>
  <c r="R7" i="1" s="1"/>
  <c r="D27" i="6"/>
  <c r="D31" i="6" s="1"/>
  <c r="H27" i="6"/>
  <c r="R19" i="6"/>
  <c r="C14" i="43"/>
  <c r="C17" i="43"/>
  <c r="C14" i="12"/>
  <c r="C17" i="12"/>
  <c r="I65" i="40"/>
  <c r="H67" i="40"/>
  <c r="H72" i="39"/>
  <c r="I70" i="39"/>
  <c r="N46" i="36"/>
  <c r="E3" i="67"/>
  <c r="B2" i="67"/>
  <c r="F35" i="15"/>
  <c r="M21" i="71"/>
  <c r="M21" i="15"/>
  <c r="F35" i="71"/>
  <c r="C19" i="71" l="1"/>
  <c r="C20" i="71" s="1"/>
  <c r="C26" i="71" s="1"/>
  <c r="C21" i="44"/>
  <c r="C22" i="44" s="1"/>
  <c r="C28" i="44" s="1"/>
  <c r="C19" i="15"/>
  <c r="C20" i="15" s="1"/>
  <c r="C26" i="15" s="1"/>
  <c r="J20" i="15"/>
  <c r="F62" i="15"/>
  <c r="C61" i="15" s="1"/>
  <c r="C34" i="15"/>
  <c r="F62" i="71"/>
  <c r="C61" i="71" s="1"/>
  <c r="C58" i="71" s="1"/>
  <c r="C34" i="71"/>
  <c r="C31" i="71" s="1"/>
  <c r="J20" i="71"/>
  <c r="C5" i="59"/>
  <c r="D6" i="59"/>
  <c r="C18" i="43"/>
  <c r="C19" i="43" s="1"/>
  <c r="C25" i="43" s="1"/>
  <c r="C24" i="43" s="1"/>
  <c r="R27" i="6"/>
  <c r="R6" i="1"/>
  <c r="R16" i="1" s="1"/>
  <c r="I6" i="6"/>
  <c r="G3" i="46" s="1"/>
  <c r="I5" i="6"/>
  <c r="C18" i="12"/>
  <c r="C23" i="12" s="1"/>
  <c r="O46" i="36"/>
  <c r="J7" i="36" s="1"/>
  <c r="J65" i="40"/>
  <c r="I67" i="40"/>
  <c r="J70" i="39"/>
  <c r="I72" i="39"/>
  <c r="B3" i="67"/>
  <c r="B4" i="67"/>
  <c r="H7" i="36" l="1"/>
  <c r="L12" i="76"/>
  <c r="C23" i="71"/>
  <c r="C29" i="71" s="1"/>
  <c r="J19" i="71" s="1"/>
  <c r="J17" i="71" s="1"/>
  <c r="F7" i="36"/>
  <c r="S7" i="36" s="1"/>
  <c r="H22" i="46"/>
  <c r="Y11" i="46"/>
  <c r="Y13" i="46" s="1"/>
  <c r="G22" i="46"/>
  <c r="F101" i="46"/>
  <c r="I101" i="46"/>
  <c r="N101" i="46"/>
  <c r="AD11" i="46"/>
  <c r="AD13" i="46" s="1"/>
  <c r="C101" i="46"/>
  <c r="J101" i="46"/>
  <c r="N104" i="45"/>
  <c r="F22" i="46"/>
  <c r="Z7" i="46"/>
  <c r="E22" i="46"/>
  <c r="Z11" i="46"/>
  <c r="Z13" i="46" s="1"/>
  <c r="AA11" i="46"/>
  <c r="AA13" i="46" s="1"/>
  <c r="AF11" i="46"/>
  <c r="AF13" i="46" s="1"/>
  <c r="C23" i="46"/>
  <c r="H101" i="46"/>
  <c r="J22" i="46"/>
  <c r="D101" i="46"/>
  <c r="M101" i="46"/>
  <c r="AC11" i="46"/>
  <c r="AC13" i="46" s="1"/>
  <c r="AJ11" i="46"/>
  <c r="AJ13" i="46" s="1"/>
  <c r="AB11" i="46"/>
  <c r="AB13" i="46" s="1"/>
  <c r="G101" i="46"/>
  <c r="B113" i="46"/>
  <c r="L101" i="46"/>
  <c r="E101" i="46"/>
  <c r="K101" i="46"/>
  <c r="AG11" i="46"/>
  <c r="AG13" i="46" s="1"/>
  <c r="AH11" i="46"/>
  <c r="AH13" i="46" s="1"/>
  <c r="AI11" i="46"/>
  <c r="AI13" i="46" s="1"/>
  <c r="AE11" i="46"/>
  <c r="AE13" i="46" s="1"/>
  <c r="S7" i="46"/>
  <c r="T7" i="46" s="1"/>
  <c r="V7" i="46" s="1"/>
  <c r="S5" i="46"/>
  <c r="T5" i="46" s="1"/>
  <c r="V5" i="46" s="1"/>
  <c r="S6" i="46"/>
  <c r="T6" i="46" s="1"/>
  <c r="V6" i="46" s="1"/>
  <c r="S2" i="46"/>
  <c r="T2" i="46" s="1"/>
  <c r="V2" i="46" s="1"/>
  <c r="S4" i="46"/>
  <c r="T4" i="46" s="1"/>
  <c r="V4" i="46" s="1"/>
  <c r="S3" i="46"/>
  <c r="T3" i="46" s="1"/>
  <c r="V3" i="46" s="1"/>
  <c r="D5" i="59"/>
  <c r="M20" i="46" s="1"/>
  <c r="T5" i="59"/>
  <c r="K70" i="39"/>
  <c r="J72" i="39"/>
  <c r="U7" i="36"/>
  <c r="AB7" i="36"/>
  <c r="T36" i="36" s="1"/>
  <c r="G36" i="36" s="1"/>
  <c r="AC7" i="36"/>
  <c r="V36" i="36" s="1"/>
  <c r="I36" i="36" s="1"/>
  <c r="W7" i="36"/>
  <c r="J67" i="40"/>
  <c r="K65" i="40"/>
  <c r="AA7" i="36" l="1"/>
  <c r="R36" i="36" s="1"/>
  <c r="E36" i="36" s="1"/>
  <c r="I41" i="36" s="1"/>
  <c r="J41" i="36" s="1"/>
  <c r="C36" i="71"/>
  <c r="C56" i="71"/>
  <c r="C63" i="71" s="1"/>
  <c r="Q50" i="71"/>
  <c r="J14" i="71"/>
  <c r="J13" i="71" s="1"/>
  <c r="J23" i="71" s="1"/>
  <c r="C13" i="71"/>
  <c r="Q71" i="71" s="1"/>
  <c r="D22" i="46"/>
  <c r="C21" i="46" s="1"/>
  <c r="C29" i="46" s="1"/>
  <c r="E29" i="46" s="1"/>
  <c r="C26" i="46" s="1"/>
  <c r="B2" i="46" s="1"/>
  <c r="E104" i="46"/>
  <c r="E103" i="46"/>
  <c r="E106" i="46"/>
  <c r="E107" i="46"/>
  <c r="E109" i="46"/>
  <c r="E105" i="46"/>
  <c r="E102" i="46"/>
  <c r="I116" i="46"/>
  <c r="J116" i="46" s="1"/>
  <c r="K116" i="46" s="1"/>
  <c r="L116" i="46" s="1"/>
  <c r="M116" i="46" s="1"/>
  <c r="I115" i="46"/>
  <c r="J115" i="46" s="1"/>
  <c r="K115" i="46" s="1"/>
  <c r="L115" i="46" s="1"/>
  <c r="M115" i="46" s="1"/>
  <c r="B116" i="46"/>
  <c r="C116" i="46" s="1"/>
  <c r="I117" i="46"/>
  <c r="J117" i="46" s="1"/>
  <c r="K117" i="46" s="1"/>
  <c r="L117" i="46" s="1"/>
  <c r="M117" i="46" s="1"/>
  <c r="B115" i="46"/>
  <c r="B117" i="46"/>
  <c r="C117" i="46" s="1"/>
  <c r="D118" i="46"/>
  <c r="E118" i="46" s="1"/>
  <c r="F118" i="46" s="1"/>
  <c r="B118" i="46"/>
  <c r="C118" i="46" s="1"/>
  <c r="D115" i="46"/>
  <c r="E115" i="46" s="1"/>
  <c r="F115" i="46" s="1"/>
  <c r="G115" i="46" s="1"/>
  <c r="H115" i="46" s="1"/>
  <c r="D116" i="46"/>
  <c r="E116" i="46" s="1"/>
  <c r="F116" i="46" s="1"/>
  <c r="G116" i="46" s="1"/>
  <c r="H116" i="46" s="1"/>
  <c r="G118" i="46"/>
  <c r="H118" i="46" s="1"/>
  <c r="D117" i="46"/>
  <c r="E117" i="46" s="1"/>
  <c r="F117" i="46" s="1"/>
  <c r="G117" i="46" s="1"/>
  <c r="H117" i="46" s="1"/>
  <c r="I118" i="46"/>
  <c r="J118" i="46" s="1"/>
  <c r="K118" i="46" s="1"/>
  <c r="L118" i="46" s="1"/>
  <c r="M118" i="46" s="1"/>
  <c r="D106" i="46"/>
  <c r="D102" i="46"/>
  <c r="D109" i="46"/>
  <c r="D104" i="46"/>
  <c r="D107" i="46"/>
  <c r="D103" i="46"/>
  <c r="D105" i="46"/>
  <c r="H102" i="46"/>
  <c r="H103" i="46"/>
  <c r="H107" i="46"/>
  <c r="H109" i="46"/>
  <c r="H106" i="46"/>
  <c r="H105" i="46"/>
  <c r="H104" i="46"/>
  <c r="C109" i="46"/>
  <c r="C102" i="46"/>
  <c r="C107" i="46"/>
  <c r="C106" i="46"/>
  <c r="C104" i="46"/>
  <c r="C105" i="46"/>
  <c r="C103" i="46"/>
  <c r="N105" i="46"/>
  <c r="N109" i="46"/>
  <c r="N104" i="46"/>
  <c r="N102" i="46"/>
  <c r="N103" i="46"/>
  <c r="N106" i="46"/>
  <c r="N107" i="46"/>
  <c r="F106" i="46"/>
  <c r="F107" i="46"/>
  <c r="F105" i="46"/>
  <c r="F109" i="46"/>
  <c r="F102" i="46"/>
  <c r="F103" i="46"/>
  <c r="F104" i="46"/>
  <c r="K107" i="46"/>
  <c r="K103" i="46"/>
  <c r="K105" i="46"/>
  <c r="K106" i="46"/>
  <c r="K102" i="46"/>
  <c r="K109" i="46"/>
  <c r="K104" i="46"/>
  <c r="L102" i="46"/>
  <c r="L105" i="46"/>
  <c r="L106" i="46"/>
  <c r="L103" i="46"/>
  <c r="L107" i="46"/>
  <c r="L104" i="46"/>
  <c r="L109" i="46"/>
  <c r="G106" i="46"/>
  <c r="G103" i="46"/>
  <c r="G105" i="46"/>
  <c r="G109" i="46"/>
  <c r="G102" i="46"/>
  <c r="G107" i="46"/>
  <c r="G104" i="46"/>
  <c r="M107" i="46"/>
  <c r="M105" i="46"/>
  <c r="M106" i="46"/>
  <c r="M109" i="46"/>
  <c r="M104" i="46"/>
  <c r="M102" i="46"/>
  <c r="M103" i="46"/>
  <c r="C30" i="46"/>
  <c r="E30" i="46" s="1"/>
  <c r="C27" i="46" s="1"/>
  <c r="J107" i="46"/>
  <c r="J105" i="46"/>
  <c r="J109" i="46"/>
  <c r="J102" i="46"/>
  <c r="J106" i="46"/>
  <c r="J104" i="46"/>
  <c r="J103" i="46"/>
  <c r="I102" i="46"/>
  <c r="I105" i="46"/>
  <c r="I103" i="46"/>
  <c r="I104" i="46"/>
  <c r="I107" i="46"/>
  <c r="I109" i="46"/>
  <c r="I106" i="46"/>
  <c r="R37" i="36"/>
  <c r="K67" i="40"/>
  <c r="L65" i="40"/>
  <c r="G41" i="36"/>
  <c r="H41" i="36" s="1"/>
  <c r="G40" i="36"/>
  <c r="H40" i="36" s="1"/>
  <c r="I40" i="36"/>
  <c r="J40" i="36" s="1"/>
  <c r="L70" i="39"/>
  <c r="K72" i="39"/>
  <c r="C37" i="71" l="1"/>
  <c r="C30" i="71" s="1"/>
  <c r="C39" i="71" s="1"/>
  <c r="C55" i="71"/>
  <c r="C64" i="71" s="1"/>
  <c r="C57" i="71" s="1"/>
  <c r="C66" i="71" s="1"/>
  <c r="C67" i="71" s="1"/>
  <c r="C70" i="71" s="1"/>
  <c r="J35" i="71"/>
  <c r="J22" i="71"/>
  <c r="J16" i="71" s="1"/>
  <c r="J25" i="71" s="1"/>
  <c r="B3" i="46"/>
  <c r="D4" i="46"/>
  <c r="B4" i="46"/>
  <c r="C115" i="46"/>
  <c r="D113" i="46" s="1"/>
  <c r="L72" i="39"/>
  <c r="M70" i="39"/>
  <c r="M65" i="40"/>
  <c r="L67" i="40"/>
  <c r="E40" i="36"/>
  <c r="F40" i="36" s="1"/>
  <c r="E41" i="36"/>
  <c r="F41" i="36" s="1"/>
  <c r="C37" i="36"/>
  <c r="B3" i="36" s="1"/>
  <c r="D8" i="12" s="1"/>
  <c r="C36" i="36"/>
  <c r="L51" i="71"/>
  <c r="C40" i="71" l="1"/>
  <c r="C46" i="71" s="1"/>
  <c r="Q70" i="71"/>
  <c r="Q69" i="71" s="1"/>
  <c r="J39" i="71"/>
  <c r="J40" i="71" s="1"/>
  <c r="B2" i="36"/>
  <c r="D10" i="12" s="1"/>
  <c r="Q68" i="71"/>
  <c r="N65" i="40"/>
  <c r="N67" i="40" s="1"/>
  <c r="M67" i="40"/>
  <c r="N70" i="39"/>
  <c r="N72" i="39" s="1"/>
  <c r="M72" i="39"/>
  <c r="C43" i="71" l="1"/>
  <c r="J42" i="71"/>
  <c r="J43" i="71" s="1"/>
  <c r="Q48" i="71"/>
  <c r="Q54" i="71" s="1"/>
  <c r="Q57" i="71"/>
  <c r="Q63" i="71" s="1"/>
  <c r="B2" i="71"/>
  <c r="B3" i="71" s="1"/>
  <c r="Q66" i="71"/>
  <c r="Q76" i="71" s="1"/>
  <c r="J9" i="40"/>
  <c r="H9" i="40"/>
  <c r="F9" i="40"/>
  <c r="J9" i="39"/>
  <c r="H9" i="39"/>
  <c r="F9" i="39"/>
  <c r="G18" i="66" l="1"/>
  <c r="O11" i="76" s="1"/>
  <c r="M25" i="76" s="1"/>
  <c r="M18" i="66"/>
  <c r="N11" i="76"/>
  <c r="E18" i="66"/>
  <c r="F18" i="66"/>
  <c r="E19" i="66"/>
  <c r="F19" i="6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25" i="76" l="1"/>
  <c r="Q11" i="7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3" i="76" l="1"/>
  <c r="L43" i="9"/>
  <c r="B5" i="39"/>
  <c r="B4" i="39"/>
  <c r="B3" i="39"/>
  <c r="F21" i="43"/>
  <c r="F26" i="12"/>
  <c r="F26" i="44"/>
  <c r="F24" i="15"/>
  <c r="C21" i="9"/>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C46" i="15" l="1"/>
  <c r="L57" i="15"/>
  <c r="L60" i="15" s="1"/>
  <c r="Q67" i="15" s="1"/>
  <c r="Q68" i="15"/>
  <c r="Q66" i="15"/>
  <c r="J42" i="15"/>
  <c r="J43" i="15" s="1"/>
  <c r="B2" i="15"/>
  <c r="C43" i="15"/>
  <c r="Q48" i="15"/>
  <c r="Q54" i="15" s="1"/>
  <c r="L52" i="44"/>
  <c r="L58" i="44" s="1"/>
  <c r="L61" i="44" s="1"/>
  <c r="B3" i="44"/>
  <c r="B5" i="44"/>
  <c r="B4" i="44"/>
  <c r="B3" i="15" l="1"/>
  <c r="Q76" i="15"/>
  <c r="Q58" i="15"/>
  <c r="Q63" i="15" s="1"/>
  <c r="Q69" i="44"/>
  <c r="Q59" i="44"/>
  <c r="Q64" i="44" s="1"/>
  <c r="Q68" i="44"/>
  <c r="Q77" i="44" s="1"/>
  <c r="B3" i="35" l="1"/>
  <c r="E8" i="12" s="1"/>
  <c r="B2" i="35" l="1"/>
  <c r="E10" i="12" s="1"/>
  <c r="L10" i="12" s="1"/>
  <c r="C6" i="12" l="1"/>
  <c r="L7" i="12" l="1"/>
  <c r="N26" i="1"/>
  <c r="C29" i="12"/>
  <c r="C24" i="12"/>
  <c r="C35" i="12" s="1"/>
  <c r="C33" i="12" s="1"/>
  <c r="C28" i="12" l="1"/>
  <c r="C26" i="12" s="1"/>
  <c r="C31" i="12" s="1"/>
  <c r="C30" i="12" s="1"/>
  <c r="C36" i="12" s="1"/>
  <c r="B2" i="12" s="1"/>
  <c r="D19" i="9"/>
  <c r="L4" i="76" l="1"/>
  <c r="B5" i="12"/>
  <c r="O26" i="1"/>
  <c r="N27" i="1" s="1"/>
  <c r="L44" i="9"/>
  <c r="D22" i="9"/>
  <c r="G19" i="9"/>
  <c r="G22" i="9" s="1"/>
  <c r="B4" i="12"/>
  <c r="B3" i="12"/>
  <c r="L3" i="12"/>
  <c r="D21" i="9"/>
  <c r="D20" i="9"/>
  <c r="N43" i="9" l="1"/>
  <c r="G20" i="9"/>
  <c r="G21" i="9"/>
  <c r="C32" i="9"/>
  <c r="C42" i="9" s="1"/>
  <c r="D14" i="66" l="1"/>
  <c r="N68" i="9"/>
  <c r="C44" i="9"/>
  <c r="D63" i="9"/>
  <c r="D73" i="9" s="1"/>
  <c r="N73" i="9" s="1"/>
  <c r="R5" i="54"/>
  <c r="B48" i="63" s="1"/>
  <c r="C35" i="9"/>
  <c r="F42" i="9" s="1"/>
  <c r="C33" i="9"/>
  <c r="D42" i="9" s="1"/>
  <c r="Q5" i="54" s="1"/>
  <c r="B47" i="63" s="1"/>
  <c r="O43" i="9"/>
  <c r="C34" i="9"/>
  <c r="M38" i="9" s="1"/>
  <c r="K27" i="9" s="1"/>
  <c r="O38" i="9"/>
  <c r="N3" i="76" l="1"/>
  <c r="D30" i="66"/>
  <c r="N5" i="76"/>
  <c r="M15" i="66"/>
  <c r="O5" i="76"/>
  <c r="M22" i="76" s="1"/>
  <c r="F14" i="66"/>
  <c r="M14" i="66"/>
  <c r="E16" i="66"/>
  <c r="F16" i="66"/>
  <c r="D71" i="9"/>
  <c r="D66" i="9" s="1"/>
  <c r="N72" i="9" s="1"/>
  <c r="C82" i="9"/>
  <c r="C81" i="9" s="1"/>
  <c r="C85" i="9" s="1"/>
  <c r="C86" i="9" s="1"/>
  <c r="D72" i="9" s="1"/>
  <c r="D44" i="9"/>
  <c r="C90" i="9"/>
  <c r="C103" i="9"/>
  <c r="F44" i="9"/>
  <c r="E44" i="9"/>
  <c r="G14" i="66"/>
  <c r="O3" i="76" s="1"/>
  <c r="M21" i="76" s="1"/>
  <c r="D70" i="9"/>
  <c r="C96" i="9"/>
  <c r="C91" i="9" s="1"/>
  <c r="C97" i="9" s="1"/>
  <c r="C98" i="9" s="1"/>
  <c r="E98" i="9" s="1"/>
  <c r="E99" i="9" s="1"/>
  <c r="C111" i="9"/>
  <c r="C104" i="9" s="1"/>
  <c r="E42" i="9"/>
  <c r="P5" i="54" s="1"/>
  <c r="B46" i="63" s="1"/>
  <c r="E14" i="66"/>
  <c r="O39" i="9"/>
  <c r="K29" i="9" s="1"/>
  <c r="K30" i="9" s="1"/>
  <c r="N69" i="9"/>
  <c r="M84" i="9" s="1"/>
  <c r="N84" i="9" s="1"/>
  <c r="N38" i="9"/>
  <c r="K28" i="9" s="1"/>
  <c r="K26" i="9"/>
  <c r="K25" i="9"/>
  <c r="M88" i="9"/>
  <c r="N88" i="9" s="1"/>
  <c r="M28" i="76" l="1"/>
  <c r="L22" i="76"/>
  <c r="Q5" i="76"/>
  <c r="L21" i="76"/>
  <c r="L28" i="76" s="1"/>
  <c r="C113" i="9"/>
  <c r="C114" i="9" s="1"/>
  <c r="E114" i="9" s="1"/>
  <c r="E115" i="9" s="1"/>
  <c r="R6" i="54"/>
  <c r="B50" i="63" s="1"/>
  <c r="M85" i="9"/>
  <c r="N85" i="9" s="1"/>
  <c r="M83" i="9"/>
  <c r="N83" i="9" s="1"/>
  <c r="M87" i="9"/>
  <c r="N87" i="9" s="1"/>
  <c r="M86" i="9"/>
  <c r="N86" i="9" s="1"/>
  <c r="C99" i="9"/>
  <c r="C115" i="9" l="1"/>
  <c r="D76" i="9" s="1"/>
  <c r="D74" i="9" s="1"/>
  <c r="N74" i="9" s="1"/>
  <c r="O77" i="9" s="1"/>
  <c r="Q77" i="9" s="1"/>
  <c r="N89" i="9"/>
  <c r="O89" i="9" s="1"/>
  <c r="O78" i="9" l="1"/>
  <c r="O79" i="9"/>
  <c r="O81" i="9" s="1"/>
  <c r="O80" i="9" l="1"/>
  <c r="F17" i="66"/>
  <c r="E17" i="66"/>
  <c r="F15" i="66" l="1"/>
  <c r="E15" i="66"/>
  <c r="B5" i="66"/>
  <c r="D32" i="66" s="1"/>
  <c r="B6" i="66"/>
  <c r="D6" i="66" l="1"/>
  <c r="C6" i="66"/>
  <c r="C5" i="66"/>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E00-00000300000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0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1C000000}">
      <text>
        <r>
          <rPr>
            <sz val="10"/>
            <color indexed="81"/>
            <rFont val="宋体"/>
            <family val="3"/>
            <charset val="134"/>
          </rPr>
          <t xml:space="preserve">需在此处填写剩余土地年限
</t>
        </r>
      </text>
    </comment>
    <comment ref="C99"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29000000}">
      <text>
        <r>
          <rPr>
            <b/>
            <sz val="9"/>
            <color indexed="81"/>
            <rFont val="宋体"/>
            <family val="3"/>
            <charset val="134"/>
          </rPr>
          <t xml:space="preserve">容积率
</t>
        </r>
      </text>
    </comment>
    <comment ref="D101" authorId="0" shapeId="0" xr:uid="{00000000-0006-0000-2000-00002A000000}">
      <text>
        <r>
          <rPr>
            <b/>
            <sz val="9"/>
            <color indexed="81"/>
            <rFont val="宋体"/>
            <family val="3"/>
            <charset val="134"/>
          </rPr>
          <t xml:space="preserve">容积率
</t>
        </r>
      </text>
    </comment>
    <comment ref="E101" authorId="0" shapeId="0" xr:uid="{00000000-0006-0000-2000-00002B000000}">
      <text>
        <r>
          <rPr>
            <b/>
            <sz val="9"/>
            <color indexed="81"/>
            <rFont val="宋体"/>
            <family val="3"/>
            <charset val="134"/>
          </rPr>
          <t xml:space="preserve">容积率
</t>
        </r>
      </text>
    </comment>
    <comment ref="F101" authorId="0" shapeId="0" xr:uid="{00000000-0006-0000-2000-00002C000000}">
      <text>
        <r>
          <rPr>
            <b/>
            <sz val="9"/>
            <color indexed="81"/>
            <rFont val="宋体"/>
            <family val="3"/>
            <charset val="134"/>
          </rPr>
          <t xml:space="preserve">容积率
</t>
        </r>
      </text>
    </comment>
    <comment ref="G101" authorId="0" shapeId="0" xr:uid="{00000000-0006-0000-2000-00002D000000}">
      <text>
        <r>
          <rPr>
            <b/>
            <sz val="9"/>
            <color indexed="81"/>
            <rFont val="宋体"/>
            <family val="3"/>
            <charset val="134"/>
          </rPr>
          <t xml:space="preserve">容积率
</t>
        </r>
      </text>
    </comment>
    <comment ref="H101" authorId="0" shapeId="0" xr:uid="{00000000-0006-0000-2000-00002E000000}">
      <text>
        <r>
          <rPr>
            <b/>
            <sz val="9"/>
            <color indexed="81"/>
            <rFont val="宋体"/>
            <family val="3"/>
            <charset val="134"/>
          </rPr>
          <t xml:space="preserve">容积率
</t>
        </r>
      </text>
    </comment>
    <comment ref="I101" authorId="0" shapeId="0" xr:uid="{00000000-0006-0000-2000-00002F000000}">
      <text>
        <r>
          <rPr>
            <b/>
            <sz val="9"/>
            <color indexed="81"/>
            <rFont val="宋体"/>
            <family val="3"/>
            <charset val="134"/>
          </rPr>
          <t xml:space="preserve">容积率
</t>
        </r>
      </text>
    </comment>
    <comment ref="J101" authorId="0" shapeId="0" xr:uid="{00000000-0006-0000-2000-000030000000}">
      <text>
        <r>
          <rPr>
            <b/>
            <sz val="9"/>
            <color indexed="81"/>
            <rFont val="宋体"/>
            <family val="3"/>
            <charset val="134"/>
          </rPr>
          <t xml:space="preserve">容积率
</t>
        </r>
      </text>
    </comment>
    <comment ref="K101" authorId="0" shapeId="0" xr:uid="{00000000-0006-0000-2000-000031000000}">
      <text>
        <r>
          <rPr>
            <b/>
            <sz val="9"/>
            <color indexed="81"/>
            <rFont val="宋体"/>
            <family val="3"/>
            <charset val="134"/>
          </rPr>
          <t xml:space="preserve">容积率
</t>
        </r>
      </text>
    </comment>
    <comment ref="L101" authorId="0" shapeId="0" xr:uid="{00000000-0006-0000-2000-000032000000}">
      <text>
        <r>
          <rPr>
            <b/>
            <sz val="9"/>
            <color indexed="81"/>
            <rFont val="宋体"/>
            <family val="3"/>
            <charset val="134"/>
          </rPr>
          <t xml:space="preserve">容积率
</t>
        </r>
      </text>
    </comment>
    <comment ref="M101" authorId="0" shapeId="0" xr:uid="{00000000-0006-0000-2000-000033000000}">
      <text>
        <r>
          <rPr>
            <b/>
            <sz val="9"/>
            <color indexed="81"/>
            <rFont val="宋体"/>
            <family val="3"/>
            <charset val="134"/>
          </rPr>
          <t xml:space="preserve">容积率
</t>
        </r>
      </text>
    </comment>
    <comment ref="N101" authorId="0" shapeId="0" xr:uid="{00000000-0006-0000-2000-000034000000}">
      <text>
        <r>
          <rPr>
            <b/>
            <sz val="9"/>
            <color indexed="81"/>
            <rFont val="宋体"/>
            <family val="3"/>
            <charset val="134"/>
          </rPr>
          <t xml:space="preserve">容积率
</t>
        </r>
      </text>
    </comment>
    <comment ref="C108" authorId="0" shapeId="0" xr:uid="{00000000-0006-0000-20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6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6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6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B10" authorId="0" shapeId="0" xr:uid="{00000000-0006-0000-0E00-000001000000}">
      <text>
        <r>
          <rPr>
            <b/>
            <sz val="9"/>
            <color indexed="81"/>
            <rFont val="宋体"/>
            <family val="3"/>
            <charset val="134"/>
          </rPr>
          <t>WANG:</t>
        </r>
        <r>
          <rPr>
            <sz val="9"/>
            <color indexed="81"/>
            <rFont val="宋体"/>
            <family val="3"/>
            <charset val="134"/>
          </rPr>
          <t xml:space="preserve">
不出让，不缴纳政府土地收益，已交土地开发费</t>
        </r>
      </text>
    </comment>
    <comment ref="B11" authorId="0" shapeId="0" xr:uid="{00000000-0006-0000-0E00-000002000000}">
      <text>
        <r>
          <rPr>
            <b/>
            <sz val="9"/>
            <color indexed="81"/>
            <rFont val="宋体"/>
            <family val="3"/>
            <charset val="134"/>
          </rPr>
          <t>WANG:</t>
        </r>
        <r>
          <rPr>
            <sz val="9"/>
            <color indexed="81"/>
            <rFont val="宋体"/>
            <family val="3"/>
            <charset val="134"/>
          </rPr>
          <t xml:space="preserve">
包含政府土地收益及土地开发补偿费</t>
        </r>
      </text>
    </comment>
    <comment ref="A15" authorId="0" shapeId="0" xr:uid="{00000000-0006-0000-0E00-000003000000}">
      <text>
        <r>
          <rPr>
            <b/>
            <sz val="9"/>
            <color indexed="81"/>
            <rFont val="宋体"/>
            <family val="3"/>
            <charset val="134"/>
          </rPr>
          <t>WANG:</t>
        </r>
        <r>
          <rPr>
            <sz val="9"/>
            <color indexed="81"/>
            <rFont val="宋体"/>
            <family val="3"/>
            <charset val="134"/>
          </rPr>
          <t xml:space="preserve">
2021年7月23日取得</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H10" authorId="0" shapeId="0" xr:uid="{00000000-0006-0000-0F00-000001000000}">
      <text>
        <r>
          <rPr>
            <b/>
            <sz val="9"/>
            <color indexed="81"/>
            <rFont val="宋体"/>
            <family val="3"/>
            <charset val="134"/>
          </rPr>
          <t>WANG:</t>
        </r>
        <r>
          <rPr>
            <sz val="9"/>
            <color indexed="81"/>
            <rFont val="宋体"/>
            <family val="3"/>
            <charset val="134"/>
          </rPr>
          <t xml:space="preserve">
100物业用房</t>
        </r>
      </text>
    </comment>
    <comment ref="M10" authorId="0" shapeId="0" xr:uid="{00000000-0006-0000-0F00-000002000000}">
      <text>
        <r>
          <rPr>
            <b/>
            <sz val="9"/>
            <color indexed="81"/>
            <rFont val="宋体"/>
            <family val="3"/>
            <charset val="134"/>
          </rPr>
          <t>WANG:</t>
        </r>
        <r>
          <rPr>
            <sz val="9"/>
            <color indexed="81"/>
            <rFont val="宋体"/>
            <family val="3"/>
            <charset val="134"/>
          </rPr>
          <t xml:space="preserve">
50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E20" authorId="0" shapeId="0" xr:uid="{00000000-0006-0000-1000-000001000000}">
      <text>
        <r>
          <rPr>
            <b/>
            <sz val="9"/>
            <color indexed="81"/>
            <rFont val="宋体"/>
            <family val="3"/>
            <charset val="134"/>
          </rPr>
          <t>WANG:</t>
        </r>
        <r>
          <rPr>
            <sz val="9"/>
            <color indexed="81"/>
            <rFont val="宋体"/>
            <family val="3"/>
            <charset val="134"/>
          </rPr>
          <t xml:space="preserve">
托老所534，老年活动中心200</t>
        </r>
      </text>
    </comment>
    <comment ref="K37" authorId="0" shapeId="0" xr:uid="{00000000-0006-0000-1000-000002000000}">
      <text>
        <r>
          <rPr>
            <b/>
            <sz val="9"/>
            <color indexed="81"/>
            <rFont val="宋体"/>
            <family val="3"/>
            <charset val="134"/>
          </rPr>
          <t xml:space="preserve">固定通信机房50，宏蜂窝基站机房30，有线电视房50，配电室180，电缆夹层90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<sst xmlns="http://schemas.openxmlformats.org/spreadsheetml/2006/main" count="8210" uniqueCount="3440">
  <si>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</si>
  <si>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</si>
  <si>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</si>
  <si>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</si>
  <si>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</si>
  <si>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</si>
  <si>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</si>
  <si>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</si>
  <si>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</si>
  <si>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</si>
  <si>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</si>
  <si>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</si>
  <si>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</si>
  <si>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</si>
  <si>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</si>
  <si>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</si>
  <si>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</si>
  <si>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</si>
  <si>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</si>
  <si>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</si>
  <si>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</si>
  <si>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</si>
  <si>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</si>
  <si>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</si>
  <si>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</si>
  <si>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</si>
  <si>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</si>
  <si>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</si>
  <si>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</si>
  <si>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</si>
  <si>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</si>
  <si>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</si>
  <si>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</si>
  <si>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</si>
  <si>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</si>
  <si>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</si>
  <si>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</si>
  <si>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</si>
  <si>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</si>
  <si>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</si>
  <si>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</si>
  <si>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</si>
  <si>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</si>
  <si>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</si>
  <si>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</si>
  <si>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</si>
  <si>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</si>
  <si>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</si>
  <si>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</si>
  <si>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</si>
  <si>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</si>
  <si>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</si>
  <si>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</si>
  <si>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</si>
  <si>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</si>
  <si>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</si>
  <si>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</si>
  <si>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</si>
  <si>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</si>
  <si>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</si>
  <si>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</si>
  <si>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</si>
  <si>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</si>
  <si>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</si>
  <si>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</si>
  <si>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</si>
  <si>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</si>
  <si>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</si>
  <si>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</si>
  <si>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</si>
  <si>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</si>
  <si>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</si>
  <si>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</si>
  <si>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</si>
  <si>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</si>
  <si>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</si>
  <si>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</si>
  <si>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</si>
  <si>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</si>
  <si>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</si>
  <si>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</si>
  <si>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</si>
  <si>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</si>
  <si>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</si>
  <si>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</si>
  <si>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</si>
  <si>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</si>
  <si>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</si>
  <si>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</si>
  <si>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</si>
  <si>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</si>
  <si>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</si>
  <si>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</si>
  <si>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</si>
  <si>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</si>
  <si>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</si>
  <si>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</si>
  <si>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</si>
  <si>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</si>
  <si>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</si>
  <si>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</si>
  <si>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</si>
  <si>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</si>
  <si>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</si>
  <si>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</si>
  <si>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</si>
  <si>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</si>
  <si>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</si>
  <si>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</si>
  <si>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</si>
  <si>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</si>
  <si>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</si>
  <si>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</si>
  <si>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</si>
  <si>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</si>
  <si>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</si>
  <si>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</si>
  <si>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</si>
  <si>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</si>
  <si>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</si>
  <si>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</si>
  <si>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</si>
  <si>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</si>
  <si>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</si>
  <si>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</si>
  <si>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</si>
  <si>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</si>
  <si>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</si>
  <si>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</si>
  <si>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</si>
  <si>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</si>
  <si>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</si>
  <si>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</si>
  <si>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</si>
  <si>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</si>
  <si>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</si>
  <si>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</si>
  <si>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</si>
  <si>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</si>
  <si>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</si>
  <si>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</si>
  <si>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</si>
  <si>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</si>
  <si>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</si>
  <si>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</si>
  <si>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</si>
  <si>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</si>
  <si>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</si>
  <si>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</si>
  <si>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</si>
  <si>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</si>
  <si>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</si>
  <si>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</si>
  <si>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</si>
  <si>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</si>
  <si>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</si>
  <si>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</si>
  <si>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</si>
  <si>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</si>
  <si>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</si>
  <si>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</si>
  <si>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</si>
  <si>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</si>
  <si>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</si>
  <si>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</si>
  <si>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</si>
  <si>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</si>
  <si>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</si>
  <si>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</si>
  <si>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</si>
  <si>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</si>
  <si>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</si>
  <si>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</si>
  <si>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</si>
  <si>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</si>
  <si>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</si>
  <si>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</si>
  <si>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</si>
  <si>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</si>
  <si>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</si>
  <si>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</si>
  <si>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</si>
  <si>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</si>
  <si>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</si>
  <si>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</si>
  <si>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</si>
  <si>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</si>
  <si>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</si>
  <si>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</si>
  <si>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</si>
  <si>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</si>
  <si>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</si>
  <si>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</si>
  <si>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</si>
  <si>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</si>
  <si>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</si>
  <si>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</si>
  <si>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</si>
  <si>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</si>
  <si>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</si>
  <si>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</si>
  <si>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</si>
  <si>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</si>
  <si>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</si>
  <si>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</si>
  <si>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</si>
  <si>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</si>
  <si>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</si>
  <si>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</si>
  <si>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</si>
  <si>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</si>
  <si>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</si>
  <si>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</si>
  <si>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</si>
  <si>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</si>
  <si>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</si>
  <si>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</si>
  <si>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</si>
  <si>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</si>
  <si>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</si>
  <si>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</si>
  <si>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</si>
  <si>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</si>
  <si>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</si>
  <si>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</si>
  <si>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</si>
  <si>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</si>
  <si>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</si>
  <si>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</si>
  <si>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</si>
  <si>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</si>
  <si>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</si>
  <si>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</si>
  <si>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</si>
  <si>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</si>
  <si>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</si>
  <si>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</si>
  <si>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</si>
  <si>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</si>
  <si>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</si>
  <si>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</si>
  <si>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</si>
  <si>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</si>
  <si>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</si>
  <si>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</si>
  <si>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</si>
  <si>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</si>
  <si>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</si>
  <si>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</si>
  <si>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</si>
  <si>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</si>
  <si>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</si>
  <si>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</si>
  <si>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</si>
  <si>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</si>
  <si>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</si>
  <si>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</si>
  <si>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</si>
  <si>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</si>
  <si>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</si>
  <si>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</si>
  <si>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</si>
  <si>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</si>
  <si>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</si>
  <si>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</si>
  <si>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</si>
  <si>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</si>
  <si>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</si>
  <si>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</si>
  <si>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</si>
  <si>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</si>
  <si>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</si>
  <si>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</si>
  <si>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</si>
  <si>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</si>
  <si>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</si>
  <si>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</si>
  <si>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</si>
  <si>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</si>
  <si>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</si>
  <si>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</si>
  <si>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</si>
  <si>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</si>
  <si>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</si>
  <si>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</si>
  <si>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</si>
  <si>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</si>
  <si>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</si>
  <si>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</si>
  <si>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</si>
  <si>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</si>
  <si>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</si>
  <si>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</si>
  <si>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</si>
  <si>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</si>
  <si>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</si>
  <si>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</si>
  <si>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</si>
  <si>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</si>
  <si>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</si>
  <si>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</si>
  <si>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</si>
  <si>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</si>
  <si>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</si>
  <si>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</si>
  <si>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</si>
  <si>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</si>
  <si>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</si>
  <si>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</si>
  <si>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</si>
  <si>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</si>
  <si>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</si>
  <si>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</si>
  <si>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</si>
  <si>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</si>
  <si>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</si>
  <si>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</si>
  <si>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</si>
  <si>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</si>
  <si>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</si>
  <si>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</si>
  <si>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</si>
  <si>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</si>
  <si>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</si>
  <si>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</si>
  <si>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</si>
  <si>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</si>
  <si>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</si>
  <si>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</si>
  <si>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</si>
  <si>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</si>
  <si>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</si>
  <si>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</si>
  <si>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</si>
  <si>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</si>
  <si>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</si>
  <si>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</si>
  <si>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</si>
  <si>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</si>
  <si>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</si>
  <si>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</si>
  <si>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</si>
  <si>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</si>
  <si>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</si>
  <si>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</si>
  <si>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</si>
  <si>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</si>
  <si>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</si>
  <si>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</si>
  <si>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</si>
  <si>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</si>
  <si>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</si>
  <si>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</si>
  <si>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</si>
  <si>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</si>
  <si>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</si>
  <si>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</si>
  <si>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</si>
  <si>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</si>
  <si>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</si>
  <si>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</si>
  <si>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</si>
  <si>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</si>
  <si>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</si>
  <si>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</si>
  <si>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</si>
  <si>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</si>
  <si>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</si>
  <si>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</si>
  <si>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</si>
  <si>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</si>
  <si>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</si>
  <si>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</si>
  <si>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</si>
  <si>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</si>
  <si>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</si>
  <si>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</si>
  <si>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</si>
  <si>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</si>
  <si>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</si>
  <si>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</si>
  <si>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</si>
  <si>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</si>
  <si>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</si>
  <si>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</si>
  <si>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</si>
  <si>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</si>
  <si>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</si>
  <si>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</si>
  <si>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</si>
  <si>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</si>
  <si>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</si>
  <si>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</si>
  <si>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</si>
  <si>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</si>
  <si>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</si>
  <si>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</si>
  <si>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</si>
  <si>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</si>
  <si>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</si>
  <si>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</si>
  <si>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</si>
  <si>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</si>
  <si>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</si>
  <si>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</si>
  <si>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</si>
  <si>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</si>
  <si>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</si>
  <si>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</si>
  <si>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</si>
  <si>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</si>
  <si>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</si>
  <si>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</si>
  <si>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</si>
  <si>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</si>
  <si>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</si>
  <si>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</si>
  <si>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</si>
  <si>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</si>
  <si>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</si>
  <si>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</si>
  <si>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</si>
  <si>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</si>
  <si>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</si>
  <si>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</si>
  <si>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</si>
  <si>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</si>
  <si>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</si>
  <si>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</si>
  <si>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</si>
  <si>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</si>
  <si>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</si>
  <si>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</si>
  <si>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</si>
  <si>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</si>
  <si>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</si>
  <si>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</si>
  <si>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</si>
  <si>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</si>
  <si>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</si>
  <si>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</si>
  <si>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</si>
  <si>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</si>
  <si>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</si>
  <si>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</si>
  <si>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</si>
  <si>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</si>
  <si>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</si>
  <si>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</si>
  <si>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</si>
  <si>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</si>
  <si>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</si>
  <si>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</si>
  <si>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</si>
  <si>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</si>
  <si>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</si>
  <si>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</si>
  <si>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</si>
  <si>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</si>
  <si>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</si>
  <si>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</si>
  <si>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</si>
  <si>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</si>
  <si>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</si>
  <si>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</si>
  <si>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</si>
  <si>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</si>
  <si>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</si>
  <si>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</si>
  <si>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</si>
  <si>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</si>
  <si>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</si>
  <si>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</si>
  <si>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</si>
  <si>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</si>
  <si>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</si>
  <si>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</si>
  <si>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</si>
  <si>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</si>
  <si>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</si>
  <si>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</si>
  <si>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</si>
  <si>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</si>
  <si>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</si>
  <si>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</si>
  <si>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</si>
  <si>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</si>
  <si>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</si>
  <si>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</si>
  <si>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</si>
  <si>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</si>
  <si>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</si>
  <si>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</si>
  <si>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</si>
  <si>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</si>
  <si>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</si>
  <si>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</si>
  <si>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</si>
  <si>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</si>
  <si>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</si>
  <si>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</si>
  <si>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</si>
  <si>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</si>
  <si>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</si>
  <si>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</si>
  <si>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</si>
  <si>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</si>
  <si>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</si>
  <si>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</si>
  <si>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</si>
  <si>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</si>
  <si>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</si>
  <si>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</si>
  <si>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</si>
  <si>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</si>
  <si>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</si>
  <si>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</si>
  <si>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</si>
  <si>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</si>
  <si>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</si>
  <si>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</si>
  <si>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</si>
  <si>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</si>
  <si>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</si>
  <si>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</si>
  <si>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</si>
  <si>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</si>
  <si>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</si>
  <si>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</si>
  <si>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</si>
  <si>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</si>
  <si>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</si>
  <si>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</si>
  <si>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</si>
  <si>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</si>
  <si>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</si>
  <si>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</si>
  <si>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</si>
  <si>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</si>
  <si>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</si>
  <si>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</si>
  <si>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</si>
  <si>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</si>
  <si>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</si>
  <si>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</si>
  <si>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</si>
  <si>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</si>
  <si>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</si>
  <si>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</si>
  <si>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</si>
  <si>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</si>
  <si>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</si>
  <si>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</si>
  <si>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</si>
  <si>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</si>
  <si>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</si>
  <si>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</si>
  <si>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</si>
  <si>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</si>
  <si>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</si>
  <si>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</si>
  <si>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</si>
  <si>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</si>
  <si>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</si>
  <si>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</si>
  <si>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</si>
  <si>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</si>
  <si>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</si>
  <si>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</si>
  <si>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</si>
  <si>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</si>
  <si>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</si>
  <si>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</si>
  <si>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</si>
  <si>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</si>
  <si>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</si>
  <si>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</si>
  <si>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</si>
  <si>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</si>
  <si>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</si>
  <si>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</si>
  <si>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</si>
  <si>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</si>
  <si>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</si>
  <si>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</si>
  <si>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</si>
  <si>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</si>
  <si>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</si>
  <si>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</si>
  <si>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</si>
  <si>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</si>
  <si>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</si>
  <si>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</si>
  <si>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</si>
  <si>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</si>
  <si>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</si>
  <si>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</si>
  <si>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</si>
  <si>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</si>
  <si>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</si>
  <si>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</si>
  <si>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</si>
  <si>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</si>
  <si>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</si>
  <si>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</si>
  <si>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</si>
  <si>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</si>
  <si>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</si>
  <si>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</si>
  <si>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</si>
  <si>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</si>
  <si>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</si>
  <si>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</si>
  <si>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</si>
  <si>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</si>
  <si>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</si>
  <si>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</si>
  <si>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</si>
  <si>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</si>
  <si>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</si>
  <si>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</si>
  <si>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</si>
  <si>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</si>
  <si>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</si>
  <si>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</si>
  <si>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</si>
  <si>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</si>
  <si>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</si>
  <si>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</si>
  <si>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</si>
  <si>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</si>
  <si>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</si>
  <si>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</si>
  <si>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</si>
  <si>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</si>
  <si>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</si>
  <si>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</si>
  <si>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</si>
  <si>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</si>
  <si>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</si>
  <si>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</si>
  <si>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</si>
  <si>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</si>
  <si>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</si>
  <si>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</si>
  <si>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</si>
  <si>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</si>
  <si>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</si>
  <si>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</si>
  <si>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</si>
  <si>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</si>
  <si>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</si>
  <si>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</si>
  <si>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</si>
  <si>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</si>
  <si>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</si>
  <si>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</si>
  <si>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</si>
  <si>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</si>
  <si>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</si>
  <si>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</si>
  <si>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</si>
  <si>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</si>
  <si>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</si>
  <si>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</si>
  <si>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</si>
  <si>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</si>
  <si>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</si>
  <si>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</si>
  <si>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</si>
  <si>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</si>
  <si>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</si>
  <si>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</si>
  <si>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</si>
  <si>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</si>
  <si>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</si>
  <si>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</si>
  <si>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</si>
  <si>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</si>
  <si>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</si>
  <si>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</si>
  <si>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</si>
  <si>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</si>
  <si>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</si>
  <si>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</si>
  <si>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</si>
  <si>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</si>
  <si>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</si>
  <si>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</si>
  <si>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</si>
  <si>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</si>
  <si>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</si>
  <si>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</si>
  <si>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</si>
  <si>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</si>
  <si>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</si>
  <si>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</si>
  <si>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</si>
  <si>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</si>
  <si>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</si>
  <si>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</si>
  <si>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</si>
  <si>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</si>
  <si>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</si>
  <si>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</si>
  <si>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</si>
  <si>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</si>
  <si>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</si>
  <si>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</si>
  <si>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</si>
  <si>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</si>
  <si>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</si>
  <si>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</si>
  <si>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</si>
  <si>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</si>
  <si>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</si>
  <si>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</si>
  <si>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</si>
  <si>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</si>
  <si>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</si>
  <si>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</si>
  <si>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</si>
  <si>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</si>
  <si>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</si>
  <si>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</si>
  <si>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</si>
  <si>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</si>
  <si>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</si>
  <si>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</si>
  <si>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</si>
  <si>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</si>
  <si>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</si>
  <si>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</si>
  <si>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</si>
  <si>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</si>
  <si>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</si>
  <si>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</si>
  <si>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</si>
  <si>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</si>
  <si>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</si>
  <si>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</si>
  <si>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</si>
  <si>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</si>
  <si>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</si>
  <si>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</si>
  <si>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</si>
  <si>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</si>
  <si>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</si>
  <si>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</si>
  <si>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</si>
  <si>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</si>
  <si>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</si>
  <si>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</si>
  <si>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</si>
  <si>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</si>
  <si>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</si>
  <si>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</si>
  <si>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</si>
  <si>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</si>
  <si>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</si>
  <si>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</si>
  <si>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</si>
  <si>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</si>
  <si>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</si>
  <si>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</si>
  <si>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</si>
  <si>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</si>
  <si>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</si>
  <si>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</si>
  <si>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</si>
  <si>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</si>
  <si>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</si>
  <si>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</si>
  <si>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</si>
  <si>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</si>
  <si>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</si>
  <si>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</si>
  <si>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</si>
  <si>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</si>
  <si>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</si>
  <si>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</si>
  <si>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</si>
  <si>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</si>
  <si>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</si>
  <si>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</si>
  <si>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</si>
  <si>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</si>
  <si>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</si>
  <si>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</si>
  <si>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</si>
  <si>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</si>
  <si>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</si>
  <si>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</si>
  <si>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</si>
  <si>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</si>
  <si>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</si>
  <si>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</si>
  <si>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</si>
  <si>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</si>
  <si>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</si>
  <si>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</si>
  <si>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</si>
  <si>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</si>
  <si>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</si>
  <si>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</si>
  <si>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</si>
  <si>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</si>
  <si>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</si>
  <si>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</si>
  <si>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</si>
  <si>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</si>
  <si>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</si>
  <si>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</si>
  <si>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</si>
  <si>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</si>
  <si>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</si>
  <si>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</si>
  <si>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</si>
  <si>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</si>
  <si>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</si>
  <si>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</si>
  <si>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</si>
  <si>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</si>
  <si>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</si>
  <si>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</si>
  <si>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</si>
  <si>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</si>
  <si>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</si>
  <si>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</si>
  <si>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</si>
  <si>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</si>
  <si>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</si>
  <si>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</si>
  <si>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</si>
  <si>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</si>
  <si>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</si>
  <si>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</si>
  <si>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</si>
  <si>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</si>
  <si>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</si>
  <si>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</si>
  <si>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</si>
  <si>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</si>
  <si>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</si>
  <si>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</si>
  <si>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</si>
  <si>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</si>
  <si>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</si>
  <si>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</si>
  <si>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</si>
  <si>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</si>
  <si>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</si>
  <si>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</si>
  <si>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</si>
  <si>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</si>
  <si>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</si>
  <si>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</si>
  <si>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</si>
  <si>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</si>
  <si>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</si>
  <si>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</si>
  <si>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</si>
  <si>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</si>
  <si>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</si>
  <si>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</si>
  <si>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</si>
  <si>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</si>
  <si>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</si>
  <si>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</si>
  <si>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</si>
  <si>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</si>
  <si>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</si>
  <si>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</si>
  <si>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</si>
  <si>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</si>
  <si>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</si>
  <si>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</si>
  <si>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</si>
  <si>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</si>
  <si>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</si>
  <si>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</si>
  <si>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</si>
  <si>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</si>
  <si>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</si>
  <si>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</si>
  <si>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</si>
  <si>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</si>
  <si>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</si>
  <si>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</si>
  <si>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</si>
  <si>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</si>
  <si>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</si>
  <si>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</si>
  <si>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</si>
  <si>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</si>
  <si>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</si>
  <si>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</si>
  <si>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</si>
  <si>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</si>
  <si>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</si>
  <si>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</si>
  <si>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</si>
  <si>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</si>
  <si>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</si>
  <si>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</si>
  <si>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</si>
  <si>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</si>
  <si>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</si>
  <si>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</si>
  <si>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</si>
  <si>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</si>
  <si>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</si>
  <si>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</si>
  <si>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</si>
  <si>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</si>
  <si>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</si>
  <si>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</si>
  <si>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</si>
  <si>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</si>
  <si>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</si>
  <si>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</si>
  <si>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</si>
  <si>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</si>
  <si>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</si>
  <si>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</si>
  <si>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</si>
  <si>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</si>
  <si>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</si>
  <si>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</si>
  <si>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</si>
  <si>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</si>
  <si>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</si>
  <si>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</si>
  <si>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</si>
  <si>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</si>
  <si>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</si>
  <si>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</si>
  <si>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</si>
  <si>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</si>
  <si>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</si>
  <si>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</si>
  <si>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</si>
  <si>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</si>
  <si>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</si>
  <si>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</si>
  <si>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</si>
  <si>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</si>
  <si>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</si>
  <si>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</si>
  <si>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</si>
  <si>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</si>
  <si>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</si>
  <si>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</si>
  <si>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</si>
  <si>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</si>
  <si>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</si>
  <si>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</si>
  <si>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</si>
  <si>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</si>
  <si>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</si>
  <si>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</si>
  <si>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</si>
  <si>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</si>
  <si>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</si>
  <si>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</si>
  <si>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</si>
  <si>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</si>
  <si>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</si>
  <si>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</si>
  <si>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</si>
  <si>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</si>
  <si>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</si>
  <si>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</si>
  <si>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</si>
  <si>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</si>
  <si>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</si>
  <si>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</si>
  <si>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</si>
  <si>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</si>
  <si>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</si>
  <si>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</si>
  <si>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</si>
  <si>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</si>
  <si>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</si>
  <si>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</si>
  <si>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</si>
  <si>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</si>
  <si>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</si>
  <si>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</si>
  <si>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</si>
  <si>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</si>
  <si>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</si>
  <si>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</si>
  <si>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</si>
  <si>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</si>
  <si>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</si>
  <si>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</si>
  <si>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</si>
  <si>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</si>
  <si>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</si>
  <si>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</si>
  <si>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</si>
  <si>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</si>
  <si>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</si>
  <si>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</si>
  <si>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</si>
  <si>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</si>
  <si>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</si>
  <si>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</si>
  <si>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</si>
  <si>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</si>
  <si>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</si>
  <si>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</si>
  <si>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</si>
  <si>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</si>
  <si>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</si>
  <si>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</si>
  <si>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</si>
  <si>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</si>
  <si>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</si>
  <si>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</si>
  <si>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</si>
  <si>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</si>
  <si>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</si>
  <si>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</si>
  <si>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</si>
  <si>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</si>
  <si>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</si>
  <si>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</si>
  <si>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</si>
  <si>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</si>
  <si>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</si>
  <si>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</si>
  <si>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</si>
  <si>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</si>
  <si>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</si>
  <si>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</si>
  <si>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</si>
  <si>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</si>
  <si>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</si>
  <si>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</si>
  <si>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</si>
  <si>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</si>
  <si>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</si>
  <si>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</si>
  <si>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</si>
  <si>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</si>
  <si>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</si>
  <si>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</si>
  <si>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</si>
  <si>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</si>
  <si>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</si>
  <si>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</si>
  <si>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</si>
  <si>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</si>
  <si>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</si>
  <si>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</si>
  <si>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</si>
  <si>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</si>
  <si>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</si>
  <si>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</si>
  <si>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</si>
  <si>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</si>
  <si>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</si>
  <si>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</si>
  <si>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</si>
  <si>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</si>
  <si>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</si>
  <si>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</si>
  <si>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</si>
  <si>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</si>
  <si>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</si>
  <si>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</si>
  <si>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</si>
  <si>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</si>
  <si>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</si>
  <si>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</si>
  <si>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</si>
  <si>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</si>
  <si>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</si>
  <si>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</si>
  <si>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</si>
  <si>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</si>
  <si>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</si>
  <si>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</si>
  <si>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</si>
  <si>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</si>
  <si>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</si>
  <si>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</si>
  <si>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</si>
  <si>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</si>
  <si>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</si>
  <si>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</si>
  <si>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</si>
  <si>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</si>
  <si>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</si>
  <si>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</si>
  <si>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</si>
  <si>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</si>
  <si>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</si>
  <si>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</si>
  <si>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</si>
  <si>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</si>
  <si>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</si>
  <si>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</si>
  <si>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</si>
  <si>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</si>
  <si>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</si>
  <si>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</si>
  <si>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</si>
  <si>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</si>
  <si>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</si>
  <si>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</si>
  <si>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</si>
  <si>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</si>
  <si>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</si>
  <si>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</si>
  <si>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</si>
  <si>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</si>
  <si>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</si>
  <si>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</si>
  <si>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</si>
  <si>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</si>
  <si>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</si>
  <si>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</si>
  <si>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</si>
  <si>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</si>
  <si>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</si>
  <si>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</si>
  <si>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</si>
  <si>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</si>
  <si>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</si>
  <si>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</si>
  <si>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</si>
  <si>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</si>
  <si>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</si>
  <si>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</si>
  <si>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</si>
  <si>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</si>
  <si>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</si>
  <si>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</si>
  <si>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</si>
  <si>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</si>
  <si>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</si>
  <si>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</si>
  <si>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</si>
  <si>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</si>
  <si>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</si>
  <si>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</si>
  <si>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</si>
  <si>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</si>
  <si>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</si>
  <si>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</si>
  <si>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</si>
  <si>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</si>
  <si>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</si>
  <si>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</si>
  <si>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</si>
  <si>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</si>
  <si>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</si>
  <si>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</si>
  <si>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</si>
  <si>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</si>
  <si>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</si>
  <si>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</si>
  <si>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</si>
  <si>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</si>
  <si>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</si>
  <si>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</si>
  <si>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</si>
  <si>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</si>
  <si>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</si>
  <si>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</si>
  <si>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</si>
  <si>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</si>
  <si>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</si>
  <si>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</si>
  <si>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</si>
  <si>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</si>
  <si>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</si>
  <si>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</si>
  <si>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</si>
  <si>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</si>
  <si>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</si>
  <si>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</si>
  <si>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</si>
  <si>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</si>
  <si>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</si>
  <si>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</si>
  <si>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</si>
  <si>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</si>
  <si>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</si>
  <si>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</si>
  <si>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</si>
  <si>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</si>
  <si>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</si>
  <si>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</si>
  <si>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</si>
  <si>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</si>
  <si>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</si>
  <si>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</si>
  <si>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</si>
  <si>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</si>
  <si>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</si>
  <si>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</si>
  <si>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</si>
  <si>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</si>
  <si>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</si>
  <si>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</si>
  <si>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</si>
  <si>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</si>
  <si>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</si>
  <si>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</si>
  <si>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</si>
  <si>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</si>
  <si>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</si>
  <si>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</si>
  <si>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</si>
  <si>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</si>
  <si>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</si>
  <si>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</si>
  <si>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</si>
  <si>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</si>
  <si>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</si>
  <si>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</si>
  <si>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</si>
  <si>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</si>
  <si>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</si>
  <si>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</si>
  <si>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</si>
  <si>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</si>
  <si>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</si>
  <si>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</si>
  <si>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</si>
  <si>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</si>
  <si>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</si>
  <si>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</si>
  <si>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</si>
  <si>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</si>
  <si>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</si>
  <si>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</si>
  <si>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</si>
  <si>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</si>
  <si>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</si>
  <si>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</si>
  <si>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</si>
  <si>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</si>
  <si>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</si>
  <si>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</si>
  <si>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</si>
  <si>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</si>
  <si>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</si>
  <si>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</si>
  <si>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</si>
  <si>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</si>
  <si>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</si>
  <si>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</si>
  <si>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</si>
  <si>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</si>
  <si>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</si>
  <si>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</si>
  <si>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</si>
  <si>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</si>
  <si>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</si>
  <si>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</si>
  <si>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</si>
  <si>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</si>
  <si>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</si>
  <si>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</si>
  <si>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</si>
  <si>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</si>
  <si>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</si>
  <si>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</si>
  <si>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</si>
  <si>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</si>
  <si>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</si>
  <si>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</si>
  <si>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</si>
  <si>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</si>
  <si>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</si>
  <si>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</si>
  <si>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</si>
  <si>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</si>
  <si>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</si>
  <si>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</si>
  <si>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</si>
  <si>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</si>
  <si>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</si>
  <si>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</si>
  <si>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</si>
  <si>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</si>
  <si>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</si>
  <si>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</si>
  <si>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</si>
  <si>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</si>
  <si>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</si>
  <si>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</si>
  <si>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</si>
  <si>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</si>
  <si>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</si>
  <si>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</si>
  <si>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</si>
  <si>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</si>
  <si>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</si>
  <si>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</si>
  <si>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</si>
  <si>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</si>
  <si>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</si>
  <si>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</si>
  <si>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</si>
  <si>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</si>
  <si>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</si>
  <si>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</si>
  <si>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</si>
  <si>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</si>
  <si>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</si>
  <si>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</si>
  <si>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</si>
  <si>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</si>
  <si>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</si>
  <si>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</si>
  <si>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</si>
  <si>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</si>
  <si>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</si>
  <si>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</si>
  <si>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</si>
  <si>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</si>
  <si>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</si>
  <si>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</si>
  <si>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</si>
  <si>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</si>
  <si>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</si>
  <si>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</si>
  <si>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</si>
  <si>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</si>
  <si>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</si>
  <si>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</si>
  <si>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</si>
  <si>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</si>
  <si>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</si>
  <si>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</si>
  <si>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</si>
  <si>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</si>
  <si>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</si>
  <si>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</si>
  <si>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</si>
  <si>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</si>
  <si>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</si>
  <si>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</si>
  <si>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</si>
  <si>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</si>
  <si>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</si>
  <si>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</si>
  <si>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</si>
  <si>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</si>
  <si>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</si>
  <si>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</si>
  <si>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</si>
  <si>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</si>
  <si>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</si>
  <si>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</si>
  <si>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</si>
  <si>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</si>
  <si>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</si>
  <si>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</si>
  <si>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</si>
  <si>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</si>
  <si>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</si>
  <si>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</si>
  <si>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</si>
  <si>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</si>
  <si>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</si>
  <si>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</si>
  <si>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</si>
  <si>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</si>
  <si>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</si>
  <si>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</si>
  <si>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</si>
  <si>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</si>
  <si>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</si>
  <si>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</si>
  <si>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</si>
  <si>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</si>
  <si>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</si>
  <si>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</si>
  <si>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</si>
  <si>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</si>
  <si>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</si>
  <si>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</si>
  <si>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</si>
  <si>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</si>
  <si>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</si>
  <si>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</si>
  <si>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</si>
  <si>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</si>
  <si>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</si>
  <si>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</si>
  <si>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</si>
  <si>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</si>
  <si>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</si>
  <si>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</si>
  <si>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</si>
  <si>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</si>
  <si>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</si>
  <si>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</si>
  <si>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</si>
  <si>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</si>
  <si>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</si>
  <si>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</si>
  <si>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</si>
  <si>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</si>
  <si>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</si>
  <si>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</si>
  <si>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</si>
  <si>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</si>
  <si>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</si>
  <si>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</si>
  <si>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</si>
  <si>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</si>
  <si>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</si>
  <si>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</si>
  <si>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</si>
  <si>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</si>
  <si>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</si>
  <si>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</si>
  <si>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</si>
  <si>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</si>
  <si>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</si>
  <si>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</si>
  <si>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</si>
  <si>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</si>
  <si>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</si>
  <si>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</si>
  <si>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</si>
  <si>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</si>
  <si>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</si>
  <si>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</si>
  <si>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</si>
  <si>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</si>
  <si>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</si>
  <si>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</si>
  <si>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</si>
  <si>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</si>
  <si>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</si>
  <si>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</si>
  <si>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</si>
  <si>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</si>
  <si>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</si>
  <si>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</si>
  <si>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</si>
  <si>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</si>
  <si>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</si>
  <si>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</si>
  <si>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</si>
  <si>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</si>
  <si>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</si>
  <si>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</si>
  <si>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</si>
  <si>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</si>
  <si>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</si>
  <si>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</si>
  <si>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</si>
  <si>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</si>
  <si>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</si>
  <si>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</si>
  <si>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</si>
  <si>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</si>
  <si>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</si>
  <si>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</si>
  <si>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</si>
  <si>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</si>
  <si>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</si>
  <si>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</si>
  <si>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</si>
  <si>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</si>
  <si>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</si>
  <si>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</si>
  <si>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</si>
  <si>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</si>
  <si>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</si>
  <si>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</si>
  <si>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</si>
  <si>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</si>
  <si>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</si>
  <si>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</si>
  <si>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</si>
  <si>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</si>
  <si>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</si>
  <si>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</si>
  <si>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</si>
  <si>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</si>
  <si>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</si>
  <si>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</si>
  <si>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</si>
  <si>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</si>
  <si>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</si>
  <si>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</si>
  <si>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</si>
  <si>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</si>
  <si>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</si>
  <si>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</si>
  <si>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</si>
  <si>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</si>
  <si>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</si>
  <si>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</si>
  <si>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</si>
  <si>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</si>
  <si>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</si>
  <si>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</si>
  <si>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</si>
  <si>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</si>
  <si>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</si>
  <si>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</si>
  <si>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</si>
  <si>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</si>
  <si>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</si>
  <si>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</si>
  <si>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</si>
  <si>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</si>
  <si>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</si>
  <si>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</si>
  <si>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</si>
  <si>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</si>
  <si>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</si>
  <si>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</si>
  <si>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</si>
  <si>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</si>
  <si>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</si>
  <si>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</si>
  <si>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</si>
  <si>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</si>
  <si>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</si>
  <si>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</si>
  <si>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</si>
  <si>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</si>
  <si>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</si>
  <si>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</si>
  <si>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</si>
  <si>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</si>
  <si>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</si>
  <si>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</si>
  <si>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</si>
  <si>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</si>
  <si>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</si>
  <si>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</si>
  <si>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</si>
  <si>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</si>
  <si>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</si>
  <si>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</si>
  <si>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</si>
  <si>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</si>
  <si>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</si>
  <si>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</si>
  <si>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</si>
  <si>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</si>
  <si>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</si>
  <si>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</si>
  <si>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</si>
  <si>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</si>
  <si>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</si>
  <si>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</si>
  <si>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</si>
  <si>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</si>
  <si>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</si>
  <si>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</si>
  <si>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</si>
  <si>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</si>
  <si>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</si>
  <si>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</si>
  <si>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</si>
  <si>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</si>
  <si>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</si>
  <si>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</si>
  <si>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</si>
  <si>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</si>
  <si>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</si>
  <si>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</si>
  <si>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</si>
  <si>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</si>
  <si>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</si>
  <si>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</si>
  <si>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</si>
  <si>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</si>
  <si>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</si>
  <si>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</si>
  <si>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</si>
  <si>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</si>
  <si>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</si>
  <si>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</si>
  <si>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</si>
  <si>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</si>
  <si>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</si>
  <si>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</si>
  <si>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</si>
  <si>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</si>
  <si>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</si>
  <si>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</si>
  <si>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</si>
  <si>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</si>
  <si>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</si>
  <si>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</si>
  <si>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</si>
  <si>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</si>
  <si>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</si>
  <si>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</si>
  <si>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</si>
  <si>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</si>
  <si>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</si>
  <si>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</si>
  <si>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</si>
  <si>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</si>
  <si>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</si>
  <si>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</si>
  <si>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</si>
  <si>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</si>
  <si>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</si>
  <si>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</si>
  <si>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</si>
  <si>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</si>
  <si>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</si>
  <si>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</si>
  <si>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</si>
  <si>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</si>
  <si>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</si>
  <si>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</si>
  <si>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</si>
  <si>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</si>
  <si>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</si>
  <si>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</si>
  <si>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</si>
  <si>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</si>
  <si>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</si>
  <si>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</si>
  <si>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</si>
  <si>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</si>
  <si>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</si>
  <si>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</si>
  <si>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</si>
  <si>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</si>
  <si>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</si>
  <si>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</si>
  <si>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</si>
  <si>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</si>
  <si>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</si>
  <si>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</si>
  <si>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</si>
  <si>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</si>
  <si>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</si>
  <si>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</si>
  <si>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</si>
  <si>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</si>
  <si>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</si>
  <si>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</si>
  <si>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</si>
  <si>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</si>
  <si>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</si>
  <si>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</si>
  <si>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</si>
  <si>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</si>
  <si>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</si>
  <si>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</si>
  <si>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</si>
  <si>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</si>
  <si>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</si>
  <si>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</si>
  <si>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</si>
  <si>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</si>
  <si>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</si>
  <si>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</si>
  <si>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</si>
  <si>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</si>
  <si>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</si>
  <si>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</si>
  <si>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</si>
  <si>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</si>
  <si>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</si>
  <si>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</si>
  <si>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</si>
  <si>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</si>
  <si>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</si>
  <si>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</si>
  <si>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</si>
  <si>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</si>
  <si>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</si>
  <si>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</si>
  <si>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</si>
  <si>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</si>
  <si>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</si>
  <si>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</si>
  <si>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</si>
  <si>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</si>
  <si>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</si>
  <si>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</si>
  <si>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</si>
  <si>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</si>
  <si>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</si>
  <si>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</si>
  <si>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</si>
  <si>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</si>
  <si>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</si>
  <si>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</si>
  <si>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</si>
  <si>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</si>
  <si>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</si>
  <si>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</si>
  <si>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</si>
  <si>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</si>
  <si>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</si>
  <si>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</si>
  <si>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</si>
  <si>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</si>
  <si>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</si>
  <si>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</si>
  <si>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</si>
  <si>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</si>
  <si>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</si>
  <si>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</si>
  <si>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</si>
  <si>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</si>
  <si>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</si>
  <si>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</si>
  <si>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</si>
  <si>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</si>
  <si>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</si>
  <si>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</si>
  <si>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</si>
  <si>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</si>
  <si>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</si>
  <si>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</si>
  <si>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</si>
  <si>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</si>
  <si>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</si>
  <si>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</si>
  <si>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</si>
  <si>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</si>
  <si>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</si>
  <si>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</si>
  <si>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</si>
  <si>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</si>
  <si>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</si>
  <si>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</si>
  <si>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</si>
  <si>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</si>
  <si>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</si>
  <si>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</si>
  <si>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</si>
  <si>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</si>
  <si>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</si>
  <si>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</si>
  <si>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</si>
  <si>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</si>
  <si>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</si>
  <si>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</si>
  <si>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</si>
  <si>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</si>
  <si>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</si>
  <si>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</si>
  <si>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</si>
  <si>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</si>
  <si>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</si>
  <si>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</si>
  <si>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</si>
  <si>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</si>
  <si>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</si>
  <si>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</si>
  <si>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</si>
  <si>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</si>
  <si>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</si>
  <si>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</si>
  <si>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</si>
  <si>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</si>
  <si>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</si>
  <si>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</si>
  <si>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</si>
  <si>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</si>
  <si>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</si>
  <si>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</si>
  <si>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</si>
  <si>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</si>
  <si>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</si>
  <si>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</si>
  <si>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</si>
  <si>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</si>
  <si>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</si>
  <si>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</si>
  <si>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</si>
  <si>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</si>
  <si>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</si>
  <si>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</si>
  <si>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</si>
  <si>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</si>
  <si>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</si>
  <si>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</si>
  <si>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</si>
  <si>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</si>
  <si>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</si>
  <si>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</si>
  <si>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</si>
  <si>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</si>
  <si>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</si>
  <si>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</si>
  <si>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</si>
  <si>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</si>
  <si>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</si>
  <si>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</si>
  <si>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</si>
  <si>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</si>
  <si>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</si>
  <si>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</si>
  <si>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</si>
  <si>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</si>
  <si>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</si>
  <si>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</si>
  <si>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</si>
  <si>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</si>
  <si>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</si>
  <si>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</si>
  <si>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</si>
  <si>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</si>
  <si>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</si>
  <si>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</si>
  <si>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</si>
  <si>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</si>
  <si>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</si>
  <si>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</si>
  <si>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</si>
  <si>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</si>
  <si>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</si>
  <si>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</si>
  <si>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</si>
  <si>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</si>
  <si>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</si>
  <si>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</si>
  <si>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</si>
  <si>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</si>
  <si>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</si>
  <si>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</si>
  <si>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</si>
  <si>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</si>
  <si>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</si>
  <si>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</si>
  <si>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</si>
  <si>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</si>
  <si>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</si>
  <si>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</si>
  <si>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</si>
  <si>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</si>
  <si>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</si>
  <si>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</si>
  <si>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</si>
  <si>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</si>
  <si>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</si>
  <si>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</si>
  <si>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</si>
  <si>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</si>
  <si>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</si>
  <si>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</si>
  <si>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</si>
  <si>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</si>
  <si>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</si>
  <si>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</si>
  <si>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</si>
  <si>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</si>
  <si>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</si>
  <si>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</si>
  <si>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</si>
  <si>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</si>
  <si>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</si>
  <si>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</si>
  <si>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</si>
  <si>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</si>
  <si>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</si>
  <si>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</si>
  <si>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</si>
  <si>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</si>
  <si>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</si>
  <si>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</si>
  <si>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</si>
  <si>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</si>
  <si>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</si>
  <si>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</si>
  <si>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</si>
  <si>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</si>
  <si>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</si>
  <si>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</si>
  <si>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</si>
  <si>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</si>
  <si>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</si>
  <si>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</si>
  <si>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</si>
  <si>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</si>
  <si>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</si>
  <si>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</si>
  <si>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</si>
  <si>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</si>
  <si>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</si>
  <si>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</si>
  <si>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</si>
  <si>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</si>
  <si>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</si>
  <si>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</si>
  <si>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</si>
  <si>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</si>
  <si>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</si>
  <si>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</si>
  <si>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</si>
  <si>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</si>
  <si>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</si>
  <si>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</si>
  <si>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</si>
  <si>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</si>
  <si>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</si>
  <si>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</si>
  <si>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</si>
  <si>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</si>
  <si>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</si>
  <si>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</si>
  <si>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</si>
  <si>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</si>
  <si>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</si>
  <si>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</si>
  <si>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</si>
  <si>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</si>
  <si>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</si>
  <si>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</si>
  <si>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</si>
  <si>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</si>
  <si>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</si>
  <si>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</si>
  <si>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</si>
  <si>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</si>
  <si>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</si>
  <si>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</si>
  <si>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</si>
  <si>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</si>
  <si>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</si>
  <si>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</si>
  <si>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</si>
  <si>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</si>
  <si>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</si>
  <si>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</si>
  <si>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</si>
  <si>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</si>
  <si>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</si>
  <si>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</si>
  <si>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</si>
  <si>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</si>
  <si>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</si>
  <si>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</si>
  <si>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</si>
  <si>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</si>
  <si>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</si>
  <si>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</si>
  <si>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</si>
  <si>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</si>
  <si>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</si>
  <si>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</si>
  <si>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</si>
  <si>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</si>
  <si>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</si>
  <si>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</si>
  <si>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</si>
  <si>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</si>
  <si>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</si>
  <si>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</si>
  <si>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</si>
  <si>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</si>
  <si>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</si>
  <si>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</si>
  <si>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</si>
  <si>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</si>
  <si>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</si>
  <si>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</si>
  <si>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</si>
  <si>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</si>
  <si>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</si>
  <si>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</si>
  <si>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</si>
  <si>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</si>
  <si>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</si>
  <si>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</si>
  <si>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</si>
  <si>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</si>
  <si>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</si>
  <si>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</si>
  <si>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</si>
  <si>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</si>
  <si>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</si>
  <si>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</si>
  <si>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</si>
  <si>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</si>
  <si>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</si>
  <si>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</si>
  <si>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</si>
  <si>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</si>
  <si>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</si>
  <si>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</si>
  <si>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</si>
  <si>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</si>
  <si>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</si>
  <si>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</si>
  <si>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</si>
  <si>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</si>
  <si>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</si>
  <si>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</si>
  <si>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</si>
  <si>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</si>
  <si>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</si>
  <si>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</si>
  <si>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</si>
  <si>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</si>
  <si>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</si>
  <si>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</si>
  <si>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</si>
  <si>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</si>
  <si>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</si>
  <si>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</si>
  <si>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</si>
  <si>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</si>
  <si>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</si>
  <si>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</si>
  <si>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</si>
  <si>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</si>
  <si>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</si>
  <si>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</si>
  <si>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</si>
  <si>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</si>
  <si>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</si>
  <si>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</si>
  <si>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</si>
  <si>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</si>
  <si>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</si>
  <si>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</si>
  <si>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</si>
  <si>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</si>
  <si>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</si>
  <si>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</si>
  <si>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</si>
  <si>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</si>
  <si>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</si>
  <si>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</si>
  <si>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</si>
  <si>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</si>
  <si>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</si>
  <si>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</si>
  <si>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</si>
  <si>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</si>
  <si>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</si>
  <si>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</si>
  <si>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</si>
  <si>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</si>
  <si>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</si>
  <si>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</si>
  <si>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</si>
  <si>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</si>
  <si>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</si>
  <si>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</si>
  <si>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</si>
  <si>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</si>
  <si>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</si>
  <si>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</si>
  <si>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</si>
  <si>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</si>
  <si>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</si>
  <si>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</si>
  <si>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</si>
  <si>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</si>
  <si>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</si>
  <si>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</si>
  <si>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</si>
  <si>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</si>
  <si>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</si>
  <si>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</si>
  <si>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</si>
  <si>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</si>
  <si>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</si>
  <si>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</si>
  <si>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</si>
  <si>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</si>
  <si>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</si>
  <si>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</si>
  <si>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</si>
  <si>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</si>
  <si>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</si>
  <si>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</si>
  <si>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</si>
  <si>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</si>
  <si>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</si>
  <si>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</si>
  <si>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</si>
  <si>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</si>
  <si>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</si>
  <si>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</si>
  <si>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</si>
  <si>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</si>
  <si>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</si>
  <si>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</si>
  <si>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</si>
  <si>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</si>
  <si>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</si>
  <si>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</si>
  <si>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</si>
  <si>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</si>
  <si>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</si>
  <si>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</si>
  <si>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</si>
  <si>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</si>
  <si>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</si>
  <si>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</si>
  <si>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</si>
  <si>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</si>
  <si>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</si>
  <si>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</si>
  <si>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</si>
  <si>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</si>
  <si>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</si>
  <si>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</si>
  <si>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</si>
  <si>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</si>
  <si>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</si>
  <si>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</si>
  <si>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</si>
  <si>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</si>
  <si>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</si>
  <si>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</si>
  <si>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</si>
  <si>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</si>
  <si>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</si>
  <si>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</si>
  <si>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</si>
  <si>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</si>
  <si>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</si>
  <si>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</si>
  <si>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</si>
  <si>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</si>
  <si>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</si>
  <si>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</si>
  <si>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</si>
  <si>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</si>
  <si>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</si>
  <si>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</si>
  <si>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</si>
  <si>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</si>
  <si>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</si>
  <si>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</si>
  <si>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</si>
  <si>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</si>
  <si>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</si>
  <si>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</si>
  <si>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</si>
  <si>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</si>
  <si>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</si>
  <si>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</si>
  <si>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</si>
  <si>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</si>
  <si>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</si>
  <si>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</si>
  <si>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</si>
  <si>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</si>
  <si>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</si>
  <si>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</si>
  <si>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</si>
  <si>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</si>
  <si>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</si>
  <si>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</si>
  <si>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</si>
  <si>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</si>
  <si>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</si>
  <si>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</si>
  <si>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</si>
  <si>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</si>
  <si>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</si>
  <si>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</si>
  <si>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</si>
  <si>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</si>
  <si>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</si>
  <si>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</si>
  <si>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</si>
  <si>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</si>
  <si>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</si>
  <si>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</si>
  <si>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</si>
  <si>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</si>
  <si>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</si>
  <si>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</si>
  <si>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</si>
  <si>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</si>
  <si>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</si>
  <si>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</si>
  <si>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</si>
  <si>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</si>
  <si>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</si>
  <si>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</si>
  <si>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</si>
  <si>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</si>
  <si>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</si>
  <si>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</si>
  <si>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</si>
  <si>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</si>
  <si>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</si>
  <si>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</si>
  <si>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</si>
  <si>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</si>
  <si>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</si>
  <si>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</si>
  <si>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</si>
  <si>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</si>
  <si>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</si>
  <si>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</si>
  <si>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</si>
  <si>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</si>
  <si>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</si>
  <si>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</si>
  <si>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</si>
  <si>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</si>
  <si>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</si>
  <si>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</si>
  <si>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</si>
  <si>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</si>
  <si>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</si>
  <si>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</si>
  <si>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</si>
  <si>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</si>
  <si>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</si>
  <si>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</si>
  <si>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</si>
  <si>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</si>
  <si>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</si>
  <si>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</si>
  <si>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</si>
  <si>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</si>
  <si>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</si>
  <si>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</si>
  <si>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</si>
  <si>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</si>
  <si>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</si>
  <si>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</si>
  <si>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</si>
  <si>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</si>
  <si>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</si>
  <si>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</si>
  <si>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</si>
  <si>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</si>
  <si>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</si>
  <si>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</si>
  <si>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</si>
  <si>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</si>
  <si>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</si>
  <si>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</si>
  <si>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</si>
  <si>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</si>
  <si>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</si>
  <si>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</si>
  <si>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</si>
  <si>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</si>
  <si>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</si>
  <si>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</si>
  <si>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</si>
  <si>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</si>
  <si>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</si>
  <si>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</si>
  <si>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</si>
  <si>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</si>
  <si>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</si>
  <si>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</si>
  <si>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</si>
  <si>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</si>
  <si>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</si>
  <si>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</si>
  <si>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</si>
  <si>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</si>
  <si>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</si>
  <si>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</si>
  <si>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</si>
  <si>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</si>
  <si>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</si>
  <si>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</si>
  <si>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</si>
  <si>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</si>
  <si>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</si>
  <si>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</si>
  <si>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</si>
  <si>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</si>
  <si>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</si>
  <si>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</si>
  <si>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</si>
  <si>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</si>
  <si>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</si>
  <si>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</si>
  <si>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</si>
  <si>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</si>
  <si>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</si>
  <si>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</si>
  <si>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</si>
  <si>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</si>
  <si>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</si>
  <si>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</si>
  <si>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</si>
  <si>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</si>
  <si>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</si>
  <si>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</si>
  <si>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</si>
  <si>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</si>
  <si>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</si>
  <si>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</si>
  <si>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</si>
  <si>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</si>
  <si>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</si>
  <si>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</si>
  <si>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</si>
  <si>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</si>
  <si>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</si>
  <si>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</si>
  <si>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</si>
  <si>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</si>
  <si>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</si>
  <si>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</si>
  <si>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</si>
  <si>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</si>
  <si>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</si>
  <si>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</si>
  <si>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</si>
  <si>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</si>
  <si>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</si>
  <si>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</si>
  <si>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</si>
  <si>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</si>
  <si>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</si>
  <si>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</si>
  <si>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</si>
  <si>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</si>
  <si>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</si>
  <si>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</si>
  <si>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</si>
  <si>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</si>
  <si>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</si>
  <si>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</si>
  <si>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</si>
  <si>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</si>
  <si>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</si>
  <si>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</si>
  <si>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</si>
  <si>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</si>
  <si>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</si>
  <si>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</si>
  <si>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</si>
  <si>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</si>
  <si>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</si>
  <si>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</si>
  <si>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</si>
  <si>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</si>
  <si>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</si>
  <si>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</si>
  <si>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</si>
  <si>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</si>
  <si>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</si>
  <si>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</si>
  <si>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</si>
  <si>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</si>
  <si>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</si>
  <si>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</si>
  <si>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</si>
  <si>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</si>
  <si>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</si>
  <si>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</si>
  <si>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</si>
  <si>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</si>
  <si>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</si>
  <si>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</si>
  <si>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</si>
  <si>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</si>
  <si>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</si>
  <si>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</si>
  <si>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</si>
  <si>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</si>
  <si>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</si>
  <si>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</si>
  <si>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</si>
  <si>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</si>
  <si>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</si>
  <si>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</si>
  <si>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</si>
  <si>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</si>
  <si>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</si>
  <si>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</si>
  <si>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</si>
  <si>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</si>
  <si>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</si>
  <si>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</si>
  <si>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</si>
  <si>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</si>
  <si>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</si>
  <si>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</si>
  <si>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</si>
  <si>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</si>
  <si>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</si>
  <si>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</si>
  <si>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</si>
  <si>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</si>
  <si>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</si>
  <si>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</si>
  <si>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</si>
  <si>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</si>
  <si>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</si>
  <si>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</si>
  <si>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</si>
  <si>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</si>
  <si>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</si>
  <si>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</si>
  <si>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</si>
  <si>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</si>
  <si>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</si>
  <si>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</si>
  <si>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</si>
  <si>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</si>
  <si>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</si>
  <si>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</si>
  <si>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</si>
  <si>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</si>
  <si>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</si>
  <si>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</si>
  <si>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</si>
  <si>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</si>
  <si>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</si>
  <si>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</si>
  <si>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</si>
  <si>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</si>
  <si>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</si>
  <si>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</si>
  <si>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</si>
  <si>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</si>
  <si>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</si>
  <si>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</si>
  <si>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</si>
  <si>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</si>
  <si>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</si>
  <si>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</si>
  <si>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</si>
  <si>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</si>
  <si>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</si>
  <si>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</si>
  <si>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</si>
  <si>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</si>
  <si>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</si>
  <si>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</si>
  <si>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</si>
  <si>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</si>
  <si>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</si>
  <si>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</si>
  <si>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</si>
  <si>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</si>
  <si>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</si>
  <si>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</si>
  <si>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</si>
  <si>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</si>
  <si>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</si>
  <si>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</si>
  <si>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</si>
  <si>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</si>
  <si>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</si>
  <si>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</si>
  <si>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</si>
  <si>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</si>
  <si>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</si>
  <si>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</si>
  <si>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</si>
  <si>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</si>
  <si>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</si>
  <si>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</si>
  <si>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</si>
  <si>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</si>
  <si>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</si>
  <si>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</si>
  <si>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</si>
  <si>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</si>
  <si>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</si>
  <si>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</si>
  <si>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</si>
  <si>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</si>
  <si>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</si>
  <si>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</si>
  <si>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</si>
  <si>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</si>
  <si>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</si>
  <si>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</si>
  <si>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</si>
  <si>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</si>
  <si>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</si>
  <si>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</si>
  <si>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</si>
  <si>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</si>
  <si>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</si>
  <si>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</si>
  <si>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</si>
  <si>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</si>
  <si>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</si>
  <si>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</si>
  <si>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</si>
  <si>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</si>
  <si>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</si>
  <si>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</si>
  <si>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</si>
  <si>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</si>
  <si>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</si>
  <si>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</si>
  <si>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</si>
  <si>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</si>
  <si>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</si>
  <si>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</si>
  <si>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</si>
  <si>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</si>
  <si>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</si>
  <si>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</si>
  <si>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</si>
  <si>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</si>
  <si>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</si>
  <si>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</si>
  <si>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</si>
  <si>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</si>
  <si>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</si>
  <si>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</si>
  <si>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</si>
  <si>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</si>
  <si>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</si>
  <si>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</si>
  <si>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</si>
  <si>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</si>
  <si>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</si>
  <si>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</si>
  <si>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</si>
  <si>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</si>
  <si>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</si>
  <si>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</si>
  <si>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</si>
  <si>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</si>
  <si>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</si>
  <si>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</si>
  <si>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</si>
  <si>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</si>
  <si>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</si>
  <si>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</si>
  <si>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</si>
  <si>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</si>
  <si>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</si>
  <si>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</si>
  <si>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</si>
  <si>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</si>
  <si>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</si>
  <si>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</si>
  <si>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</si>
  <si>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</si>
  <si>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</si>
  <si>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</si>
  <si>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</si>
  <si>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</si>
  <si>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</si>
  <si>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</si>
  <si>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</si>
  <si>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</si>
  <si>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</si>
  <si>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</si>
  <si>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</si>
  <si>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</si>
  <si>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</si>
  <si>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</si>
  <si>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</si>
  <si>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</si>
  <si>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</si>
  <si>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</si>
  <si>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</si>
  <si>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</si>
  <si>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</si>
  <si>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</si>
  <si>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</si>
  <si>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</si>
  <si>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</si>
  <si>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</si>
  <si>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</si>
  <si>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</si>
  <si>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</si>
  <si>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</si>
  <si>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</si>
  <si>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</si>
  <si>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</si>
  <si>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</si>
  <si>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</si>
  <si>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</si>
  <si>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</si>
  <si>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</si>
  <si>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</si>
  <si>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</si>
  <si>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</si>
  <si>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</si>
  <si>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</si>
  <si>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</si>
  <si>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</si>
  <si>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</si>
  <si>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</si>
  <si>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</si>
  <si>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</si>
  <si>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</si>
  <si>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</si>
  <si>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</si>
  <si>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</si>
  <si>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</si>
  <si>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</si>
  <si>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</si>
  <si>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</si>
  <si>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</si>
  <si>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</si>
  <si>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</si>
  <si>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</si>
  <si>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</si>
  <si>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</si>
  <si>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</si>
  <si>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</si>
  <si>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</si>
  <si>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</si>
  <si>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</si>
  <si>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</si>
  <si>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</si>
  <si>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</si>
  <si>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</si>
  <si>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</si>
  <si>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</si>
  <si>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</si>
  <si>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</si>
  <si>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</si>
  <si>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</si>
  <si>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</si>
  <si>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</si>
  <si>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</si>
  <si>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</si>
  <si>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</si>
  <si>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</si>
  <si>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</si>
  <si>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</si>
  <si>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</si>
  <si>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</si>
  <si>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</si>
  <si>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</si>
  <si>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</si>
  <si>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</si>
  <si>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</si>
  <si>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</si>
  <si>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</si>
  <si>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</si>
  <si>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</si>
  <si>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</si>
  <si>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</si>
  <si>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</si>
  <si>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</si>
  <si>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</si>
  <si>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</si>
  <si>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</si>
  <si>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</si>
  <si>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</si>
  <si>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</si>
  <si>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</si>
  <si>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</si>
  <si>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</si>
  <si>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</si>
  <si>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</si>
  <si>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</si>
  <si>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</si>
  <si>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</si>
  <si>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</si>
  <si>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</si>
  <si>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</si>
  <si>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</si>
  <si>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</si>
  <si>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</si>
  <si>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</si>
  <si>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</si>
  <si>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</si>
  <si>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</si>
  <si>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</si>
  <si>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</si>
  <si>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</si>
  <si>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</si>
  <si>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</si>
  <si>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</si>
  <si>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</si>
  <si>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</si>
  <si>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</si>
  <si>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</si>
  <si>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</si>
  <si>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</si>
  <si>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</si>
  <si>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</si>
  <si>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</si>
  <si>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</si>
  <si>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</si>
  <si>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</si>
  <si>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</si>
  <si>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</si>
  <si>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</si>
  <si>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</si>
  <si>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</si>
  <si>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</si>
  <si>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</si>
  <si>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</si>
  <si>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</si>
  <si>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</si>
  <si>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</si>
  <si>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</si>
  <si>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</si>
  <si>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</si>
  <si>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</si>
  <si>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</si>
  <si>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</si>
  <si>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</si>
  <si>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</si>
  <si>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</si>
  <si>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</si>
  <si>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</si>
  <si>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</si>
  <si>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</si>
  <si>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</si>
  <si>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</si>
  <si>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</si>
  <si>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</si>
  <si>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</si>
  <si>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</si>
  <si>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</si>
  <si>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</si>
  <si>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</si>
  <si>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</si>
  <si>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</si>
  <si>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</si>
  <si>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</si>
  <si>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</si>
  <si>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</si>
  <si>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</si>
  <si>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</si>
  <si>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</si>
  <si>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</si>
  <si>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</si>
  <si>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</si>
  <si>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</si>
  <si>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</si>
  <si>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</si>
  <si>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</si>
  <si>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</si>
  <si>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</si>
  <si>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</si>
  <si>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</si>
  <si>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</si>
  <si>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</si>
  <si>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</si>
  <si>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</si>
  <si>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</si>
  <si>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</si>
  <si>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</si>
  <si>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</si>
  <si>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</si>
  <si>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</si>
  <si>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</si>
  <si>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</si>
  <si>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</si>
  <si>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</si>
  <si>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</si>
  <si>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</si>
  <si>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</si>
  <si>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</si>
  <si>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</si>
  <si>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</si>
  <si>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</si>
  <si>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</si>
  <si>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</si>
  <si>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</si>
  <si>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</si>
  <si>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</si>
  <si>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</si>
  <si>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</si>
  <si>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</si>
  <si>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</si>
  <si>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</si>
  <si>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</si>
  <si>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</si>
  <si>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</si>
  <si>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</si>
  <si>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</si>
  <si>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</si>
  <si>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</si>
  <si>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</si>
  <si>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</si>
  <si>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</si>
  <si>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</si>
  <si>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</si>
  <si>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</si>
  <si>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</si>
  <si>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</si>
  <si>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</si>
  <si>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</si>
  <si>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</si>
  <si>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</si>
  <si>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</si>
  <si>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</si>
  <si>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</si>
  <si>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</si>
  <si>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</si>
  <si>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</si>
  <si>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</si>
  <si>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</si>
  <si>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</si>
  <si>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</si>
  <si>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</si>
  <si>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</si>
  <si>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</si>
  <si>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</si>
  <si>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</si>
  <si>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</si>
  <si>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</si>
  <si>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</si>
  <si>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</si>
  <si>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</si>
  <si>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</si>
  <si>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</si>
  <si>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</si>
  <si>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</si>
  <si>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</si>
  <si>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</si>
  <si>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</si>
  <si>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</si>
  <si>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</si>
  <si>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</si>
  <si>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</si>
  <si>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</si>
  <si>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</si>
  <si>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</si>
  <si>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</si>
  <si>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</si>
  <si>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</si>
  <si>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</si>
  <si>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</si>
  <si>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</si>
  <si>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</si>
  <si>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</si>
  <si>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</si>
  <si>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</si>
  <si>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</si>
  <si>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</si>
  <si>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</si>
  <si>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</si>
  <si>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</si>
  <si>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</si>
  <si>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</si>
  <si>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</si>
  <si>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</si>
  <si>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</si>
  <si>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</si>
  <si>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</si>
  <si>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</si>
  <si>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</si>
  <si>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</si>
  <si>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</si>
  <si>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</si>
  <si>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</si>
  <si>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</si>
  <si>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</si>
  <si>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</si>
  <si>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</si>
  <si>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</si>
  <si>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</si>
  <si>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</si>
  <si>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</si>
  <si>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</si>
  <si>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</si>
  <si>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</si>
  <si>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</si>
  <si>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</si>
  <si>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</si>
  <si>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</si>
  <si>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</si>
  <si>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</si>
  <si>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</si>
  <si>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</si>
  <si>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</si>
  <si>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</si>
  <si>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</si>
  <si>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</si>
  <si>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</si>
  <si>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</si>
  <si>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</si>
  <si>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</si>
  <si>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</si>
  <si>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</si>
  <si>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</si>
  <si>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</si>
  <si>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</si>
  <si>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</si>
  <si>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</si>
  <si>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</si>
  <si>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</si>
  <si>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</si>
  <si>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</si>
  <si>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</si>
  <si>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</si>
  <si>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</si>
  <si>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</si>
  <si>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</si>
  <si>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</si>
  <si>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</si>
  <si>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</si>
  <si>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</si>
  <si>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</si>
  <si>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</si>
  <si>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</si>
  <si>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</si>
  <si>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</si>
  <si>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</si>
  <si>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</si>
  <si>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</si>
  <si>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</si>
  <si>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</si>
  <si>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</si>
  <si>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</si>
  <si>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</si>
  <si>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</si>
  <si>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</si>
  <si>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</si>
  <si>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</si>
  <si>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</si>
  <si>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</si>
  <si>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</si>
  <si>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</si>
  <si>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</si>
  <si>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</si>
  <si>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</si>
  <si>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</si>
  <si>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</si>
  <si>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</si>
  <si>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</si>
  <si>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</si>
  <si>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</si>
  <si>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</si>
  <si>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</si>
  <si>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</si>
  <si>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</si>
  <si>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</si>
  <si>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</si>
  <si>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</si>
  <si>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</si>
  <si>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</si>
  <si>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</si>
  <si>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</si>
  <si>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</si>
  <si>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</si>
  <si>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</si>
  <si>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</si>
  <si>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</si>
  <si>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</si>
  <si>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</si>
  <si>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</si>
  <si>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</si>
  <si>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</si>
  <si>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</si>
  <si>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</si>
  <si>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</si>
  <si>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</si>
  <si>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</si>
  <si>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</si>
  <si>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</si>
  <si>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</si>
  <si>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</si>
  <si>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</si>
  <si>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</si>
  <si>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</si>
  <si>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</si>
  <si>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</si>
  <si>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</si>
  <si>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</si>
  <si>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</si>
  <si>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</si>
  <si>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</si>
  <si>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</si>
  <si>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</si>
  <si>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</si>
  <si>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</si>
  <si>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</si>
  <si>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</si>
  <si>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</si>
  <si>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吴薇</t>
  </si>
  <si>
    <t>郑燚</t>
  </si>
  <si>
    <t>抵押价格</t>
  </si>
  <si>
    <t>企业</t>
  </si>
  <si>
    <t>一致</t>
  </si>
  <si>
    <t>符合</t>
  </si>
  <si>
    <t>出让合同</t>
    <phoneticPr fontId="229" type="noConversion"/>
  </si>
  <si>
    <t>编号</t>
    <phoneticPr fontId="229" type="noConversion"/>
  </si>
  <si>
    <t>电子监管号</t>
    <phoneticPr fontId="229" type="noConversion"/>
  </si>
  <si>
    <r>
      <t>1101002021</t>
    </r>
    <r>
      <rPr>
        <sz val="11"/>
        <color theme="1"/>
        <rFont val="宋体"/>
        <family val="3"/>
        <charset val="134"/>
        <scheme val="minor"/>
      </rPr>
      <t>B00590</t>
    </r>
    <phoneticPr fontId="229" type="noConversion"/>
  </si>
  <si>
    <t>受让人</t>
    <phoneticPr fontId="229" type="noConversion"/>
  </si>
  <si>
    <t>北京兴远慧业科技有限公司</t>
    <phoneticPr fontId="229" type="noConversion"/>
  </si>
  <si>
    <t>宗地面积</t>
    <phoneticPr fontId="229" type="noConversion"/>
  </si>
  <si>
    <t>坐落</t>
    <phoneticPr fontId="229" type="noConversion"/>
  </si>
  <si>
    <t>建筑总面积</t>
    <phoneticPr fontId="229" type="noConversion"/>
  </si>
  <si>
    <t>出让规划建筑面积</t>
    <phoneticPr fontId="229" type="noConversion"/>
  </si>
  <si>
    <t>住宅</t>
    <phoneticPr fontId="229" type="noConversion"/>
  </si>
  <si>
    <t>办公</t>
    <phoneticPr fontId="229" type="noConversion"/>
  </si>
  <si>
    <t>教育不出让</t>
    <phoneticPr fontId="229" type="noConversion"/>
  </si>
  <si>
    <t>总地价</t>
    <phoneticPr fontId="229" type="noConversion"/>
  </si>
  <si>
    <t>成交单价</t>
    <phoneticPr fontId="229" type="noConversion"/>
  </si>
  <si>
    <t>政府土地收益</t>
    <phoneticPr fontId="229" type="noConversion"/>
  </si>
  <si>
    <t>土地开发费</t>
    <phoneticPr fontId="229" type="noConversion"/>
  </si>
  <si>
    <t>土地级别</t>
    <phoneticPr fontId="229" type="noConversion"/>
  </si>
  <si>
    <t>北京居住、商业、办公9级地价区</t>
    <phoneticPr fontId="229" type="noConversion"/>
  </si>
  <si>
    <t>不动产权证书</t>
    <phoneticPr fontId="229" type="noConversion"/>
  </si>
  <si>
    <r>
      <t>京（2</t>
    </r>
    <r>
      <rPr>
        <sz val="11"/>
        <color theme="1"/>
        <rFont val="宋体"/>
        <family val="3"/>
        <charset val="134"/>
        <scheme val="minor"/>
      </rPr>
      <t>021</t>
    </r>
    <r>
      <rPr>
        <sz val="11"/>
        <color theme="1"/>
        <rFont val="宋体"/>
        <family val="3"/>
        <charset val="134"/>
        <scheme val="minor"/>
      </rPr>
      <t>）通不动产权第</t>
    </r>
    <r>
      <rPr>
        <sz val="11"/>
        <color theme="1"/>
        <rFont val="宋体"/>
        <family val="3"/>
        <charset val="134"/>
        <scheme val="minor"/>
      </rPr>
      <t>0021036号</t>
    </r>
    <phoneticPr fontId="229" type="noConversion"/>
  </si>
  <si>
    <t>序号</t>
    <phoneticPr fontId="229" type="noConversion"/>
  </si>
  <si>
    <r>
      <t>6</t>
    </r>
    <r>
      <rPr>
        <sz val="11"/>
        <color theme="1"/>
        <rFont val="宋体"/>
        <family val="3"/>
        <charset val="134"/>
        <scheme val="minor"/>
      </rPr>
      <t>001地块</t>
    </r>
    <phoneticPr fontId="229" type="noConversion"/>
  </si>
  <si>
    <t>权利人</t>
    <phoneticPr fontId="229" type="noConversion"/>
  </si>
  <si>
    <t>北京金地通达房地产开发有限公司</t>
    <phoneticPr fontId="229" type="noConversion"/>
  </si>
  <si>
    <t>北京市通州区宋庄镇双埠头村、大庞村、大兴庄村土地一级开发项目TZ03-0403-6001地块</t>
    <phoneticPr fontId="229" type="noConversion"/>
  </si>
  <si>
    <t>不动产单元号</t>
    <phoneticPr fontId="229" type="noConversion"/>
  </si>
  <si>
    <r>
      <t>1</t>
    </r>
    <r>
      <rPr>
        <sz val="11"/>
        <color theme="1"/>
        <rFont val="宋体"/>
        <family val="3"/>
        <charset val="134"/>
        <scheme val="minor"/>
      </rPr>
      <t>10112104001GB00741W00000000</t>
    </r>
    <phoneticPr fontId="229" type="noConversion"/>
  </si>
  <si>
    <t>用途</t>
    <phoneticPr fontId="229" type="noConversion"/>
  </si>
  <si>
    <t>住宅、办公、商业</t>
    <phoneticPr fontId="229" type="noConversion"/>
  </si>
  <si>
    <t>面积</t>
    <phoneticPr fontId="229" type="noConversion"/>
  </si>
  <si>
    <t>年期</t>
    <phoneticPr fontId="229" type="noConversion"/>
  </si>
  <si>
    <r>
      <t>住宅2</t>
    </r>
    <r>
      <rPr>
        <sz val="11"/>
        <color theme="1"/>
        <rFont val="宋体"/>
        <family val="3"/>
        <charset val="134"/>
        <scheme val="minor"/>
      </rPr>
      <t>091年5月16日；商业2061年5月16日；办公2071年5月16日</t>
    </r>
    <phoneticPr fontId="229" type="noConversion"/>
  </si>
  <si>
    <r>
      <t>6</t>
    </r>
    <r>
      <rPr>
        <sz val="11"/>
        <color theme="1"/>
        <rFont val="宋体"/>
        <family val="3"/>
        <charset val="134"/>
        <scheme val="minor"/>
      </rPr>
      <t>004地块</t>
    </r>
    <phoneticPr fontId="229" type="noConversion"/>
  </si>
  <si>
    <r>
      <t>6</t>
    </r>
    <r>
      <rPr>
        <sz val="11"/>
        <color theme="1"/>
        <rFont val="宋体"/>
        <family val="3"/>
        <charset val="134"/>
        <scheme val="minor"/>
      </rPr>
      <t>007地块</t>
    </r>
    <phoneticPr fontId="229" type="noConversion"/>
  </si>
  <si>
    <r>
      <t>6</t>
    </r>
    <r>
      <rPr>
        <sz val="11"/>
        <color theme="1"/>
        <rFont val="宋体"/>
        <family val="3"/>
        <charset val="134"/>
        <scheme val="minor"/>
      </rPr>
      <t>010地块</t>
    </r>
    <phoneticPr fontId="229" type="noConversion"/>
  </si>
  <si>
    <r>
      <t>6</t>
    </r>
    <r>
      <rPr>
        <sz val="11"/>
        <color theme="1"/>
        <rFont val="宋体"/>
        <family val="3"/>
        <charset val="134"/>
        <scheme val="minor"/>
      </rPr>
      <t>021地块</t>
    </r>
    <phoneticPr fontId="229" type="noConversion"/>
  </si>
  <si>
    <r>
      <t>6</t>
    </r>
    <r>
      <rPr>
        <sz val="11"/>
        <color theme="1"/>
        <rFont val="宋体"/>
        <family val="3"/>
        <charset val="134"/>
        <scheme val="minor"/>
      </rPr>
      <t>024地块</t>
    </r>
    <phoneticPr fontId="229" type="noConversion"/>
  </si>
  <si>
    <r>
      <t>6</t>
    </r>
    <r>
      <rPr>
        <sz val="11"/>
        <color theme="1"/>
        <rFont val="宋体"/>
        <family val="3"/>
        <charset val="134"/>
        <scheme val="minor"/>
      </rPr>
      <t>018地块</t>
    </r>
    <phoneticPr fontId="229" type="noConversion"/>
  </si>
  <si>
    <t>北京市通州区宋庄镇双埠头村、大庞村、大兴庄村土地一级开发项目TZ03-0403-6004地块</t>
    <phoneticPr fontId="229" type="noConversion"/>
  </si>
  <si>
    <t>北京市通州区宋庄镇双埠头村、大庞村、大兴庄村土地一级开发项目TZ03-0403-6007地块</t>
    <phoneticPr fontId="229" type="noConversion"/>
  </si>
  <si>
    <t>北京市通州区宋庄镇双埠头村、大庞村、大兴庄村土地一级开发项目TZ03-0403-6010地块</t>
    <phoneticPr fontId="229" type="noConversion"/>
  </si>
  <si>
    <t>北京市通州区宋庄镇双埠头村、大庞村、大兴庄村土地一级开发项目TZ03-0403-6021地块</t>
    <phoneticPr fontId="229" type="noConversion"/>
  </si>
  <si>
    <t>北京市通州区宋庄镇双埠头村、大庞村、大兴庄村土地一级开发项目TZ03-0403-6024地块</t>
    <phoneticPr fontId="229" type="noConversion"/>
  </si>
  <si>
    <t>北京市通州区宋庄镇双埠头村、大庞村、大兴庄村土地一级开发项目TZ03-0403-6018地块</t>
    <phoneticPr fontId="229" type="noConversion"/>
  </si>
  <si>
    <r>
      <t>京（2021</t>
    </r>
    <r>
      <rPr>
        <sz val="11"/>
        <color theme="1"/>
        <rFont val="宋体"/>
        <family val="3"/>
        <charset val="134"/>
        <scheme val="minor"/>
      </rPr>
      <t>）通不动产权第</t>
    </r>
    <r>
      <rPr>
        <sz val="11"/>
        <color theme="1"/>
        <rFont val="宋体"/>
        <family val="3"/>
        <charset val="134"/>
        <scheme val="minor"/>
      </rPr>
      <t>0021037号</t>
    </r>
    <phoneticPr fontId="229" type="noConversion"/>
  </si>
  <si>
    <r>
      <t>京（2021）通不动产权第002103</t>
    </r>
    <r>
      <rPr>
        <sz val="11"/>
        <color theme="1"/>
        <rFont val="宋体"/>
        <family val="3"/>
        <charset val="134"/>
        <scheme val="minor"/>
      </rPr>
      <t>5</t>
    </r>
    <r>
      <rPr>
        <sz val="11"/>
        <color theme="1"/>
        <rFont val="宋体"/>
        <family val="3"/>
        <charset val="134"/>
        <scheme val="minor"/>
      </rPr>
      <t>号</t>
    </r>
    <phoneticPr fontId="229" type="noConversion"/>
  </si>
  <si>
    <t>110112104001GB00742W00000000</t>
    <phoneticPr fontId="229" type="noConversion"/>
  </si>
  <si>
    <r>
      <t>110112104001GB0074</t>
    </r>
    <r>
      <rPr>
        <sz val="11"/>
        <color theme="1"/>
        <rFont val="宋体"/>
        <family val="3"/>
        <charset val="134"/>
        <scheme val="minor"/>
      </rPr>
      <t>7</t>
    </r>
    <r>
      <rPr>
        <sz val="11"/>
        <color theme="1"/>
        <rFont val="宋体"/>
        <family val="3"/>
        <charset val="134"/>
        <scheme val="minor"/>
      </rPr>
      <t>W00000000</t>
    </r>
    <phoneticPr fontId="229" type="noConversion"/>
  </si>
  <si>
    <r>
      <t>京（2021）通不动产权第0021034</t>
    </r>
    <r>
      <rPr>
        <sz val="11"/>
        <color theme="1"/>
        <rFont val="宋体"/>
        <family val="3"/>
        <charset val="134"/>
        <scheme val="minor"/>
      </rPr>
      <t>号</t>
    </r>
    <phoneticPr fontId="229" type="noConversion"/>
  </si>
  <si>
    <r>
      <t>110112104001GB00744</t>
    </r>
    <r>
      <rPr>
        <sz val="11"/>
        <color theme="1"/>
        <rFont val="宋体"/>
        <family val="3"/>
        <charset val="134"/>
        <scheme val="minor"/>
      </rPr>
      <t>W00000000</t>
    </r>
    <phoneticPr fontId="229" type="noConversion"/>
  </si>
  <si>
    <r>
      <t>京（2021）通不动产权第0021032</t>
    </r>
    <r>
      <rPr>
        <sz val="11"/>
        <color theme="1"/>
        <rFont val="宋体"/>
        <family val="3"/>
        <charset val="134"/>
        <scheme val="minor"/>
      </rPr>
      <t>号</t>
    </r>
    <phoneticPr fontId="229" type="noConversion"/>
  </si>
  <si>
    <r>
      <t>110112104001GB00745</t>
    </r>
    <r>
      <rPr>
        <sz val="11"/>
        <color theme="1"/>
        <rFont val="宋体"/>
        <family val="3"/>
        <charset val="134"/>
        <scheme val="minor"/>
      </rPr>
      <t>W00000000</t>
    </r>
    <phoneticPr fontId="229" type="noConversion"/>
  </si>
  <si>
    <r>
      <t>京（2021）通不动产权第0021033</t>
    </r>
    <r>
      <rPr>
        <sz val="11"/>
        <color theme="1"/>
        <rFont val="宋体"/>
        <family val="3"/>
        <charset val="134"/>
        <scheme val="minor"/>
      </rPr>
      <t>号</t>
    </r>
    <phoneticPr fontId="229" type="noConversion"/>
  </si>
  <si>
    <r>
      <t>110112104001GB00749</t>
    </r>
    <r>
      <rPr>
        <sz val="11"/>
        <color theme="1"/>
        <rFont val="宋体"/>
        <family val="3"/>
        <charset val="134"/>
        <scheme val="minor"/>
      </rPr>
      <t>W00000000</t>
    </r>
    <phoneticPr fontId="229" type="noConversion"/>
  </si>
  <si>
    <r>
      <t>110112104001GB00748</t>
    </r>
    <r>
      <rPr>
        <sz val="11"/>
        <color theme="1"/>
        <rFont val="宋体"/>
        <family val="3"/>
        <charset val="134"/>
        <scheme val="minor"/>
      </rPr>
      <t>W00000000</t>
    </r>
    <phoneticPr fontId="229" type="noConversion"/>
  </si>
  <si>
    <r>
      <t>京（2021）通不动产权第0021038</t>
    </r>
    <r>
      <rPr>
        <sz val="11"/>
        <color theme="1"/>
        <rFont val="宋体"/>
        <family val="3"/>
        <charset val="134"/>
        <scheme val="minor"/>
      </rPr>
      <t>号</t>
    </r>
    <phoneticPr fontId="229" type="noConversion"/>
  </si>
  <si>
    <t>建设工程规划许可证</t>
    <phoneticPr fontId="229" type="noConversion"/>
  </si>
  <si>
    <t>证号</t>
    <phoneticPr fontId="229" type="noConversion"/>
  </si>
  <si>
    <r>
      <t>2</t>
    </r>
    <r>
      <rPr>
        <sz val="11"/>
        <color theme="1"/>
        <rFont val="宋体"/>
        <family val="3"/>
        <charset val="134"/>
        <scheme val="minor"/>
      </rPr>
      <t>021规自（通）建字0039号</t>
    </r>
    <phoneticPr fontId="229" type="noConversion"/>
  </si>
  <si>
    <t>建设项目名称</t>
    <phoneticPr fontId="229" type="noConversion"/>
  </si>
  <si>
    <r>
      <t>北京市通州区宋庄镇双埠头村、大庞村、大兴庄村土地一级开发项目T</t>
    </r>
    <r>
      <rPr>
        <sz val="11"/>
        <color theme="1"/>
        <rFont val="宋体"/>
        <family val="3"/>
        <charset val="134"/>
        <scheme val="minor"/>
      </rPr>
      <t>Z03-0403-6001、6004、6007、6010、6021、6024地块R2二类居住用地、6018地块B1商业用地、6009地块A334幼儿园用地</t>
    </r>
    <phoneticPr fontId="229" type="noConversion"/>
  </si>
  <si>
    <r>
      <t>北京市通州区宋庄镇双埠头村、大庞村、大兴庄村土地一级开发项目TZ03-0403-6001、6004、6007、6010、6021、6024地块R2二类居住用地、6018地块B1商业用地、6009地块A334幼儿园用地项目（</t>
    </r>
    <r>
      <rPr>
        <sz val="11"/>
        <color theme="1"/>
        <rFont val="宋体"/>
        <family val="3"/>
        <charset val="134"/>
        <scheme val="minor"/>
      </rPr>
      <t>1-1#楼等12项</t>
    </r>
    <r>
      <rPr>
        <sz val="11"/>
        <color theme="1"/>
        <rFont val="宋体"/>
        <family val="3"/>
        <charset val="134"/>
        <scheme val="minor"/>
      </rPr>
      <t>）</t>
    </r>
    <phoneticPr fontId="229" type="noConversion"/>
  </si>
  <si>
    <t>建设规模</t>
    <phoneticPr fontId="229" type="noConversion"/>
  </si>
  <si>
    <t>项目性质</t>
    <phoneticPr fontId="229" type="noConversion"/>
  </si>
  <si>
    <t>1-1#</t>
    <phoneticPr fontId="229" type="noConversion"/>
  </si>
  <si>
    <t>地上</t>
  </si>
  <si>
    <t>地下</t>
  </si>
  <si>
    <t>地下</t>
    <phoneticPr fontId="229" type="noConversion"/>
  </si>
  <si>
    <t>建筑面积</t>
    <phoneticPr fontId="229" type="noConversion"/>
  </si>
  <si>
    <t>层数</t>
    <phoneticPr fontId="229" type="noConversion"/>
  </si>
  <si>
    <t>地上</t>
    <phoneticPr fontId="229" type="noConversion"/>
  </si>
  <si>
    <t>高度</t>
    <phoneticPr fontId="229" type="noConversion"/>
  </si>
  <si>
    <t>地下库房</t>
    <phoneticPr fontId="229" type="noConversion"/>
  </si>
  <si>
    <t>地下设备</t>
    <phoneticPr fontId="229" type="noConversion"/>
  </si>
  <si>
    <t>1-2#</t>
  </si>
  <si>
    <t>1-3#</t>
  </si>
  <si>
    <t>1-4#</t>
  </si>
  <si>
    <t>住房套数</t>
    <phoneticPr fontId="229" type="noConversion"/>
  </si>
  <si>
    <t>1-5#</t>
  </si>
  <si>
    <t>1-6#</t>
  </si>
  <si>
    <t>1-7#</t>
  </si>
  <si>
    <t>1-8#</t>
  </si>
  <si>
    <t>1-9#</t>
  </si>
  <si>
    <t>1-10#</t>
  </si>
  <si>
    <t>1-11#</t>
  </si>
  <si>
    <t>地上公共服务</t>
    <phoneticPr fontId="229" type="noConversion"/>
  </si>
  <si>
    <t>地下公共服务</t>
    <phoneticPr fontId="229" type="noConversion"/>
  </si>
  <si>
    <t>1#地下车库</t>
    <phoneticPr fontId="229" type="noConversion"/>
  </si>
  <si>
    <t>地上人防</t>
    <phoneticPr fontId="229" type="noConversion"/>
  </si>
  <si>
    <t>地下车库</t>
    <phoneticPr fontId="229" type="noConversion"/>
  </si>
  <si>
    <t>小计</t>
    <phoneticPr fontId="229" type="noConversion"/>
  </si>
  <si>
    <t>地上</t>
    <phoneticPr fontId="229" type="noConversion"/>
  </si>
  <si>
    <t>地上住宅</t>
    <phoneticPr fontId="229" type="noConversion"/>
  </si>
  <si>
    <t>地下小计</t>
    <phoneticPr fontId="229" type="noConversion"/>
  </si>
  <si>
    <t>地上小计</t>
    <phoneticPr fontId="229" type="noConversion"/>
  </si>
  <si>
    <t>6001号地块总建筑面积</t>
    <phoneticPr fontId="229" type="noConversion"/>
  </si>
  <si>
    <t>2021规自（通）建字0038号</t>
    <phoneticPr fontId="229" type="noConversion"/>
  </si>
  <si>
    <r>
      <t>北京市通州区宋庄镇双埠头村、大庞村、大兴庄村土地一级开发项目TZ03-0403-6001、6004、6007、6010、6021、6024地块R2二类居住用地、6018地块B1商业用地、6009地块A334幼儿园用地项目（3-1#楼等10项</t>
    </r>
    <r>
      <rPr>
        <sz val="11"/>
        <color theme="1"/>
        <rFont val="宋体"/>
        <family val="3"/>
        <charset val="134"/>
        <scheme val="minor"/>
      </rPr>
      <t>）</t>
    </r>
    <phoneticPr fontId="229" type="noConversion"/>
  </si>
  <si>
    <t>6010号地块总建筑面积</t>
    <phoneticPr fontId="229" type="noConversion"/>
  </si>
  <si>
    <t>3-1#楼</t>
    <phoneticPr fontId="229" type="noConversion"/>
  </si>
  <si>
    <t>3-2#楼</t>
  </si>
  <si>
    <t>3-3#楼</t>
  </si>
  <si>
    <t>3-4#楼</t>
  </si>
  <si>
    <t>3-5#楼</t>
  </si>
  <si>
    <t>3-6#楼</t>
  </si>
  <si>
    <t>3-7#楼</t>
  </si>
  <si>
    <t>3-8#楼</t>
  </si>
  <si>
    <t>地上设备用房</t>
    <phoneticPr fontId="229" type="noConversion"/>
  </si>
  <si>
    <t>地上商业</t>
    <phoneticPr fontId="229" type="noConversion"/>
  </si>
  <si>
    <t>3-9#楼配建楼</t>
    <phoneticPr fontId="229" type="noConversion"/>
  </si>
  <si>
    <t>3#地下车库</t>
    <phoneticPr fontId="229" type="noConversion"/>
  </si>
  <si>
    <t>地下人防</t>
    <phoneticPr fontId="229" type="noConversion"/>
  </si>
  <si>
    <t>2021规自（通）简建字6004号</t>
    <phoneticPr fontId="229" type="noConversion"/>
  </si>
  <si>
    <t>北京市通州区宋庄镇双埠头村、大庞村、大兴庄村土地一级开发项目TZ03-0403-6001、6004、6007、6010、6021、6024地块R2二类居住用地、6018地块B1商业用地、6009地块A334幼儿园用地项目1#商业楼</t>
    <phoneticPr fontId="229" type="noConversion"/>
  </si>
  <si>
    <t>6018号地块总建筑面积</t>
    <phoneticPr fontId="229" type="noConversion"/>
  </si>
  <si>
    <r>
      <t>1</t>
    </r>
    <r>
      <rPr>
        <sz val="11"/>
        <color theme="1"/>
        <rFont val="宋体"/>
        <family val="3"/>
        <charset val="134"/>
        <scheme val="minor"/>
      </rPr>
      <t>#商业楼</t>
    </r>
    <phoneticPr fontId="229" type="noConversion"/>
  </si>
  <si>
    <t>地上设备</t>
    <phoneticPr fontId="229" type="noConversion"/>
  </si>
  <si>
    <t>6004号地块总建筑面积</t>
    <phoneticPr fontId="229" type="noConversion"/>
  </si>
  <si>
    <t>6021号地块总建筑面积</t>
    <phoneticPr fontId="229" type="noConversion"/>
  </si>
  <si>
    <t>地下车位个数</t>
    <phoneticPr fontId="229" type="noConversion"/>
  </si>
  <si>
    <t>单面积</t>
    <phoneticPr fontId="229" type="noConversion"/>
  </si>
  <si>
    <t>6024号地块总建筑面积</t>
    <phoneticPr fontId="229" type="noConversion"/>
  </si>
  <si>
    <t>6007号地块总建筑面积</t>
    <phoneticPr fontId="229" type="noConversion"/>
  </si>
  <si>
    <t>商业</t>
  </si>
  <si>
    <t>车库</t>
  </si>
  <si>
    <t>地下仓储</t>
  </si>
  <si>
    <t>地下仓储</t>
    <phoneticPr fontId="229" type="noConversion"/>
  </si>
  <si>
    <t>单价</t>
    <phoneticPr fontId="229" type="noConversion"/>
  </si>
  <si>
    <t>地下车库</t>
    <phoneticPr fontId="229" type="noConversion"/>
  </si>
  <si>
    <t>洋房</t>
  </si>
  <si>
    <t>仓储</t>
  </si>
  <si>
    <t>戊类库房</t>
  </si>
  <si>
    <t>地下仓储</t>
    <phoneticPr fontId="8" type="noConversion"/>
  </si>
  <si>
    <t>地下车库</t>
    <phoneticPr fontId="8" type="noConversion"/>
  </si>
  <si>
    <t>地上人防</t>
    <phoneticPr fontId="229" type="noConversion"/>
  </si>
  <si>
    <t>地下人防</t>
    <phoneticPr fontId="229" type="noConversion"/>
  </si>
  <si>
    <t>人防合计</t>
    <phoneticPr fontId="229" type="noConversion"/>
  </si>
  <si>
    <t>利息：取LPR加浮动点数</t>
  </si>
  <si>
    <t>土地（套用方法）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</si>
  <si>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</si>
  <si>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</si>
  <si>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</si>
  <si>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</si>
  <si>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</si>
  <si>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</si>
  <si>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</si>
  <si>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</si>
  <si>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</si>
  <si>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</si>
  <si>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</si>
  <si>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</si>
  <si>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</si>
  <si>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</si>
  <si>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</si>
  <si>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</si>
  <si>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</si>
  <si>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</si>
  <si>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</si>
  <si>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</si>
  <si>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北京市通州区宋庄镇双埠头村、大庞村、大兴庄村土地一级开发项目TZ03-0403-6001、6004、6007、6010、6021、6024地块R2二类居住用地、6018地块B1商业用地、6009地块A334幼儿园用地</t>
  </si>
  <si>
    <t>综合用地(含住宅)</t>
  </si>
  <si>
    <t>r2≤1.8、1.6,b1≤1.8,a334≤0.8</t>
  </si>
  <si>
    <t>挂牌</t>
  </si>
  <si>
    <t>R2二类居住用地、B1商业用地、A334幼儿园用地</t>
  </si>
  <si>
    <t>第一批</t>
  </si>
  <si>
    <t>2021-05-08</t>
  </si>
  <si>
    <t>2021-05-11</t>
  </si>
  <si>
    <t>北京兴远慧业科技有限公司</t>
  </si>
  <si>
    <t>3星</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</si>
  <si>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</si>
  <si>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</si>
  <si>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</si>
  <si>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</si>
  <si>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4星</t>
  </si>
  <si>
    <t>f1≤2.4,a334≤0.8</t>
  </si>
  <si>
    <t>F1住宅混合公建用地、A334托幼用地</t>
  </si>
  <si>
    <t>2021-05-27</t>
  </si>
  <si>
    <t>北京城建投资发展股份有限公司、北京迪多纳企业管理有限公司联合体</t>
  </si>
  <si>
    <t>北京市通州区永顺镇运通人和良园二期项目FZX-0604-6002、FZX-0604-6006地块R2二类居住用地、A334托幼用地</t>
  </si>
  <si>
    <t>r2≤2.2,a33≤0.8</t>
  </si>
  <si>
    <t>R2二类居住用地、A334托幼用地</t>
  </si>
  <si>
    <t>2020-07-14</t>
  </si>
  <si>
    <t>北京古城房地产开发有限公司、北京通州投资发展有限公司、北京春江房地产经纪有限责任公司联合体</t>
  </si>
  <si>
    <t>北京市通州区台湖镇亦庄新城站前区YZ00-0401-0056、YZ00-0401-L0055-02地块R2二类居住用地、A334托幼用地</t>
  </si>
  <si>
    <t>a334≤0.8,r2≤2.0</t>
  </si>
  <si>
    <t>2020-02-18</t>
  </si>
  <si>
    <t>北京绿城投资有限公司</t>
  </si>
  <si>
    <t>北京市通州区马驹桥镇亦庄新城0500街区YZ00-0500-6007等地块R2二类居住用地、A334托幼用地</t>
  </si>
  <si>
    <t>a334≤0.8,r2(6007)≤2.4,r2(6011)≤2.2</t>
  </si>
  <si>
    <t>2020-02-11</t>
  </si>
  <si>
    <t>北京润置商业运营管理有限公司、华通置业有限公司联合体</t>
  </si>
  <si>
    <t>2星</t>
  </si>
  <si>
    <t>北京市通州区马驹桥镇国家环保产业园区YZ00-0703-6004、6005、6006地块R2二类居住用地及A33基础教育用地</t>
  </si>
  <si>
    <t>R2二类居住用地、A33基础教育用地</t>
  </si>
  <si>
    <t>2019-10-15</t>
  </si>
  <si>
    <t>北京融玺企业管理服务有限公司、北京首都开发股份有限公司、北京通州投资发展有限公司联合体</t>
  </si>
  <si>
    <t>北京市通州新城0203街区TZ00-0203-6009地块R2二类居住用地、TZ00-0203-6010地块A33基础教育用地</t>
  </si>
  <si>
    <t>r2=1.6,a33=0.8</t>
  </si>
  <si>
    <t>2019-02-02</t>
  </si>
  <si>
    <t>北京通州房地产开发有限责任公司</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</si>
  <si>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</si>
  <si>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</si>
  <si>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</si>
  <si>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</si>
  <si>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</si>
  <si>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</si>
  <si>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</si>
  <si>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</si>
  <si>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北京万科企业有限公司、深圳市创邺企业管理有限公司联合体</t>
  </si>
  <si>
    <t>北京市通州区台湖镇YZ00-0405-0099、YZ00-0405-0104地块R2二类居住用地</t>
  </si>
  <si>
    <t>住宅用地</t>
  </si>
  <si>
    <t>R2二类居住用地</t>
  </si>
  <si>
    <t>北京住总房地产开发有限责任公司、北京通州投资发展有限公司、北京住总置业有限公司联合体</t>
  </si>
  <si>
    <t>北京市通州区马驹桥镇C01地块B1商业用地、C-07地块R2二类居住用地、C-09地块A33基础教育用地</t>
  </si>
  <si>
    <t>R2二类居住用地、B1商业用地、A33基础教育用地</t>
  </si>
  <si>
    <t>2019-01-28</t>
  </si>
  <si>
    <t>北京北投置业有限公司、北京通州投资发展有限公司</t>
  </si>
  <si>
    <t>楼面地价</t>
  </si>
  <si>
    <t>居住用地（指二类居住用地）</t>
  </si>
  <si>
    <t>估价对象容积率</t>
  </si>
  <si>
    <t>计算容积率</t>
    <phoneticPr fontId="229" type="noConversion"/>
  </si>
  <si>
    <t>限价</t>
    <phoneticPr fontId="229" type="noConversion"/>
  </si>
  <si>
    <t>自持住宅</t>
    <phoneticPr fontId="229" type="noConversion"/>
  </si>
  <si>
    <t>预计售价</t>
    <phoneticPr fontId="229" type="noConversion"/>
  </si>
  <si>
    <t>北京城市副中心0302街区FZX-0302-6004、6002地块F1住宅混合公建用地、A334托幼用地</t>
    <phoneticPr fontId="229" type="noConversion"/>
  </si>
  <si>
    <t>剥离地价</t>
    <phoneticPr fontId="229" type="noConversion"/>
  </si>
  <si>
    <t>备注</t>
    <phoneticPr fontId="229" type="noConversion"/>
  </si>
  <si>
    <r>
      <t>F</t>
    </r>
    <r>
      <rPr>
        <sz val="11"/>
        <color theme="1"/>
        <rFont val="宋体"/>
        <family val="3"/>
        <charset val="134"/>
        <scheme val="minor"/>
      </rPr>
      <t>1公建，住宅63369，公建27158，幼儿园5403.54</t>
    </r>
    <phoneticPr fontId="229" type="noConversion"/>
  </si>
  <si>
    <t>11500人才公寓</t>
    <phoneticPr fontId="229" type="noConversion"/>
  </si>
  <si>
    <t>安置房5万平米，定向回购2.2万</t>
    <phoneticPr fontId="229" type="noConversion"/>
  </si>
  <si>
    <t>住宅55607，幼儿园3464</t>
    <phoneticPr fontId="229" type="noConversion"/>
  </si>
  <si>
    <r>
      <t>住宅4</t>
    </r>
    <r>
      <rPr>
        <sz val="11"/>
        <color theme="1"/>
        <rFont val="宋体"/>
        <family val="3"/>
        <charset val="134"/>
        <scheme val="minor"/>
      </rPr>
      <t>7051，幼儿园3200</t>
    </r>
    <phoneticPr fontId="229" type="noConversion"/>
  </si>
  <si>
    <t>住宅52408,商办22462，幼儿园3565</t>
    <phoneticPr fontId="229" type="noConversion"/>
  </si>
  <si>
    <t>住宅149909,幼儿园4080</t>
    <phoneticPr fontId="229" type="noConversion"/>
  </si>
  <si>
    <t>绿城·明月听蘭</t>
    <phoneticPr fontId="229" type="noConversion"/>
  </si>
  <si>
    <t>帅府·潞苑</t>
    <phoneticPr fontId="229" type="noConversion"/>
  </si>
  <si>
    <t>自持</t>
    <phoneticPr fontId="27" type="noConversion"/>
  </si>
  <si>
    <t>限价区间</t>
    <phoneticPr fontId="27" type="noConversion"/>
  </si>
  <si>
    <t>亦庄橡树湾</t>
    <phoneticPr fontId="229" type="noConversion"/>
  </si>
  <si>
    <t>禹洲·朗廷湾</t>
    <phoneticPr fontId="229" type="noConversion"/>
  </si>
  <si>
    <t>正常</t>
  </si>
  <si>
    <r>
      <t>R2</t>
    </r>
    <r>
      <rPr>
        <sz val="11"/>
        <rFont val="宋体"/>
        <family val="3"/>
        <charset val="134"/>
      </rPr>
      <t>住宅</t>
    </r>
    <phoneticPr fontId="27" type="noConversion"/>
  </si>
  <si>
    <r>
      <t>F1</t>
    </r>
    <r>
      <rPr>
        <sz val="11"/>
        <rFont val="宋体"/>
        <family val="3"/>
        <charset val="134"/>
      </rPr>
      <t>配套混合住宅</t>
    </r>
    <phoneticPr fontId="27" type="noConversion"/>
  </si>
  <si>
    <t>R2住宅</t>
  </si>
  <si>
    <t>F1配套混合住宅</t>
  </si>
  <si>
    <t>住宅215924，幼儿园4260.56</t>
    <phoneticPr fontId="229" type="noConversion"/>
  </si>
  <si>
    <t>七通</t>
  </si>
  <si>
    <t>七通</t>
    <phoneticPr fontId="27" type="noConversion"/>
  </si>
  <si>
    <t>六通</t>
  </si>
  <si>
    <t>六通</t>
    <phoneticPr fontId="27" type="noConversion"/>
  </si>
  <si>
    <t>五通</t>
  </si>
  <si>
    <t>五通</t>
    <phoneticPr fontId="27" type="noConversion"/>
  </si>
  <si>
    <t>四通</t>
    <phoneticPr fontId="27" type="noConversion"/>
  </si>
  <si>
    <t>三通</t>
    <phoneticPr fontId="27" type="noConversion"/>
  </si>
  <si>
    <t>规则</t>
  </si>
  <si>
    <t>规则</t>
    <phoneticPr fontId="27" type="noConversion"/>
  </si>
  <si>
    <t>较规则</t>
  </si>
  <si>
    <t>较规则</t>
    <phoneticPr fontId="27" type="noConversion"/>
  </si>
  <si>
    <t>较不规则</t>
    <phoneticPr fontId="27" type="noConversion"/>
  </si>
  <si>
    <t>不规则</t>
    <phoneticPr fontId="27" type="noConversion"/>
  </si>
  <si>
    <t>五级</t>
    <phoneticPr fontId="27" type="noConversion"/>
  </si>
  <si>
    <t>六级</t>
    <phoneticPr fontId="27" type="noConversion"/>
  </si>
  <si>
    <t>七级</t>
    <phoneticPr fontId="27" type="noConversion"/>
  </si>
  <si>
    <t>八级</t>
    <phoneticPr fontId="27" type="noConversion"/>
  </si>
  <si>
    <t>九级</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</si>
  <si>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</si>
  <si>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</si>
  <si>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</si>
  <si>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</si>
  <si>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</si>
  <si>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</si>
  <si>
    <t>城市支路</t>
    <phoneticPr fontId="27" type="noConversion"/>
  </si>
  <si>
    <t>街坊路</t>
    <phoneticPr fontId="27" type="noConversion"/>
  </si>
  <si>
    <r>
      <t>6</t>
    </r>
    <r>
      <rPr>
        <sz val="11"/>
        <color indexed="8"/>
        <rFont val="宋体"/>
        <family val="3"/>
        <charset val="134"/>
      </rPr>
      <t>万以上</t>
    </r>
    <phoneticPr fontId="4"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</si>
  <si>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4"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</si>
  <si>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4" type="noConversion"/>
  </si>
  <si>
    <r>
      <t>5</t>
    </r>
    <r>
      <rPr>
        <sz val="11"/>
        <color indexed="8"/>
        <rFont val="宋体"/>
        <family val="3"/>
        <charset val="134"/>
      </rPr>
      <t>（含）</t>
    </r>
    <r>
      <rPr>
        <sz val="11"/>
        <color indexed="8"/>
        <rFont val="Arial"/>
        <family val="2"/>
      </rPr>
      <t>-4.5</t>
    </r>
    <r>
      <rPr>
        <sz val="11"/>
        <color indexed="8"/>
        <rFont val="宋体"/>
        <family val="3"/>
        <charset val="134"/>
      </rPr>
      <t>万</t>
    </r>
    <phoneticPr fontId="4" type="noConversion"/>
  </si>
  <si>
    <r>
      <t>4.5</t>
    </r>
    <r>
      <rPr>
        <sz val="11"/>
        <color indexed="8"/>
        <rFont val="宋体"/>
        <family val="3"/>
        <charset val="134"/>
      </rPr>
      <t>（含）</t>
    </r>
    <r>
      <rPr>
        <sz val="11"/>
        <color indexed="8"/>
        <rFont val="Arial"/>
        <family val="2"/>
      </rPr>
      <t>-4</t>
    </r>
    <r>
      <rPr>
        <sz val="11"/>
        <color indexed="8"/>
        <rFont val="宋体"/>
        <family val="3"/>
        <charset val="134"/>
      </rPr>
      <t>万</t>
    </r>
    <phoneticPr fontId="4" type="noConversion"/>
  </si>
  <si>
    <t>一般</t>
  </si>
  <si>
    <t>一般</t>
    <phoneticPr fontId="22" type="noConversion"/>
  </si>
  <si>
    <t>七通</t>
    <phoneticPr fontId="22" type="noConversion"/>
  </si>
  <si>
    <t>较差</t>
  </si>
  <si>
    <t>较差</t>
    <phoneticPr fontId="22" type="noConversion"/>
  </si>
  <si>
    <t>较好</t>
  </si>
  <si>
    <t>城市次干道——通怀路</t>
    <phoneticPr fontId="22" type="noConversion"/>
  </si>
  <si>
    <t>一致</t>
    <phoneticPr fontId="22" type="noConversion"/>
  </si>
  <si>
    <t>单面临街</t>
  </si>
  <si>
    <t>比较法-住宅、综合</t>
  </si>
  <si>
    <t>剩余法-待开发</t>
  </si>
  <si>
    <t>项目全部</t>
  </si>
  <si>
    <t>土地</t>
  </si>
  <si>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</si>
  <si>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售价</t>
  </si>
  <si>
    <t>60-70（含）</t>
  </si>
  <si>
    <t>洋房</t>
    <phoneticPr fontId="22" type="noConversion"/>
  </si>
  <si>
    <t>小高层</t>
    <phoneticPr fontId="22" type="noConversion"/>
  </si>
  <si>
    <t>高层</t>
    <phoneticPr fontId="22" type="noConversion"/>
  </si>
  <si>
    <t>钢混</t>
    <phoneticPr fontId="22" type="noConversion"/>
  </si>
  <si>
    <t>高品质</t>
  </si>
  <si>
    <t>高品质</t>
    <phoneticPr fontId="22" type="noConversion"/>
  </si>
  <si>
    <t>中品质</t>
    <phoneticPr fontId="22" type="noConversion"/>
  </si>
  <si>
    <t>低品质</t>
    <phoneticPr fontId="22" type="noConversion"/>
  </si>
  <si>
    <t>精装修</t>
    <phoneticPr fontId="4" type="noConversion"/>
  </si>
  <si>
    <t>普通装修</t>
    <phoneticPr fontId="4" type="noConversion"/>
  </si>
  <si>
    <t>简单装修</t>
    <phoneticPr fontId="4" type="noConversion"/>
  </si>
  <si>
    <t>毛坯</t>
    <phoneticPr fontId="4" type="noConversion"/>
  </si>
  <si>
    <t>专业</t>
  </si>
  <si>
    <t>专业</t>
    <phoneticPr fontId="22" type="noConversion"/>
  </si>
  <si>
    <t>七通</t>
    <phoneticPr fontId="22" type="noConversion"/>
  </si>
  <si>
    <t>普通装修</t>
    <phoneticPr fontId="4" type="noConversion"/>
  </si>
  <si>
    <t>精装修</t>
  </si>
  <si>
    <t>用途</t>
    <phoneticPr fontId="4" type="noConversion"/>
  </si>
  <si>
    <t>项目名称</t>
    <phoneticPr fontId="229" type="noConversion"/>
  </si>
  <si>
    <t>近一年均价</t>
    <phoneticPr fontId="4" type="noConversion"/>
  </si>
  <si>
    <t>近时点月均价</t>
    <phoneticPr fontId="229" type="noConversion"/>
  </si>
  <si>
    <t>房屋状态</t>
    <phoneticPr fontId="22" type="noConversion"/>
  </si>
  <si>
    <t>现房</t>
    <phoneticPr fontId="22" type="noConversion"/>
  </si>
  <si>
    <t>期房</t>
    <phoneticPr fontId="22" type="noConversion"/>
  </si>
  <si>
    <t>洋房</t>
    <phoneticPr fontId="229" type="noConversion"/>
  </si>
  <si>
    <t>查询时间</t>
    <phoneticPr fontId="4" type="noConversion"/>
  </si>
  <si>
    <t>用途</t>
    <phoneticPr fontId="229" type="noConversion"/>
  </si>
  <si>
    <t>车库</t>
    <phoneticPr fontId="229" type="noConversion"/>
  </si>
  <si>
    <t>套</t>
    <phoneticPr fontId="229" type="noConversion"/>
  </si>
  <si>
    <t>面积</t>
    <phoneticPr fontId="229" type="noConversion"/>
  </si>
  <si>
    <t>单价（个）</t>
    <phoneticPr fontId="229" type="noConversion"/>
  </si>
  <si>
    <t>单价（元/㎡）</t>
    <phoneticPr fontId="229" type="noConversion"/>
  </si>
  <si>
    <t>单个车位面积</t>
    <phoneticPr fontId="229" type="noConversion"/>
  </si>
  <si>
    <t>较差</t>
    <phoneticPr fontId="22" type="noConversion"/>
  </si>
  <si>
    <t>房屋状态</t>
    <phoneticPr fontId="229" type="noConversion"/>
  </si>
  <si>
    <t>现房</t>
    <phoneticPr fontId="229" type="noConversion"/>
  </si>
  <si>
    <t>毛坯</t>
    <phoneticPr fontId="229" type="noConversion"/>
  </si>
  <si>
    <t>装修状态</t>
    <phoneticPr fontId="229" type="noConversion"/>
  </si>
  <si>
    <t>精装</t>
    <phoneticPr fontId="229" type="noConversion"/>
  </si>
  <si>
    <t>小高层</t>
    <phoneticPr fontId="229" type="noConversion"/>
  </si>
  <si>
    <t>高层</t>
    <phoneticPr fontId="229" type="noConversion"/>
  </si>
  <si>
    <t>禹洲朗廷湾</t>
    <phoneticPr fontId="229" type="noConversion"/>
  </si>
  <si>
    <t>期房</t>
    <phoneticPr fontId="229" type="noConversion"/>
  </si>
  <si>
    <t>华业东方玫瑰</t>
    <phoneticPr fontId="229" type="noConversion"/>
  </si>
  <si>
    <t>塔楼</t>
    <phoneticPr fontId="229" type="noConversion"/>
  </si>
  <si>
    <t>新潮嘉园</t>
    <phoneticPr fontId="229" type="noConversion"/>
  </si>
  <si>
    <t>多层</t>
    <phoneticPr fontId="229" type="noConversion"/>
  </si>
  <si>
    <t>期房</t>
    <phoneticPr fontId="229" type="noConversion"/>
  </si>
  <si>
    <t>亦庄金悦郡</t>
    <phoneticPr fontId="229" type="noConversion"/>
  </si>
  <si>
    <t>金悦郡</t>
    <phoneticPr fontId="229" type="noConversion"/>
  </si>
  <si>
    <t>住宅</t>
    <phoneticPr fontId="22" type="noConversion"/>
  </si>
  <si>
    <t>地下车库</t>
    <phoneticPr fontId="28" type="noConversion"/>
  </si>
  <si>
    <t>40-50（含）</t>
  </si>
  <si>
    <t>首开香溪郡</t>
    <phoneticPr fontId="229" type="noConversion"/>
  </si>
  <si>
    <t>专业</t>
    <phoneticPr fontId="4" type="noConversion"/>
  </si>
  <si>
    <t>普通</t>
    <phoneticPr fontId="4" type="noConversion"/>
  </si>
  <si>
    <t>立体</t>
    <phoneticPr fontId="4" type="noConversion"/>
  </si>
  <si>
    <t>平面</t>
  </si>
  <si>
    <t>平面</t>
    <phoneticPr fontId="4" type="noConversion"/>
  </si>
  <si>
    <t>1:1.5</t>
  </si>
  <si>
    <t>1:1.4</t>
  </si>
  <si>
    <t>1:1.3</t>
  </si>
  <si>
    <t>1:1.2</t>
  </si>
  <si>
    <t>1:1.2</t>
    <phoneticPr fontId="28" type="noConversion"/>
  </si>
  <si>
    <t>1:1.1</t>
    <phoneticPr fontId="28" type="noConversion"/>
  </si>
  <si>
    <t>1:1</t>
    <phoneticPr fontId="28" type="noConversion"/>
  </si>
  <si>
    <t>1:0.9</t>
    <phoneticPr fontId="28" type="noConversion"/>
  </si>
  <si>
    <t>1:0.8</t>
    <phoneticPr fontId="28" type="noConversion"/>
  </si>
  <si>
    <t>1:0.8</t>
    <phoneticPr fontId="28" type="noConversion"/>
  </si>
  <si>
    <t>1:1.2</t>
    <phoneticPr fontId="28" type="noConversion"/>
  </si>
  <si>
    <t>现房</t>
    <phoneticPr fontId="28" type="noConversion"/>
  </si>
  <si>
    <t>期房</t>
    <phoneticPr fontId="28" type="noConversion"/>
  </si>
  <si>
    <r>
      <rPr>
        <sz val="11"/>
        <rFont val="仿宋_GB2312"/>
        <family val="3"/>
        <charset val="134"/>
      </rPr>
      <t>项目位置</t>
    </r>
    <phoneticPr fontId="4" type="noConversion"/>
  </si>
  <si>
    <t>毛坯</t>
  </si>
  <si>
    <t>普通</t>
  </si>
  <si>
    <t>京贸国际公馆</t>
  </si>
  <si>
    <t>京(2019)通不动产权第0044652号</t>
    <phoneticPr fontId="229" type="noConversion"/>
  </si>
  <si>
    <t>阳光城京兆府</t>
    <phoneticPr fontId="229" type="noConversion"/>
  </si>
  <si>
    <t>2015年竣工</t>
    <phoneticPr fontId="229" type="noConversion"/>
  </si>
  <si>
    <t>2010年拿地</t>
    <phoneticPr fontId="229" type="noConversion"/>
  </si>
  <si>
    <t>2021年交房</t>
    <phoneticPr fontId="229" type="noConversion"/>
  </si>
  <si>
    <t>2015年拿地</t>
    <phoneticPr fontId="229" type="noConversion"/>
  </si>
  <si>
    <t>京房售证字（2018）92号</t>
    <phoneticPr fontId="229" type="noConversion"/>
  </si>
  <si>
    <t>建委成交单价</t>
    <phoneticPr fontId="229" type="noConversion"/>
  </si>
  <si>
    <t>小高层及洋房</t>
    <phoneticPr fontId="229" type="noConversion"/>
  </si>
  <si>
    <t>中国铁建·顺新嘉苑</t>
    <phoneticPr fontId="229" type="noConversion"/>
  </si>
  <si>
    <t>京(2017)顺不动产权第0028292号</t>
    <phoneticPr fontId="229" type="noConversion"/>
  </si>
  <si>
    <t>57套</t>
    <phoneticPr fontId="229" type="noConversion"/>
  </si>
  <si>
    <t>2套</t>
    <phoneticPr fontId="229" type="noConversion"/>
  </si>
  <si>
    <t>15套</t>
    <phoneticPr fontId="229" type="noConversion"/>
  </si>
  <si>
    <t>恒泰家园</t>
    <phoneticPr fontId="229" type="noConversion"/>
  </si>
  <si>
    <t>中建·幸福里</t>
    <phoneticPr fontId="229" type="noConversion"/>
  </si>
  <si>
    <t>建委拟售价</t>
    <phoneticPr fontId="229" type="noConversion"/>
  </si>
  <si>
    <t>地下仓储</t>
    <phoneticPr fontId="28" type="noConversion"/>
  </si>
  <si>
    <t>地下</t>
    <phoneticPr fontId="28" type="noConversion"/>
  </si>
  <si>
    <t>普通装修</t>
  </si>
  <si>
    <t>加权平均</t>
  </si>
  <si>
    <t>类别</t>
  </si>
  <si>
    <t>项目类型</t>
  </si>
  <si>
    <t>经营性</t>
  </si>
  <si>
    <t>公共配套及物业（住宅）</t>
  </si>
  <si>
    <t>6001地块</t>
    <phoneticPr fontId="229" type="noConversion"/>
  </si>
  <si>
    <t>规划建筑面积</t>
    <phoneticPr fontId="229" type="noConversion"/>
  </si>
  <si>
    <t>6004地块</t>
    <phoneticPr fontId="229" type="noConversion"/>
  </si>
  <si>
    <t>合计</t>
    <phoneticPr fontId="229" type="noConversion"/>
  </si>
  <si>
    <t>6007地块</t>
    <phoneticPr fontId="229" type="noConversion"/>
  </si>
  <si>
    <t>洋房住宅</t>
  </si>
  <si>
    <t>洋房住宅</t>
    <phoneticPr fontId="8" type="noConversion"/>
  </si>
  <si>
    <t>6010地块</t>
    <phoneticPr fontId="229" type="noConversion"/>
  </si>
  <si>
    <t>商业</t>
    <phoneticPr fontId="229" type="noConversion"/>
  </si>
  <si>
    <t>地下车库用房</t>
    <phoneticPr fontId="229" type="noConversion"/>
  </si>
  <si>
    <t>6021地块</t>
    <phoneticPr fontId="229" type="noConversion"/>
  </si>
  <si>
    <t>6024地块</t>
    <phoneticPr fontId="229" type="noConversion"/>
  </si>
  <si>
    <t>6018地块</t>
    <phoneticPr fontId="229" type="noConversion"/>
  </si>
  <si>
    <t>总计</t>
    <phoneticPr fontId="229" type="noConversion"/>
  </si>
  <si>
    <t>估价方法</t>
  </si>
  <si>
    <t>方法结果（万元）</t>
  </si>
  <si>
    <t>权重</t>
  </si>
  <si>
    <t>市场比较法</t>
  </si>
  <si>
    <t>剩余法</t>
  </si>
  <si>
    <r>
      <t>6001</t>
    </r>
    <r>
      <rPr>
        <sz val="9"/>
        <color theme="1"/>
        <rFont val="华文细黑"/>
        <family val="3"/>
        <charset val="134"/>
      </rPr>
      <t>地块</t>
    </r>
  </si>
  <si>
    <t>估价对象</t>
    <phoneticPr fontId="229" type="noConversion"/>
  </si>
  <si>
    <t>估价对象</t>
  </si>
  <si>
    <t>《不动产权证书》证号</t>
  </si>
  <si>
    <t>土地坐落</t>
  </si>
  <si>
    <r>
      <t>估价对象</t>
    </r>
    <r>
      <rPr>
        <sz val="9"/>
        <color rgb="FF000000"/>
        <rFont val="Arial"/>
        <family val="2"/>
      </rPr>
      <t xml:space="preserve">1 </t>
    </r>
  </si>
  <si>
    <r>
      <t>京（</t>
    </r>
    <r>
      <rPr>
        <sz val="9"/>
        <color rgb="FF000000"/>
        <rFont val="Arial"/>
        <family val="2"/>
      </rPr>
      <t>2021</t>
    </r>
    <r>
      <rPr>
        <sz val="9"/>
        <color rgb="FF000000"/>
        <rFont val="华文细黑"/>
        <family val="3"/>
        <charset val="134"/>
      </rPr>
      <t>）通不动产权第</t>
    </r>
    <r>
      <rPr>
        <sz val="9"/>
        <color rgb="FF000000"/>
        <rFont val="Arial"/>
        <family val="2"/>
      </rPr>
      <t>0021036</t>
    </r>
    <r>
      <rPr>
        <sz val="9"/>
        <color rgb="FF000000"/>
        <rFont val="华文细黑"/>
        <family val="3"/>
        <charset val="134"/>
      </rPr>
      <t>号</t>
    </r>
  </si>
  <si>
    <r>
      <t>北京市通州区宋庄镇双埠头村、大庞村、大兴庄村土地一级开发项目</t>
    </r>
    <r>
      <rPr>
        <sz val="9"/>
        <color rgb="FF000000"/>
        <rFont val="Arial"/>
        <family val="2"/>
      </rPr>
      <t>TZ03-0403-6001</t>
    </r>
    <r>
      <rPr>
        <sz val="9"/>
        <color rgb="FF000000"/>
        <rFont val="华文细黑"/>
        <family val="3"/>
        <charset val="134"/>
      </rPr>
      <t>地块</t>
    </r>
  </si>
  <si>
    <r>
      <t>估价对象</t>
    </r>
    <r>
      <rPr>
        <sz val="9"/>
        <color rgb="FF000000"/>
        <rFont val="Arial"/>
        <family val="2"/>
      </rPr>
      <t>2</t>
    </r>
  </si>
  <si>
    <r>
      <t>京（</t>
    </r>
    <r>
      <rPr>
        <sz val="9"/>
        <color rgb="FF000000"/>
        <rFont val="Arial"/>
        <family val="2"/>
      </rPr>
      <t>2021</t>
    </r>
    <r>
      <rPr>
        <sz val="9"/>
        <color rgb="FF000000"/>
        <rFont val="华文细黑"/>
        <family val="3"/>
        <charset val="134"/>
      </rPr>
      <t>）通不动产权第</t>
    </r>
    <r>
      <rPr>
        <sz val="9"/>
        <color rgb="FF000000"/>
        <rFont val="Arial"/>
        <family val="2"/>
      </rPr>
      <t>0021037</t>
    </r>
    <r>
      <rPr>
        <sz val="9"/>
        <color rgb="FF000000"/>
        <rFont val="华文细黑"/>
        <family val="3"/>
        <charset val="134"/>
      </rPr>
      <t>号</t>
    </r>
  </si>
  <si>
    <r>
      <t>北京市通州区宋庄镇双埠头村、大庞村、大兴庄村土地一级开发项目</t>
    </r>
    <r>
      <rPr>
        <sz val="9"/>
        <color rgb="FF000000"/>
        <rFont val="Arial"/>
        <family val="2"/>
      </rPr>
      <t>TZ03-0403-6004</t>
    </r>
    <r>
      <rPr>
        <sz val="9"/>
        <color rgb="FF000000"/>
        <rFont val="华文细黑"/>
        <family val="3"/>
        <charset val="134"/>
      </rPr>
      <t>地块</t>
    </r>
  </si>
  <si>
    <r>
      <t>估价对象</t>
    </r>
    <r>
      <rPr>
        <sz val="9"/>
        <color rgb="FF000000"/>
        <rFont val="Arial"/>
        <family val="2"/>
      </rPr>
      <t>3</t>
    </r>
  </si>
  <si>
    <r>
      <t>京（</t>
    </r>
    <r>
      <rPr>
        <sz val="9"/>
        <color rgb="FF000000"/>
        <rFont val="Arial"/>
        <family val="2"/>
      </rPr>
      <t>2021</t>
    </r>
    <r>
      <rPr>
        <sz val="9"/>
        <color rgb="FF000000"/>
        <rFont val="华文细黑"/>
        <family val="3"/>
        <charset val="134"/>
      </rPr>
      <t>）通不动产权第</t>
    </r>
    <r>
      <rPr>
        <sz val="9"/>
        <color rgb="FF000000"/>
        <rFont val="Arial"/>
        <family val="2"/>
      </rPr>
      <t>0021035</t>
    </r>
    <r>
      <rPr>
        <sz val="9"/>
        <color rgb="FF000000"/>
        <rFont val="华文细黑"/>
        <family val="3"/>
        <charset val="134"/>
      </rPr>
      <t>号</t>
    </r>
  </si>
  <si>
    <r>
      <t>北京市通州区宋庄镇双埠头村、大庞村、大兴庄村土地一级开发项目</t>
    </r>
    <r>
      <rPr>
        <sz val="9"/>
        <color rgb="FF000000"/>
        <rFont val="Arial"/>
        <family val="2"/>
      </rPr>
      <t>TZ03-0403-6007</t>
    </r>
    <r>
      <rPr>
        <sz val="9"/>
        <color rgb="FF000000"/>
        <rFont val="华文细黑"/>
        <family val="3"/>
        <charset val="134"/>
      </rPr>
      <t>地块</t>
    </r>
  </si>
  <si>
    <r>
      <t>估价对象</t>
    </r>
    <r>
      <rPr>
        <sz val="9"/>
        <color rgb="FF000000"/>
        <rFont val="Arial"/>
        <family val="2"/>
      </rPr>
      <t>4</t>
    </r>
  </si>
  <si>
    <r>
      <t>京（</t>
    </r>
    <r>
      <rPr>
        <sz val="9"/>
        <color rgb="FF000000"/>
        <rFont val="Arial"/>
        <family val="2"/>
      </rPr>
      <t>2021</t>
    </r>
    <r>
      <rPr>
        <sz val="9"/>
        <color rgb="FF000000"/>
        <rFont val="华文细黑"/>
        <family val="3"/>
        <charset val="134"/>
      </rPr>
      <t>）通不动产权第</t>
    </r>
    <r>
      <rPr>
        <sz val="9"/>
        <color rgb="FF000000"/>
        <rFont val="Arial"/>
        <family val="2"/>
      </rPr>
      <t>0021034</t>
    </r>
    <r>
      <rPr>
        <sz val="9"/>
        <color rgb="FF000000"/>
        <rFont val="华文细黑"/>
        <family val="3"/>
        <charset val="134"/>
      </rPr>
      <t>号</t>
    </r>
  </si>
  <si>
    <r>
      <t>北京市通州区宋庄镇双埠头村、大庞村、大兴庄村土地一级开发项目</t>
    </r>
    <r>
      <rPr>
        <sz val="9"/>
        <color rgb="FF000000"/>
        <rFont val="Arial"/>
        <family val="2"/>
      </rPr>
      <t>TZ03-0403-6010</t>
    </r>
    <r>
      <rPr>
        <sz val="9"/>
        <color rgb="FF000000"/>
        <rFont val="华文细黑"/>
        <family val="3"/>
        <charset val="134"/>
      </rPr>
      <t>地块</t>
    </r>
  </si>
  <si>
    <r>
      <t>估价对象</t>
    </r>
    <r>
      <rPr>
        <sz val="9"/>
        <color rgb="FF000000"/>
        <rFont val="Arial"/>
        <family val="2"/>
      </rPr>
      <t>5</t>
    </r>
  </si>
  <si>
    <r>
      <t>京（</t>
    </r>
    <r>
      <rPr>
        <sz val="9"/>
        <color rgb="FF000000"/>
        <rFont val="Arial"/>
        <family val="2"/>
      </rPr>
      <t>2021</t>
    </r>
    <r>
      <rPr>
        <sz val="9"/>
        <color rgb="FF000000"/>
        <rFont val="华文细黑"/>
        <family val="3"/>
        <charset val="134"/>
      </rPr>
      <t>）通不动产权第</t>
    </r>
    <r>
      <rPr>
        <sz val="9"/>
        <color rgb="FF000000"/>
        <rFont val="Arial"/>
        <family val="2"/>
      </rPr>
      <t>0021033</t>
    </r>
    <r>
      <rPr>
        <sz val="9"/>
        <color rgb="FF000000"/>
        <rFont val="华文细黑"/>
        <family val="3"/>
        <charset val="134"/>
      </rPr>
      <t>号</t>
    </r>
  </si>
  <si>
    <r>
      <t>北京市通州区宋庄镇双埠头村、大庞村、大兴庄村土地一级开发项目</t>
    </r>
    <r>
      <rPr>
        <sz val="9"/>
        <color rgb="FF000000"/>
        <rFont val="Arial"/>
        <family val="2"/>
      </rPr>
      <t>TZ03-0403-6021</t>
    </r>
    <r>
      <rPr>
        <sz val="9"/>
        <color rgb="FF000000"/>
        <rFont val="华文细黑"/>
        <family val="3"/>
        <charset val="134"/>
      </rPr>
      <t>地块</t>
    </r>
  </si>
  <si>
    <r>
      <t>估价对象</t>
    </r>
    <r>
      <rPr>
        <sz val="9"/>
        <color rgb="FF000000"/>
        <rFont val="Arial"/>
        <family val="2"/>
      </rPr>
      <t>6</t>
    </r>
  </si>
  <si>
    <r>
      <t>京（</t>
    </r>
    <r>
      <rPr>
        <sz val="9"/>
        <color rgb="FF000000"/>
        <rFont val="Arial"/>
        <family val="2"/>
      </rPr>
      <t>2021</t>
    </r>
    <r>
      <rPr>
        <sz val="9"/>
        <color rgb="FF000000"/>
        <rFont val="华文细黑"/>
        <family val="3"/>
        <charset val="134"/>
      </rPr>
      <t>）通不动产权第</t>
    </r>
    <r>
      <rPr>
        <sz val="9"/>
        <color rgb="FF000000"/>
        <rFont val="Arial"/>
        <family val="2"/>
      </rPr>
      <t>0021038</t>
    </r>
    <r>
      <rPr>
        <sz val="9"/>
        <color rgb="FF000000"/>
        <rFont val="华文细黑"/>
        <family val="3"/>
        <charset val="134"/>
      </rPr>
      <t>号</t>
    </r>
  </si>
  <si>
    <r>
      <t>北京市通州区宋庄镇双埠头村、大庞村、大兴庄村土地一级开发项目</t>
    </r>
    <r>
      <rPr>
        <sz val="9"/>
        <color rgb="FF000000"/>
        <rFont val="Arial"/>
        <family val="2"/>
      </rPr>
      <t>TZ03-0403-6024</t>
    </r>
    <r>
      <rPr>
        <sz val="9"/>
        <color rgb="FF000000"/>
        <rFont val="华文细黑"/>
        <family val="3"/>
        <charset val="134"/>
      </rPr>
      <t>地块</t>
    </r>
  </si>
  <si>
    <r>
      <t>估价对象</t>
    </r>
    <r>
      <rPr>
        <sz val="9"/>
        <color rgb="FF000000"/>
        <rFont val="Arial"/>
        <family val="2"/>
      </rPr>
      <t>7</t>
    </r>
  </si>
  <si>
    <r>
      <t>京（</t>
    </r>
    <r>
      <rPr>
        <sz val="9"/>
        <color rgb="FF000000"/>
        <rFont val="Arial"/>
        <family val="2"/>
      </rPr>
      <t>2021</t>
    </r>
    <r>
      <rPr>
        <sz val="9"/>
        <color rgb="FF000000"/>
        <rFont val="华文细黑"/>
        <family val="3"/>
        <charset val="134"/>
      </rPr>
      <t>）通不动产权第</t>
    </r>
    <r>
      <rPr>
        <sz val="9"/>
        <color rgb="FF000000"/>
        <rFont val="Arial"/>
        <family val="2"/>
      </rPr>
      <t>0021032</t>
    </r>
    <r>
      <rPr>
        <sz val="9"/>
        <color rgb="FF000000"/>
        <rFont val="华文细黑"/>
        <family val="3"/>
        <charset val="134"/>
      </rPr>
      <t>号</t>
    </r>
  </si>
  <si>
    <r>
      <t>北京市通州区宋庄镇双埠头村、大庞村、大兴庄村土地一级开发项目</t>
    </r>
    <r>
      <rPr>
        <sz val="9"/>
        <color rgb="FF000000"/>
        <rFont val="Arial"/>
        <family val="2"/>
      </rPr>
      <t>TZ03-0403-6018</t>
    </r>
    <r>
      <rPr>
        <sz val="9"/>
        <color rgb="FF000000"/>
        <rFont val="华文细黑"/>
        <family val="3"/>
        <charset val="134"/>
      </rPr>
      <t>地块</t>
    </r>
  </si>
  <si>
    <t>序号</t>
    <phoneticPr fontId="229" type="noConversion"/>
  </si>
  <si>
    <t>总价</t>
    <phoneticPr fontId="229" type="noConversion"/>
  </si>
  <si>
    <t>扣减补缴政府土地收益（万元）</t>
    <phoneticPr fontId="229" type="noConversion"/>
  </si>
  <si>
    <t>抵押价格</t>
    <phoneticPr fontId="229" type="noConversion"/>
  </si>
  <si>
    <t>合计</t>
    <phoneticPr fontId="229" type="noConversion"/>
  </si>
  <si>
    <t>宋庄镇6004地块</t>
    <phoneticPr fontId="7" type="noConversion"/>
  </si>
  <si>
    <t>否</t>
  </si>
  <si>
    <t>运河铭著（新地国际家园）</t>
    <phoneticPr fontId="229" type="noConversion"/>
  </si>
  <si>
    <r>
      <t>6</t>
    </r>
    <r>
      <rPr>
        <sz val="11"/>
        <color theme="1"/>
        <rFont val="宋体"/>
        <family val="3"/>
        <charset val="134"/>
        <scheme val="minor"/>
      </rPr>
      <t>-</t>
    </r>
    <r>
      <rPr>
        <sz val="11"/>
        <color theme="1"/>
        <rFont val="宋体"/>
        <family val="3"/>
        <charset val="134"/>
        <scheme val="minor"/>
      </rPr>
      <t>8层</t>
    </r>
    <phoneticPr fontId="229" type="noConversion"/>
  </si>
  <si>
    <t>负2层</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</si>
</sst>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DBNum2][$-804]General"/>
  </numFmts>
  <fonts count="28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4"/>
      <color theme="1"/>
      <name val="宋体"/>
      <family val="3"/>
      <charset val="134"/>
      <scheme val="minor"/>
    </font>
    <font>
      <sz val="11"/>
      <color theme="9" tint="-0.249977111117893"/>
      <name val="宋体"/>
      <family val="3"/>
      <charset val="134"/>
    </font>
    <font>
      <sz val="10"/>
      <color rgb="FF494949"/>
      <name val="宋体"/>
      <family val="3"/>
      <charset val="134"/>
      <scheme val="minor"/>
    </font>
    <font>
      <sz val="10"/>
      <name val="宋体"/>
      <family val="3"/>
      <charset val="134"/>
      <scheme val="minor"/>
    </font>
    <font>
      <sz val="9"/>
      <color theme="1"/>
      <name val="华文细黑"/>
      <family val="3"/>
      <charset val="134"/>
    </font>
    <font>
      <b/>
      <sz val="9"/>
      <color rgb="FF000000"/>
      <name val="华文细黑"/>
      <family val="3"/>
      <charset val="134"/>
    </font>
    <font>
      <sz val="9"/>
      <color rgb="FF000000"/>
      <name val="华文细黑"/>
      <family val="3"/>
      <charset val="134"/>
    </font>
    <font>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6" fillId="0" borderId="0"/>
    <xf numFmtId="0" fontId="2" fillId="0" borderId="0">
      <alignment vertical="center"/>
    </xf>
    <xf numFmtId="0" fontId="1" fillId="0" borderId="0"/>
  </cellStyleXfs>
  <cellXfs count="376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0"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9" fillId="0" borderId="11" xfId="0" applyNumberFormat="1" applyFont="1" applyFill="1" applyBorder="1" applyAlignment="1" applyProtection="1">
      <alignment vertical="center"/>
      <protection locked="0"/>
    </xf>
    <xf numFmtId="0" fontId="228" fillId="5" borderId="0" xfId="4" applyFont="1" applyFill="1" applyAlignment="1">
      <alignment vertical="center"/>
    </xf>
    <xf numFmtId="0" fontId="228" fillId="5" borderId="2" xfId="4" applyFont="1" applyFill="1" applyBorder="1" applyAlignment="1">
      <alignment horizontal="left" vertical="center" wrapText="1"/>
    </xf>
    <xf numFmtId="14" fontId="201" fillId="5" borderId="2" xfId="4" applyNumberFormat="1" applyFont="1" applyFill="1" applyBorder="1" applyAlignment="1">
      <alignment horizontal="center" wrapText="1"/>
    </xf>
    <xf numFmtId="0" fontId="201" fillId="5" borderId="2" xfId="4" applyFont="1" applyFill="1" applyBorder="1" applyAlignment="1">
      <alignment horizontal="center" wrapText="1"/>
    </xf>
    <xf numFmtId="180" fontId="280" fillId="5" borderId="2" xfId="4" applyNumberFormat="1" applyFont="1" applyFill="1" applyBorder="1" applyAlignment="1">
      <alignment horizontal="center"/>
    </xf>
    <xf numFmtId="0" fontId="146" fillId="0" borderId="0" xfId="0" applyFont="1" applyAlignment="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0" fillId="0" borderId="0" xfId="0" applyAlignment="1">
      <alignment horizontal="center" vertical="center"/>
    </xf>
    <xf numFmtId="0" fontId="146" fillId="0" borderId="0" xfId="0" applyFont="1" applyAlignment="1">
      <alignment horizontal="center" vertical="center"/>
    </xf>
    <xf numFmtId="0" fontId="146" fillId="0" borderId="2" xfId="0" applyFont="1" applyBorder="1">
      <alignment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2" xfId="0" applyFont="1" applyBorder="1" applyAlignment="1">
      <alignment horizontal="center" vertical="center" wrapText="1"/>
    </xf>
    <xf numFmtId="0" fontId="146" fillId="0" borderId="2" xfId="0" applyFont="1" applyFill="1" applyBorder="1">
      <alignment vertical="center"/>
    </xf>
    <xf numFmtId="0" fontId="0" fillId="0" borderId="2" xfId="0" applyFill="1" applyBorder="1" applyAlignment="1">
      <alignment horizontal="center" vertical="center"/>
    </xf>
    <xf numFmtId="0" fontId="146" fillId="0" borderId="2" xfId="0" applyFont="1" applyFill="1" applyBorder="1" applyAlignment="1">
      <alignment horizontal="center" vertical="center"/>
    </xf>
    <xf numFmtId="195" fontId="0" fillId="0" borderId="0" xfId="0" applyNumberFormat="1">
      <alignment vertical="center"/>
    </xf>
    <xf numFmtId="0" fontId="146" fillId="20" borderId="0" xfId="0" applyFont="1" applyFill="1" applyAlignment="1">
      <alignment horizontal="center" vertical="center"/>
    </xf>
    <xf numFmtId="0" fontId="146" fillId="20" borderId="2" xfId="0" applyFont="1" applyFill="1" applyBorder="1" applyAlignment="1">
      <alignment horizontal="center" vertical="center"/>
    </xf>
    <xf numFmtId="0" fontId="146" fillId="0" borderId="0" xfId="0" applyFont="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0" xfId="0" applyFont="1" applyBorder="1" applyAlignment="1">
      <alignment horizontal="center" vertical="center"/>
    </xf>
    <xf numFmtId="0" fontId="146" fillId="0" borderId="0" xfId="0" applyFont="1" applyBorder="1" applyAlignment="1">
      <alignment horizontal="center" vertical="center" wrapText="1"/>
    </xf>
    <xf numFmtId="0" fontId="0" fillId="0" borderId="0" xfId="0" applyBorder="1" applyAlignment="1">
      <alignment horizontal="center" vertical="center"/>
    </xf>
    <xf numFmtId="0" fontId="146" fillId="0" borderId="9" xfId="0" applyFont="1" applyBorder="1" applyAlignment="1">
      <alignment horizontal="center" vertical="center"/>
    </xf>
    <xf numFmtId="0" fontId="146" fillId="0" borderId="9" xfId="0" applyFont="1" applyBorder="1" applyAlignment="1">
      <alignment horizontal="center" vertical="center" wrapText="1"/>
    </xf>
    <xf numFmtId="0" fontId="146" fillId="0" borderId="2" xfId="0" applyFont="1" applyFill="1" applyBorder="1" applyAlignment="1">
      <alignment horizontal="center" vertical="center" wrapText="1"/>
    </xf>
    <xf numFmtId="0" fontId="281" fillId="0" borderId="8" xfId="0" applyFont="1" applyBorder="1" applyAlignment="1">
      <alignment vertical="center"/>
    </xf>
    <xf numFmtId="0" fontId="281" fillId="0" borderId="9" xfId="0" applyFont="1" applyBorder="1" applyAlignment="1">
      <alignment vertical="center"/>
    </xf>
    <xf numFmtId="0" fontId="281" fillId="9" borderId="5" xfId="0" applyFont="1" applyFill="1" applyBorder="1" applyAlignment="1">
      <alignment vertical="center"/>
    </xf>
    <xf numFmtId="49" fontId="141" fillId="0" borderId="17" xfId="0" applyNumberFormat="1" applyFont="1" applyFill="1" applyBorder="1" applyAlignment="1" applyProtection="1">
      <alignment horizontal="left" vertical="center"/>
      <protection locked="0"/>
    </xf>
    <xf numFmtId="181" fontId="77" fillId="0" borderId="2" xfId="0" applyNumberFormat="1" applyFont="1" applyBorder="1" applyAlignment="1" applyProtection="1">
      <alignment horizontal="center" vertical="center" wrapText="1"/>
      <protection locked="0"/>
    </xf>
    <xf numFmtId="187" fontId="12" fillId="0" borderId="2" xfId="0" applyNumberFormat="1" applyFont="1" applyBorder="1" applyAlignment="1" applyProtection="1">
      <alignment vertical="center" wrapText="1"/>
      <protection locked="0"/>
    </xf>
    <xf numFmtId="0" fontId="0" fillId="9" borderId="0" xfId="0" applyFill="1">
      <alignment vertical="center"/>
    </xf>
    <xf numFmtId="187" fontId="72" fillId="5" borderId="12" xfId="0" applyNumberFormat="1" applyFont="1" applyFill="1" applyBorder="1" applyAlignment="1" applyProtection="1">
      <alignment vertical="center"/>
    </xf>
    <xf numFmtId="177" fontId="72" fillId="20" borderId="12" xfId="2" applyNumberFormat="1" applyFont="1" applyFill="1" applyBorder="1" applyAlignment="1" applyProtection="1">
      <alignment horizontal="center" vertical="center"/>
      <protection locked="0"/>
    </xf>
    <xf numFmtId="0" fontId="146" fillId="0" borderId="0" xfId="0" applyFont="1" applyAlignment="1">
      <alignment horizontal="center" vertical="center" wrapText="1"/>
    </xf>
    <xf numFmtId="0" fontId="0" fillId="9" borderId="0" xfId="0" applyFill="1" applyAlignment="1">
      <alignment horizontal="center" vertical="center" wrapText="1"/>
    </xf>
    <xf numFmtId="0" fontId="146" fillId="9" borderId="0" xfId="0" applyFont="1" applyFill="1" applyAlignment="1">
      <alignment horizontal="center" vertical="center" wrapText="1"/>
    </xf>
    <xf numFmtId="0" fontId="0" fillId="20" borderId="0" xfId="0" applyFill="1" applyAlignment="1">
      <alignment horizontal="center" vertical="center" wrapText="1"/>
    </xf>
    <xf numFmtId="0" fontId="146" fillId="20" borderId="0" xfId="0" applyFont="1" applyFill="1" applyAlignment="1">
      <alignment horizontal="center" vertical="center" wrapText="1"/>
    </xf>
    <xf numFmtId="0" fontId="0" fillId="0" borderId="0" xfId="0" applyFill="1" applyAlignment="1">
      <alignment horizontal="center" vertical="center" wrapText="1"/>
    </xf>
    <xf numFmtId="0" fontId="146" fillId="0" borderId="0" xfId="0" applyFont="1" applyFill="1" applyAlignment="1">
      <alignment horizontal="center" vertical="center" wrapText="1"/>
    </xf>
    <xf numFmtId="0" fontId="0" fillId="6" borderId="0" xfId="0" applyFill="1" applyAlignment="1">
      <alignment horizontal="center" vertical="center" wrapText="1"/>
    </xf>
    <xf numFmtId="0" fontId="0" fillId="21" borderId="0" xfId="0" applyFill="1" applyAlignment="1">
      <alignment horizontal="center" vertical="center" wrapText="1"/>
    </xf>
    <xf numFmtId="9" fontId="0" fillId="21" borderId="0" xfId="0" applyNumberFormat="1" applyFill="1" applyAlignment="1">
      <alignment horizontal="center" vertical="center" wrapText="1"/>
    </xf>
    <xf numFmtId="0" fontId="146" fillId="21" borderId="0" xfId="0" applyFont="1" applyFill="1" applyAlignment="1">
      <alignment horizontal="center" vertical="center" wrapText="1"/>
    </xf>
    <xf numFmtId="0" fontId="134" fillId="8" borderId="63" xfId="0" applyFont="1" applyFill="1" applyBorder="1" applyAlignment="1" applyProtection="1">
      <alignment horizontal="left" vertical="center" wrapText="1"/>
      <protection locked="0"/>
    </xf>
    <xf numFmtId="0" fontId="134" fillId="8" borderId="66"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49" fontId="282" fillId="0" borderId="7" xfId="0" applyNumberFormat="1" applyFont="1" applyFill="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49" fontId="282" fillId="0" borderId="12" xfId="0" applyNumberFormat="1" applyFont="1" applyFill="1" applyBorder="1" applyAlignment="1" applyProtection="1">
      <alignment horizontal="left" vertical="center" wrapText="1"/>
      <protection locked="0"/>
    </xf>
    <xf numFmtId="0" fontId="282" fillId="0" borderId="46" xfId="0" applyFont="1" applyBorder="1" applyAlignment="1" applyProtection="1">
      <alignment horizontal="left" vertical="center"/>
      <protection locked="0"/>
    </xf>
    <xf numFmtId="0" fontId="82" fillId="0" borderId="12" xfId="0" applyNumberFormat="1" applyFont="1" applyFill="1" applyBorder="1" applyAlignment="1" applyProtection="1">
      <alignment horizontal="left" vertical="center" wrapText="1"/>
      <protection locked="0"/>
    </xf>
    <xf numFmtId="179" fontId="72" fillId="0" borderId="2" xfId="0" applyNumberFormat="1" applyFont="1" applyFill="1" applyBorder="1" applyAlignment="1" applyProtection="1">
      <alignment horizontal="center" vertical="center" wrapText="1"/>
      <protection locked="0"/>
    </xf>
    <xf numFmtId="0" fontId="85" fillId="20" borderId="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0" fontId="154" fillId="0" borderId="2" xfId="0" applyNumberFormat="1" applyFont="1" applyFill="1" applyBorder="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128" fillId="0" borderId="0" xfId="0" applyFont="1" applyAlignment="1"/>
    <xf numFmtId="191" fontId="128" fillId="0" borderId="0" xfId="0" applyNumberFormat="1" applyFont="1" applyAlignment="1"/>
    <xf numFmtId="0" fontId="165" fillId="0" borderId="0" xfId="0" applyFont="1">
      <alignment vertical="center"/>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146" fillId="20" borderId="0" xfId="0" applyFont="1" applyFill="1">
      <alignment vertical="center"/>
    </xf>
    <xf numFmtId="0" fontId="0" fillId="20" borderId="0" xfId="0" applyFill="1">
      <alignment vertical="center"/>
    </xf>
    <xf numFmtId="0" fontId="146" fillId="0" borderId="0" xfId="0" applyFont="1" applyFill="1">
      <alignment vertical="center"/>
    </xf>
    <xf numFmtId="0" fontId="0" fillId="0"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82" fillId="0" borderId="25" xfId="0"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5" fillId="13" borderId="0" xfId="0" applyNumberFormat="1" applyFont="1" applyFill="1" applyAlignment="1" applyProtection="1">
      <alignment horizontal="center" vertical="center"/>
      <protection locked="0"/>
    </xf>
    <xf numFmtId="0" fontId="0" fillId="6" borderId="0" xfId="0" applyFill="1" applyAlignment="1" applyProtection="1">
      <alignment horizontal="left" vertical="center"/>
      <protection locked="0"/>
    </xf>
    <xf numFmtId="0" fontId="146" fillId="20" borderId="2" xfId="14" applyFont="1" applyFill="1" applyBorder="1" applyAlignment="1" applyProtection="1">
      <alignment horizontal="left" vertical="center"/>
      <protection locked="0"/>
    </xf>
    <xf numFmtId="57" fontId="0" fillId="20" borderId="0" xfId="0" applyNumberFormat="1" applyFill="1">
      <alignment vertical="center"/>
    </xf>
    <xf numFmtId="0" fontId="165" fillId="0" borderId="0" xfId="0" applyFont="1" applyAlignment="1">
      <alignment horizontal="center" vertical="center" wrapText="1"/>
    </xf>
    <xf numFmtId="0" fontId="165" fillId="0" borderId="2" xfId="0" applyFont="1" applyBorder="1" applyAlignment="1">
      <alignment horizontal="center" vertical="center" wrapText="1"/>
    </xf>
    <xf numFmtId="191" fontId="128" fillId="0" borderId="2" xfId="0" applyNumberFormat="1" applyFont="1" applyBorder="1" applyAlignment="1">
      <alignment horizontal="center" vertical="center" wrapText="1"/>
    </xf>
    <xf numFmtId="0" fontId="128" fillId="0" borderId="2" xfId="0" applyFont="1" applyBorder="1" applyAlignment="1">
      <alignment horizontal="center" vertical="center" wrapText="1"/>
    </xf>
    <xf numFmtId="0" fontId="283" fillId="0" borderId="2" xfId="0" applyFont="1" applyBorder="1" applyAlignment="1">
      <alignment horizontal="center" vertical="center" wrapText="1"/>
    </xf>
    <xf numFmtId="57" fontId="165" fillId="0" borderId="2" xfId="0" applyNumberFormat="1" applyFont="1" applyBorder="1" applyAlignment="1">
      <alignment horizontal="center" vertical="center" wrapText="1"/>
    </xf>
    <xf numFmtId="0" fontId="165" fillId="20" borderId="2" xfId="0" applyFont="1" applyFill="1" applyBorder="1" applyAlignment="1">
      <alignment horizontal="center" vertical="center" wrapText="1"/>
    </xf>
    <xf numFmtId="0" fontId="165" fillId="0" borderId="2" xfId="0" applyFont="1" applyBorder="1" applyAlignment="1">
      <alignment horizontal="center" vertical="center"/>
    </xf>
    <xf numFmtId="0" fontId="165" fillId="20" borderId="2" xfId="0" applyFont="1" applyFill="1" applyBorder="1" applyAlignment="1">
      <alignment horizontal="center" vertical="center"/>
    </xf>
    <xf numFmtId="0" fontId="165" fillId="0" borderId="0" xfId="0" applyNumberFormat="1" applyFont="1" applyFill="1" applyBorder="1" applyAlignment="1">
      <alignment horizontal="center" vertical="center" wrapText="1"/>
    </xf>
    <xf numFmtId="0" fontId="0" fillId="0" borderId="0" xfId="0" applyNumberFormat="1">
      <alignment vertical="center"/>
    </xf>
    <xf numFmtId="0" fontId="165" fillId="0" borderId="0" xfId="0" applyFont="1" applyBorder="1" applyAlignment="1">
      <alignment horizontal="center" vertical="center"/>
    </xf>
    <xf numFmtId="57" fontId="165" fillId="0" borderId="0" xfId="0" applyNumberFormat="1" applyFont="1" applyBorder="1" applyAlignment="1">
      <alignment horizontal="center" vertical="center" wrapText="1"/>
    </xf>
    <xf numFmtId="0" fontId="165" fillId="0" borderId="0" xfId="0" applyFont="1" applyBorder="1" applyAlignment="1">
      <alignment horizontal="center" vertical="center" wrapText="1"/>
    </xf>
    <xf numFmtId="0" fontId="165" fillId="20" borderId="0" xfId="0" applyFont="1" applyFill="1" applyBorder="1" applyAlignment="1">
      <alignment horizontal="center" vertical="center"/>
    </xf>
    <xf numFmtId="0" fontId="146" fillId="9" borderId="0" xfId="0" applyFont="1" applyFill="1" applyBorder="1">
      <alignment vertical="center"/>
    </xf>
    <xf numFmtId="0" fontId="165" fillId="9" borderId="0" xfId="0" applyNumberFormat="1" applyFont="1" applyFill="1" applyBorder="1" applyAlignment="1">
      <alignment horizontal="center" vertical="center" wrapText="1"/>
    </xf>
    <xf numFmtId="0" fontId="146" fillId="9" borderId="0" xfId="0" applyFont="1" applyFill="1">
      <alignment vertical="center"/>
    </xf>
    <xf numFmtId="182" fontId="77" fillId="17" borderId="12" xfId="0" applyNumberFormat="1" applyFont="1" applyFill="1" applyBorder="1" applyAlignment="1" applyProtection="1">
      <alignment horizontal="center" vertical="center"/>
      <protection locked="0"/>
    </xf>
    <xf numFmtId="178" fontId="77" fillId="17" borderId="2" xfId="2" applyNumberFormat="1" applyFont="1" applyFill="1" applyBorder="1" applyAlignment="1" applyProtection="1">
      <alignment horizontal="center" vertical="center"/>
      <protection locked="0"/>
    </xf>
    <xf numFmtId="178" fontId="72" fillId="17" borderId="2" xfId="2" applyNumberFormat="1" applyFont="1" applyFill="1" applyBorder="1" applyAlignment="1" applyProtection="1">
      <alignment horizontal="center" vertical="center"/>
      <protection locked="0"/>
    </xf>
    <xf numFmtId="9" fontId="77" fillId="17" borderId="5" xfId="0" applyNumberFormat="1" applyFont="1" applyFill="1" applyBorder="1" applyAlignment="1" applyProtection="1">
      <alignment horizontal="center" vertical="center"/>
      <protection locked="0"/>
    </xf>
    <xf numFmtId="195" fontId="256" fillId="0" borderId="2" xfId="14" applyNumberFormat="1" applyBorder="1" applyAlignment="1" applyProtection="1">
      <alignment horizontal="left" vertical="center"/>
      <protection locked="0"/>
    </xf>
    <xf numFmtId="177" fontId="87" fillId="0" borderId="2" xfId="2"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xf>
    <xf numFmtId="178" fontId="127" fillId="0" borderId="2" xfId="2" applyNumberFormat="1" applyFont="1" applyFill="1" applyBorder="1" applyAlignment="1" applyProtection="1">
      <alignment horizontal="left" vertical="center" wrapText="1"/>
      <protection locked="0" hidden="1"/>
    </xf>
    <xf numFmtId="187" fontId="87" fillId="0" borderId="2" xfId="0"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protection locked="0"/>
    </xf>
    <xf numFmtId="177" fontId="87" fillId="0" borderId="2" xfId="0" applyNumberFormat="1"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77" fillId="0" borderId="2" xfId="0" applyFont="1" applyFill="1" applyBorder="1" applyAlignment="1">
      <alignment horizontal="left" vertical="center" wrapText="1"/>
    </xf>
    <xf numFmtId="178" fontId="12" fillId="0" borderId="2" xfId="2" applyNumberFormat="1" applyFont="1" applyFill="1" applyBorder="1" applyAlignment="1" applyProtection="1">
      <alignment horizontal="left" vertical="center" wrapText="1"/>
      <protection locked="0" hidden="1"/>
    </xf>
    <xf numFmtId="187" fontId="77" fillId="0" borderId="2" xfId="0" applyNumberFormat="1" applyFont="1" applyFill="1" applyBorder="1" applyAlignment="1">
      <alignment horizontal="left" vertical="center" wrapText="1"/>
    </xf>
    <xf numFmtId="0" fontId="77" fillId="0" borderId="2" xfId="0" applyFont="1" applyFill="1" applyBorder="1" applyAlignment="1" applyProtection="1">
      <alignment horizontal="left" vertical="center" wrapText="1"/>
      <protection locked="0"/>
    </xf>
    <xf numFmtId="177" fontId="77" fillId="0" borderId="2" xfId="0" applyNumberFormat="1" applyFont="1" applyFill="1" applyBorder="1" applyAlignment="1">
      <alignment horizontal="left" vertical="center" wrapText="1"/>
    </xf>
    <xf numFmtId="0" fontId="50" fillId="0" borderId="2" xfId="0" applyFont="1" applyFill="1" applyBorder="1" applyAlignment="1">
      <alignment horizontal="left" vertical="center" wrapText="1"/>
    </xf>
    <xf numFmtId="181" fontId="96" fillId="0" borderId="2" xfId="0" applyNumberFormat="1" applyFont="1" applyFill="1" applyBorder="1" applyAlignment="1" applyProtection="1">
      <alignment horizontal="left" vertical="center" wrapText="1"/>
    </xf>
    <xf numFmtId="180" fontId="96" fillId="0" borderId="2" xfId="0" applyNumberFormat="1" applyFont="1" applyFill="1" applyBorder="1" applyAlignment="1" applyProtection="1">
      <alignment horizontal="left" vertical="center" wrapText="1"/>
    </xf>
    <xf numFmtId="181" fontId="86" fillId="0" borderId="2" xfId="0" applyNumberFormat="1" applyFont="1" applyFill="1" applyBorder="1" applyAlignment="1">
      <alignment horizontal="left" vertical="center" wrapText="1"/>
    </xf>
    <xf numFmtId="180" fontId="86" fillId="0" borderId="2" xfId="0" applyNumberFormat="1" applyFont="1" applyFill="1" applyBorder="1" applyAlignment="1">
      <alignment horizontal="left" vertical="center" wrapText="1"/>
    </xf>
    <xf numFmtId="181" fontId="0" fillId="0" borderId="2" xfId="0" applyNumberFormat="1" applyBorder="1" applyAlignment="1">
      <alignment horizontal="left" vertical="center"/>
    </xf>
    <xf numFmtId="187" fontId="153" fillId="5" borderId="2" xfId="0" applyNumberFormat="1" applyFont="1" applyFill="1" applyBorder="1" applyAlignment="1" applyProtection="1">
      <alignment horizontal="center" vertical="center"/>
    </xf>
    <xf numFmtId="0" fontId="146" fillId="0" borderId="2" xfId="0" applyFont="1" applyBorder="1" applyAlignment="1">
      <alignment horizontal="left" vertical="center"/>
    </xf>
    <xf numFmtId="0" fontId="285" fillId="0" borderId="2" xfId="0" applyFont="1" applyBorder="1" applyAlignment="1">
      <alignment horizontal="left" vertical="center" wrapText="1"/>
    </xf>
    <xf numFmtId="0" fontId="174" fillId="0" borderId="2" xfId="0" applyFont="1" applyBorder="1" applyAlignment="1">
      <alignment horizontal="left" vertical="center" wrapText="1"/>
    </xf>
    <xf numFmtId="9" fontId="174" fillId="0" borderId="2" xfId="0" applyNumberFormat="1" applyFont="1" applyBorder="1" applyAlignment="1">
      <alignment horizontal="left" vertical="center" wrapText="1"/>
    </xf>
    <xf numFmtId="0" fontId="0" fillId="0" borderId="2" xfId="0" applyBorder="1" applyAlignment="1">
      <alignment horizontal="left" vertical="center"/>
    </xf>
    <xf numFmtId="0" fontId="0" fillId="0" borderId="2" xfId="0" applyFill="1" applyBorder="1" applyAlignment="1">
      <alignment horizontal="left" vertical="center"/>
    </xf>
    <xf numFmtId="177" fontId="77" fillId="13" borderId="0" xfId="0" applyNumberFormat="1" applyFont="1" applyFill="1" applyAlignment="1" applyProtection="1">
      <alignment vertical="center"/>
      <protection locked="0"/>
    </xf>
    <xf numFmtId="0" fontId="286" fillId="0" borderId="2" xfId="0" applyFont="1" applyBorder="1" applyAlignment="1">
      <alignment vertical="center" wrapText="1"/>
    </xf>
    <xf numFmtId="0" fontId="286" fillId="0" borderId="2" xfId="0" applyFont="1" applyBorder="1">
      <alignment vertical="center"/>
    </xf>
    <xf numFmtId="0" fontId="0" fillId="0" borderId="2" xfId="0" applyNumberFormat="1" applyBorder="1">
      <alignment vertical="center"/>
    </xf>
    <xf numFmtId="0" fontId="287" fillId="0" borderId="2" xfId="0" applyFont="1" applyBorder="1" applyAlignment="1">
      <alignment vertical="center" wrapText="1"/>
    </xf>
    <xf numFmtId="0" fontId="287" fillId="0" borderId="2" xfId="0" applyFont="1" applyBorder="1">
      <alignment vertical="center"/>
    </xf>
    <xf numFmtId="0" fontId="0" fillId="0" borderId="2" xfId="0" applyBorder="1">
      <alignment vertical="center"/>
    </xf>
    <xf numFmtId="0" fontId="77" fillId="0" borderId="2" xfId="0" applyNumberFormat="1" applyFont="1" applyFill="1" applyBorder="1" applyAlignment="1">
      <alignment horizontal="left" vertical="center" wrapText="1"/>
    </xf>
    <xf numFmtId="0" fontId="102" fillId="5" borderId="0" xfId="0" applyNumberFormat="1" applyFont="1" applyFill="1" applyBorder="1" applyAlignment="1" applyProtection="1">
      <alignment vertical="center"/>
      <protection locked="0"/>
    </xf>
    <xf numFmtId="0" fontId="146" fillId="6" borderId="2" xfId="0" applyFont="1" applyFill="1" applyBorder="1" applyAlignment="1">
      <alignment horizontal="center" vertical="center"/>
    </xf>
    <xf numFmtId="0" fontId="0" fillId="20" borderId="0" xfId="0" applyNumberFormat="1" applyFill="1">
      <alignment vertical="center"/>
    </xf>
    <xf numFmtId="0" fontId="0" fillId="0" borderId="0" xfId="0" applyNumberFormat="1" applyFill="1">
      <alignment vertical="center"/>
    </xf>
    <xf numFmtId="196" fontId="0" fillId="0" borderId="0" xfId="0" applyNumberFormat="1" applyAlignment="1" applyProtection="1">
      <alignment horizontal="left" vertical="center"/>
      <protection locked="0"/>
    </xf>
    <xf numFmtId="181" fontId="0" fillId="0" borderId="0" xfId="0" applyNumberFormat="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5" fillId="0" borderId="2" xfId="0" applyFont="1" applyFill="1" applyBorder="1" applyAlignment="1">
      <alignment horizontal="center" vertical="center" wrapText="1"/>
    </xf>
    <xf numFmtId="0" fontId="77" fillId="0" borderId="2" xfId="0" applyFont="1" applyFill="1" applyBorder="1" applyAlignment="1">
      <alignment horizontal="left" vertical="center" wrapText="1"/>
    </xf>
    <xf numFmtId="0" fontId="86" fillId="0" borderId="2" xfId="0" applyFont="1" applyFill="1" applyBorder="1" applyAlignment="1">
      <alignment horizontal="left" vertical="center" wrapText="1"/>
    </xf>
    <xf numFmtId="177" fontId="128" fillId="0" borderId="2" xfId="2" applyNumberFormat="1" applyFont="1" applyFill="1" applyBorder="1" applyAlignment="1" applyProtection="1">
      <alignment horizontal="left" vertical="center" wrapText="1"/>
    </xf>
    <xf numFmtId="0" fontId="284" fillId="0" borderId="2" xfId="0" applyFont="1" applyFill="1" applyBorder="1" applyAlignment="1">
      <alignment horizontal="center" vertical="center" wrapText="1"/>
    </xf>
    <xf numFmtId="0" fontId="87" fillId="0" borderId="2" xfId="0"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222" fillId="0" borderId="2" xfId="0" applyFont="1" applyFill="1" applyBorder="1" applyAlignment="1" applyProtection="1">
      <alignment horizontal="left" vertical="center" wrapText="1"/>
    </xf>
    <xf numFmtId="0" fontId="165" fillId="0" borderId="2" xfId="0" applyFont="1" applyBorder="1" applyAlignment="1">
      <alignment horizontal="left" vertical="center" wrapText="1"/>
    </xf>
    <xf numFmtId="0" fontId="165" fillId="0" borderId="2" xfId="0" applyFont="1" applyFill="1" applyBorder="1" applyAlignment="1">
      <alignment horizontal="left" vertical="center" wrapText="1"/>
    </xf>
    <xf numFmtId="0" fontId="0" fillId="0" borderId="2" xfId="0" applyBorder="1" applyAlignment="1">
      <alignment horizontal="lef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left" vertical="center"/>
    </xf>
    <xf numFmtId="0" fontId="174" fillId="0" borderId="2" xfId="0" applyFont="1" applyBorder="1" applyAlignment="1">
      <alignment horizontal="left" vertical="center" wrapText="1"/>
    </xf>
    <xf numFmtId="0" fontId="281" fillId="9" borderId="5" xfId="0" applyFont="1" applyFill="1" applyBorder="1" applyAlignment="1">
      <alignment horizontal="left" vertical="center"/>
    </xf>
    <xf numFmtId="0" fontId="281" fillId="9" borderId="9" xfId="0" applyFont="1" applyFill="1" applyBorder="1" applyAlignment="1">
      <alignment horizontal="left" vertical="center"/>
    </xf>
    <xf numFmtId="0" fontId="146" fillId="6" borderId="2" xfId="0" applyFont="1" applyFill="1" applyBorder="1" applyAlignment="1">
      <alignment horizontal="center" vertical="center" wrapText="1"/>
    </xf>
    <xf numFmtId="0" fontId="146" fillId="0" borderId="2" xfId="0" applyFont="1" applyBorder="1" applyAlignment="1">
      <alignment horizontal="center" vertical="center" wrapText="1"/>
    </xf>
    <xf numFmtId="0" fontId="146" fillId="0" borderId="9" xfId="0" applyFont="1" applyBorder="1" applyAlignment="1">
      <alignment horizontal="center" vertical="center" wrapText="1"/>
    </xf>
    <xf numFmtId="0" fontId="0" fillId="0" borderId="2" xfId="0" applyBorder="1" applyAlignment="1">
      <alignment horizontal="center" vertical="center" wrapText="1"/>
    </xf>
    <xf numFmtId="0" fontId="146" fillId="0" borderId="10" xfId="0" applyFont="1" applyBorder="1" applyAlignment="1">
      <alignment horizontal="center" vertical="center" wrapText="1"/>
    </xf>
    <xf numFmtId="0" fontId="146" fillId="0" borderId="3"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10" xfId="0" applyFont="1" applyBorder="1" applyAlignment="1">
      <alignment horizontal="center" vertical="center"/>
    </xf>
    <xf numFmtId="0" fontId="146" fillId="0" borderId="3" xfId="0" applyFont="1" applyBorder="1" applyAlignment="1">
      <alignment horizontal="center" vertical="center"/>
    </xf>
    <xf numFmtId="0" fontId="146" fillId="0" borderId="21" xfId="0" applyFont="1" applyBorder="1" applyAlignment="1">
      <alignment horizontal="center" vertical="center"/>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常规 9 2" xfId="16" xr:uid="{EB4CCBBF-2750-4F4D-9EAC-DD17A616293F}"/>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58615</xdr:colOff>
      <xdr:row>0</xdr:row>
      <xdr:rowOff>43960</xdr:rowOff>
    </xdr:from>
    <xdr:to>
      <xdr:col>22</xdr:col>
      <xdr:colOff>433153</xdr:colOff>
      <xdr:row>18</xdr:row>
      <xdr:rowOff>388937</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68846" y="43960"/>
          <a:ext cx="6192115"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14</xdr:row>
      <xdr:rowOff>38100</xdr:rowOff>
    </xdr:from>
    <xdr:to>
      <xdr:col>3</xdr:col>
      <xdr:colOff>134175</xdr:colOff>
      <xdr:row>41</xdr:row>
      <xdr:rowOff>19694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8467725"/>
          <a:ext cx="5906325" cy="4610744"/>
        </a:xfrm>
        <a:prstGeom prst="rect">
          <a:avLst/>
        </a:prstGeom>
      </xdr:spPr>
    </xdr:pic>
    <xdr:clientData/>
  </xdr:twoCellAnchor>
  <xdr:twoCellAnchor editAs="oneCell">
    <xdr:from>
      <xdr:col>3</xdr:col>
      <xdr:colOff>333376</xdr:colOff>
      <xdr:row>14</xdr:row>
      <xdr:rowOff>28575</xdr:rowOff>
    </xdr:from>
    <xdr:to>
      <xdr:col>11</xdr:col>
      <xdr:colOff>285751</xdr:colOff>
      <xdr:row>35</xdr:row>
      <xdr:rowOff>90143</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51" y="8458200"/>
          <a:ext cx="6896100" cy="3662018"/>
        </a:xfrm>
        <a:prstGeom prst="rect">
          <a:avLst/>
        </a:prstGeom>
      </xdr:spPr>
    </xdr:pic>
    <xdr:clientData/>
  </xdr:twoCellAnchor>
  <xdr:twoCellAnchor editAs="oneCell">
    <xdr:from>
      <xdr:col>11</xdr:col>
      <xdr:colOff>552450</xdr:colOff>
      <xdr:row>14</xdr:row>
      <xdr:rowOff>85726</xdr:rowOff>
    </xdr:from>
    <xdr:to>
      <xdr:col>20</xdr:col>
      <xdr:colOff>569221</xdr:colOff>
      <xdr:row>30</xdr:row>
      <xdr:rowOff>104776</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54050" y="8515351"/>
          <a:ext cx="7770121" cy="2762250"/>
        </a:xfrm>
        <a:prstGeom prst="rect">
          <a:avLst/>
        </a:prstGeom>
      </xdr:spPr>
    </xdr:pic>
    <xdr:clientData/>
  </xdr:twoCellAnchor>
  <xdr:twoCellAnchor editAs="oneCell">
    <xdr:from>
      <xdr:col>21</xdr:col>
      <xdr:colOff>847724</xdr:colOff>
      <xdr:row>14</xdr:row>
      <xdr:rowOff>95250</xdr:rowOff>
    </xdr:from>
    <xdr:to>
      <xdr:col>32</xdr:col>
      <xdr:colOff>47624</xdr:colOff>
      <xdr:row>32</xdr:row>
      <xdr:rowOff>117453</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802724" y="8524875"/>
          <a:ext cx="8467725" cy="3108303"/>
        </a:xfrm>
        <a:prstGeom prst="rect">
          <a:avLst/>
        </a:prstGeom>
      </xdr:spPr>
    </xdr:pic>
    <xdr:clientData/>
  </xdr:twoCellAnchor>
  <xdr:twoCellAnchor editAs="oneCell">
    <xdr:from>
      <xdr:col>3</xdr:col>
      <xdr:colOff>274554</xdr:colOff>
      <xdr:row>37</xdr:row>
      <xdr:rowOff>123826</xdr:rowOff>
    </xdr:from>
    <xdr:to>
      <xdr:col>11</xdr:col>
      <xdr:colOff>1</xdr:colOff>
      <xdr:row>55</xdr:row>
      <xdr:rowOff>67398</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32429" y="12496801"/>
          <a:ext cx="6669172" cy="3029672"/>
        </a:xfrm>
        <a:prstGeom prst="rect">
          <a:avLst/>
        </a:prstGeom>
      </xdr:spPr>
    </xdr:pic>
    <xdr:clientData/>
  </xdr:twoCellAnchor>
  <xdr:twoCellAnchor editAs="oneCell">
    <xdr:from>
      <xdr:col>11</xdr:col>
      <xdr:colOff>571499</xdr:colOff>
      <xdr:row>36</xdr:row>
      <xdr:rowOff>114301</xdr:rowOff>
    </xdr:from>
    <xdr:to>
      <xdr:col>21</xdr:col>
      <xdr:colOff>314324</xdr:colOff>
      <xdr:row>55</xdr:row>
      <xdr:rowOff>6039</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73099" y="12315826"/>
          <a:ext cx="8181975" cy="3149288"/>
        </a:xfrm>
        <a:prstGeom prst="rect">
          <a:avLst/>
        </a:prstGeom>
      </xdr:spPr>
    </xdr:pic>
    <xdr:clientData/>
  </xdr:twoCellAnchor>
  <xdr:twoCellAnchor editAs="oneCell">
    <xdr:from>
      <xdr:col>22</xdr:col>
      <xdr:colOff>152400</xdr:colOff>
      <xdr:row>36</xdr:row>
      <xdr:rowOff>9525</xdr:rowOff>
    </xdr:from>
    <xdr:to>
      <xdr:col>33</xdr:col>
      <xdr:colOff>466725</xdr:colOff>
      <xdr:row>55</xdr:row>
      <xdr:rowOff>889</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078950" y="12211050"/>
          <a:ext cx="9296400" cy="3248914"/>
        </a:xfrm>
        <a:prstGeom prst="rect">
          <a:avLst/>
        </a:prstGeom>
      </xdr:spPr>
    </xdr:pic>
    <xdr:clientData/>
  </xdr:twoCellAnchor>
  <xdr:twoCellAnchor editAs="oneCell">
    <xdr:from>
      <xdr:col>3</xdr:col>
      <xdr:colOff>262962</xdr:colOff>
      <xdr:row>56</xdr:row>
      <xdr:rowOff>152400</xdr:rowOff>
    </xdr:from>
    <xdr:to>
      <xdr:col>11</xdr:col>
      <xdr:colOff>287105</xdr:colOff>
      <xdr:row>75</xdr:row>
      <xdr:rowOff>142875</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20837" y="15782925"/>
          <a:ext cx="6967868" cy="3248025"/>
        </a:xfrm>
        <a:prstGeom prst="rect">
          <a:avLst/>
        </a:prstGeom>
      </xdr:spPr>
    </xdr:pic>
    <xdr:clientData/>
  </xdr:twoCellAnchor>
  <xdr:twoCellAnchor editAs="oneCell">
    <xdr:from>
      <xdr:col>12</xdr:col>
      <xdr:colOff>428624</xdr:colOff>
      <xdr:row>56</xdr:row>
      <xdr:rowOff>123826</xdr:rowOff>
    </xdr:from>
    <xdr:to>
      <xdr:col>21</xdr:col>
      <xdr:colOff>243509</xdr:colOff>
      <xdr:row>73</xdr:row>
      <xdr:rowOff>123826</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916024" y="15754351"/>
          <a:ext cx="7568235" cy="2914650"/>
        </a:xfrm>
        <a:prstGeom prst="rect">
          <a:avLst/>
        </a:prstGeom>
      </xdr:spPr>
    </xdr:pic>
    <xdr:clientData/>
  </xdr:twoCellAnchor>
  <xdr:twoCellAnchor editAs="oneCell">
    <xdr:from>
      <xdr:col>22</xdr:col>
      <xdr:colOff>142874</xdr:colOff>
      <xdr:row>56</xdr:row>
      <xdr:rowOff>95250</xdr:rowOff>
    </xdr:from>
    <xdr:to>
      <xdr:col>31</xdr:col>
      <xdr:colOff>428624</xdr:colOff>
      <xdr:row>72</xdr:row>
      <xdr:rowOff>962</xdr:rowOff>
    </xdr:to>
    <xdr:pic>
      <xdr:nvPicPr>
        <xdr:cNvPr id="11" name="图片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69424" y="15725775"/>
          <a:ext cx="7896225" cy="26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xdr:row>
      <xdr:rowOff>0</xdr:rowOff>
    </xdr:from>
    <xdr:to>
      <xdr:col>17</xdr:col>
      <xdr:colOff>587196</xdr:colOff>
      <xdr:row>36</xdr:row>
      <xdr:rowOff>2703</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1935" y="1714500"/>
          <a:ext cx="5639587" cy="4525007"/>
        </a:xfrm>
        <a:prstGeom prst="rect">
          <a:avLst/>
        </a:prstGeom>
      </xdr:spPr>
    </xdr:pic>
    <xdr:clientData/>
  </xdr:twoCellAnchor>
  <xdr:twoCellAnchor editAs="oneCell">
    <xdr:from>
      <xdr:col>0</xdr:col>
      <xdr:colOff>0</xdr:colOff>
      <xdr:row>10</xdr:row>
      <xdr:rowOff>0</xdr:rowOff>
    </xdr:from>
    <xdr:to>
      <xdr:col>7</xdr:col>
      <xdr:colOff>777737</xdr:colOff>
      <xdr:row>40</xdr:row>
      <xdr:rowOff>96907</xdr:rowOff>
    </xdr:to>
    <xdr:pic>
      <xdr:nvPicPr>
        <xdr:cNvPr id="5" name="图片 4">
          <a:extLst>
            <a:ext uri="{FF2B5EF4-FFF2-40B4-BE49-F238E27FC236}">
              <a16:creationId xmlns:a16="http://schemas.microsoft.com/office/drawing/2014/main" id="{2B846C87-EFC4-4F19-8D7B-1FDEC2BFF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14500"/>
          <a:ext cx="6534150" cy="531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371475</xdr:colOff>
      <xdr:row>50</xdr:row>
      <xdr:rowOff>47625</xdr:rowOff>
    </xdr:to>
    <xdr:pic>
      <xdr:nvPicPr>
        <xdr:cNvPr id="3" name="图片 2">
          <a:extLst>
            <a:ext uri="{FF2B5EF4-FFF2-40B4-BE49-F238E27FC236}">
              <a16:creationId xmlns:a16="http://schemas.microsoft.com/office/drawing/2014/main" id="{1100D0F9-F00A-4D1E-B62A-C62D16DBF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43100"/>
          <a:ext cx="7229475" cy="6734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3435;&#24196;\&#32467;&#26524;\&#23435;&#24196;&#22303;&#22320;6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3435;&#24196;\&#32467;&#26524;\&#23435;&#24196;&#22303;&#22320;6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35;&#24196;&#22303;&#22320;6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3435;&#24196;\&#32467;&#26524;\&#23435;&#24196;&#22303;&#22320;6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6700;&#38754;\&#23435;&#24196;\&#32467;&#26524;\&#23435;&#24196;&#22303;&#22320;6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25431.017</v>
          </cell>
          <cell r="M16">
            <v>10585</v>
          </cell>
        </row>
      </sheetData>
      <sheetData sheetId="14" refreshError="1"/>
      <sheetData sheetId="15" refreshError="1"/>
      <sheetData sheetId="16" refreshError="1"/>
      <sheetData sheetId="17" refreshError="1"/>
      <sheetData sheetId="18">
        <row r="14">
          <cell r="B14">
            <v>25431.017</v>
          </cell>
        </row>
      </sheetData>
      <sheetData sheetId="19">
        <row r="19">
          <cell r="C19">
            <v>38451</v>
          </cell>
          <cell r="D19">
            <v>43233</v>
          </cell>
        </row>
      </sheetData>
      <sheetData sheetId="20" refreshError="1"/>
      <sheetData sheetId="21" refreshError="1"/>
      <sheetData sheetId="22">
        <row r="2">
          <cell r="B2">
            <v>43233</v>
          </cell>
        </row>
        <row r="6">
          <cell r="C6">
            <v>74027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46207.845000000001</v>
          </cell>
          <cell r="M16">
            <v>18863</v>
          </cell>
        </row>
      </sheetData>
      <sheetData sheetId="14" refreshError="1"/>
      <sheetData sheetId="15" refreshError="1"/>
      <sheetData sheetId="16" refreshError="1"/>
      <sheetData sheetId="17" refreshError="1"/>
      <sheetData sheetId="18">
        <row r="14">
          <cell r="B14">
            <v>46207.845000000001</v>
          </cell>
        </row>
      </sheetData>
      <sheetData sheetId="19">
        <row r="19">
          <cell r="C19">
            <v>71789</v>
          </cell>
          <cell r="D19">
            <v>80263</v>
          </cell>
        </row>
      </sheetData>
      <sheetData sheetId="20" refreshError="1"/>
      <sheetData sheetId="21" refreshError="1"/>
      <sheetData sheetId="22">
        <row r="2">
          <cell r="B2">
            <v>80263</v>
          </cell>
        </row>
        <row r="6">
          <cell r="C6">
            <v>136309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55214.883000000002</v>
          </cell>
          <cell r="M16">
            <v>21793</v>
          </cell>
        </row>
      </sheetData>
      <sheetData sheetId="14" refreshError="1"/>
      <sheetData sheetId="15" refreshError="1"/>
      <sheetData sheetId="16" refreshError="1"/>
      <sheetData sheetId="17" refreshError="1"/>
      <sheetData sheetId="18">
        <row r="14">
          <cell r="B14">
            <v>55214.883000000002</v>
          </cell>
          <cell r="C14">
            <v>19440.55</v>
          </cell>
          <cell r="D14">
            <v>82909</v>
          </cell>
          <cell r="G14">
            <v>82909</v>
          </cell>
        </row>
      </sheetData>
      <sheetData sheetId="19">
        <row r="19">
          <cell r="C19">
            <v>78329</v>
          </cell>
          <cell r="D19">
            <v>87489</v>
          </cell>
        </row>
      </sheetData>
      <sheetData sheetId="20" refreshError="1"/>
      <sheetData sheetId="21" refreshError="1"/>
      <sheetData sheetId="22">
        <row r="2">
          <cell r="B2">
            <v>87489</v>
          </cell>
        </row>
        <row r="6">
          <cell r="C6">
            <v>150531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22774.616999999998</v>
          </cell>
          <cell r="M16">
            <v>9774</v>
          </cell>
        </row>
      </sheetData>
      <sheetData sheetId="14" refreshError="1"/>
      <sheetData sheetId="15" refreshError="1"/>
      <sheetData sheetId="16" refreshError="1"/>
      <sheetData sheetId="17" refreshError="1"/>
      <sheetData sheetId="18">
        <row r="14">
          <cell r="B14">
            <v>22774.616999999998</v>
          </cell>
        </row>
      </sheetData>
      <sheetData sheetId="19">
        <row r="19">
          <cell r="C19">
            <v>38690</v>
          </cell>
          <cell r="D19">
            <v>43331</v>
          </cell>
        </row>
      </sheetData>
      <sheetData sheetId="20" refreshError="1"/>
      <sheetData sheetId="21" refreshError="1"/>
      <sheetData sheetId="22">
        <row r="2">
          <cell r="B2">
            <v>43331</v>
          </cell>
        </row>
        <row r="6">
          <cell r="C6">
            <v>73554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商业"/>
      <sheetName val="土地案例"/>
      <sheetName val="剩余法-待开发"/>
      <sheetName val="不动产比较法-住宅"/>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住宅及案例"/>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6">
          <cell r="K16">
            <v>4295.04</v>
          </cell>
          <cell r="M16">
            <v>1468</v>
          </cell>
        </row>
      </sheetData>
      <sheetData sheetId="14"/>
      <sheetData sheetId="15"/>
      <sheetData sheetId="16"/>
      <sheetData sheetId="17"/>
      <sheetData sheetId="18">
        <row r="14">
          <cell r="B14">
            <v>4295.04</v>
          </cell>
          <cell r="D14">
            <v>2964</v>
          </cell>
          <cell r="G14">
            <v>2928</v>
          </cell>
        </row>
      </sheetData>
      <sheetData sheetId="19"/>
      <sheetData sheetId="20"/>
      <sheetData sheetId="21"/>
      <sheetData sheetId="22"/>
      <sheetData sheetId="23">
        <row r="2">
          <cell r="B2">
            <v>1375</v>
          </cell>
        </row>
        <row r="6">
          <cell r="C6">
            <v>3890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北京市宋庄镇6004地块出让国有建设用地使用权抵押价格预评估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吴薇、郑燚</v>
      </c>
      <c r="N4" s="2593" t="str">
        <f>'预评函-1'!A28</f>
        <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受贵公司委托，我公司对北京市宋庄镇6004地块出让国有建设用地使用权抵押价格进行了预评估。</v>
      </c>
      <c r="AM6" s="2616"/>
    </row>
    <row r="7" spans="1:55" s="2590" customFormat="1">
      <c r="A7" s="2591" t="s">
        <v>2634</v>
      </c>
      <c r="B7" s="2592" t="str">
        <f>'预评函-1'!A6</f>
        <v>估价对象为使用的、位于北京市宋庄镇6004地块出让国有建设用地使用权。根据，估价对象（分摊）出让国有建设用地使用权面积为23100.27平方米。根据，估价对象规划建筑面积为63115.493平方米。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北京市宋庄镇6004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2021年12月2日（评估专业人员勘察现场之日）</v>
      </c>
    </row>
    <row r="11" spans="1:55" s="2590" customFormat="1">
      <c r="A11" s="2591" t="s">
        <v>2642</v>
      </c>
      <c r="B11" s="2592" t="str">
        <f>'预评函-1'!A14</f>
        <v>根据，本次评估估价对象证载（地类）用途为。</v>
      </c>
    </row>
    <row r="12" spans="1:55" s="2590" customFormat="1">
      <c r="A12" s="2591" t="s">
        <v>2643</v>
      </c>
      <c r="B12" s="2592" t="str">
        <f>'预评函-1'!A15</f>
        <v>本次评估设定用途即为证载用途。</v>
      </c>
    </row>
    <row r="13" spans="1:55" s="2590" customFormat="1">
      <c r="A13" s="2591" t="s">
        <v>2644</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根据，估价对象（分摊）出让国有建设用地使用权面积为23100.27平方米。根据，估价对象规划建筑面积为63115.493平方米。</v>
      </c>
    </row>
    <row r="16" spans="1:55" s="2590" customFormat="1">
      <c r="A16" s="2591" t="s">
        <v>2646</v>
      </c>
      <c r="B16" s="2592" t="str">
        <f>'预评函-1'!A22</f>
        <v>本次估价对象为出让国有建设用地使用权，证载土地终止日期为住宅2091年5月16日、商业2061年5月16日地下车库2071年5月16日、仓储2071年5月16日。截至估价期日，出让国有建设用地使用权剩余土地使用年限为。</v>
      </c>
    </row>
    <row r="17" spans="1:48" s="2590" customFormat="1">
      <c r="A17" s="2591" t="s">
        <v>2647</v>
      </c>
      <c r="B17" s="2592" t="str">
        <f>'预评函-1'!A23</f>
        <v>本次评估设定估价对象剩余土地使用年限为。</v>
      </c>
    </row>
    <row r="18" spans="1:48" s="2590" customFormat="1">
      <c r="A18" s="2591" t="s">
        <v>2648</v>
      </c>
      <c r="B18" s="2592" t="str">
        <f>'预评函-1'!A25</f>
        <v>本次估价的“出让国有建设用地使用权价格”是指在估价对象土地所有权为国家所有，使用权性质为出让，在公开市场条件下、于估价期日2021年12月2日，在规划利用条件下、设定土地开发程度为红线外“七通”、宗地内场地，设定用途为，剩余土地使用年限为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估价期日：2021年12月2日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f>'预评函-2'!E5</f>
        <v>0</v>
      </c>
      <c r="AV32" s="2596"/>
    </row>
    <row r="33" spans="1:2">
      <c r="A33" s="2591" t="s">
        <v>2690</v>
      </c>
      <c r="B33" s="2592">
        <f>'预评函-2'!F5</f>
        <v>258</v>
      </c>
    </row>
    <row r="34" spans="1:2">
      <c r="A34" s="2591" t="s">
        <v>2691</v>
      </c>
      <c r="B34" s="2592">
        <f>'预评函-2'!G5</f>
        <v>0</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v>
      </c>
    </row>
    <row r="39" spans="1:2">
      <c r="A39" s="2591" t="s">
        <v>2696</v>
      </c>
      <c r="B39" s="2592" t="str">
        <f>'预评函-2'!L5</f>
        <v>红线外七通、宗地红线内场地</v>
      </c>
    </row>
    <row r="40" spans="1:2">
      <c r="A40" s="2591" t="s">
        <v>2715</v>
      </c>
      <c r="B40" s="2592" t="str">
        <f>'预评函-2'!M3</f>
        <v>（剩余）土地使用年限/年</v>
      </c>
    </row>
    <row r="41" spans="1:2">
      <c r="A41" s="2591" t="s">
        <v>2697</v>
      </c>
      <c r="B41" s="2592">
        <f>'预评函-2'!M5</f>
        <v>0</v>
      </c>
    </row>
    <row r="42" spans="1:2">
      <c r="A42" s="2591" t="s">
        <v>2716</v>
      </c>
      <c r="B42" s="2592" t="str">
        <f>'预评函-2'!N3</f>
        <v>（分摊）出让国有建设用地使用权面积/㎡</v>
      </c>
    </row>
    <row r="43" spans="1:2">
      <c r="A43" s="2591" t="s">
        <v>2698</v>
      </c>
      <c r="B43" s="2592">
        <f>'预评函-2'!N5</f>
        <v>23100.27</v>
      </c>
    </row>
    <row r="44" spans="1:2">
      <c r="A44" s="2591" t="s">
        <v>2717</v>
      </c>
      <c r="B44" s="2592" t="str">
        <f>'预评函-2'!O3</f>
        <v>规划建筑面积/㎡</v>
      </c>
    </row>
    <row r="45" spans="1:2">
      <c r="A45" s="2591" t="s">
        <v>2699</v>
      </c>
      <c r="B45" s="2592">
        <f>'预评函-2'!O5</f>
        <v>63115.493000000002</v>
      </c>
    </row>
    <row r="46" spans="1:2">
      <c r="A46" s="2591" t="s">
        <v>2700</v>
      </c>
      <c r="B46" s="2592">
        <f ca="1">'预评函-2'!P5</f>
        <v>47944</v>
      </c>
    </row>
    <row r="47" spans="1:2">
      <c r="A47" s="2591" t="s">
        <v>2701</v>
      </c>
      <c r="B47" s="2592">
        <f ca="1">'预评函-2'!Q5</f>
        <v>17547</v>
      </c>
    </row>
    <row r="48" spans="1:2">
      <c r="A48" s="2591" t="s">
        <v>2702</v>
      </c>
      <c r="B48" s="2592">
        <f ca="1">'预评函-2'!R5</f>
        <v>110751</v>
      </c>
    </row>
    <row r="49" spans="1:2">
      <c r="A49" s="2591" t="s">
        <v>2718</v>
      </c>
      <c r="B49" s="2592" t="str">
        <f>'预评函-2'!A6</f>
        <v>抵押价格</v>
      </c>
    </row>
    <row r="50" spans="1:2">
      <c r="A50" s="2591" t="s">
        <v>2703</v>
      </c>
      <c r="B50" s="2592">
        <f ca="1">'预评函-2'!R6</f>
        <v>110751</v>
      </c>
    </row>
    <row r="51" spans="1:2">
      <c r="A51" s="2591" t="s">
        <v>2719</v>
      </c>
      <c r="B51" s="2592" t="str">
        <f>'预评函-2'!A7</f>
        <v>——</v>
      </c>
    </row>
    <row r="52" spans="1:2">
      <c r="A52" s="2591" t="s">
        <v>2704</v>
      </c>
      <c r="B52" s="2592" t="str">
        <f>'预评函-2'!R7</f>
        <v>——</v>
      </c>
    </row>
    <row r="53" spans="1:2">
      <c r="A53" s="2591" t="s">
        <v>2720</v>
      </c>
      <c r="B53" s="2592" t="str">
        <f>'预评函-2'!A8</f>
        <v>——</v>
      </c>
    </row>
    <row r="54" spans="1:2" s="2606" customFormat="1" ht="15" thickBot="1">
      <c r="A54" s="2613" t="s">
        <v>2705</v>
      </c>
      <c r="B54" s="2614" t="str">
        <f>'预评函-2'!R8</f>
        <v>——</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2.基础设施条件：估价对象实际开发程度为红线外七通、宗地红线内；本次评估设定开发程度为红线外七通、宗地红线内场地。</v>
      </c>
    </row>
    <row r="57" spans="1:2">
      <c r="A57" s="2591" t="s">
        <v>2657</v>
      </c>
      <c r="B57" s="2592" t="str">
        <f>'预评函-3'!A4</f>
        <v>3.估价规划限制条件：详见。</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吴薇</v>
      </c>
    </row>
    <row r="70" spans="1:2">
      <c r="A70" s="2591" t="s">
        <v>2667</v>
      </c>
      <c r="B70" s="2598">
        <f ca="1">'预评函-3'!B20</f>
        <v>2002110125</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E21" sqref="E21:I21"/>
    </sheetView>
  </sheetViews>
  <sheetFormatPr defaultColWidth="10" defaultRowHeight="14.25"/>
  <cols>
    <col min="1" max="1" width="15.375" style="1609" customWidth="1"/>
    <col min="2" max="2" width="11.375" style="1609" customWidth="1"/>
    <col min="3" max="3" width="12.625" style="1609" customWidth="1"/>
    <col min="4" max="4" width="12.12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9"/>
  </cols>
  <sheetData>
    <row r="1" spans="1:21" ht="15" thickBot="1">
      <c r="A1" s="1583" t="s">
        <v>1925</v>
      </c>
      <c r="B1" s="3467" t="str">
        <f>IF(B10="北京市","北京市",C10)&amp;F10&amp;B16&amp;"国有建设用地使用权"&amp;B9&amp;"预评估"</f>
        <v>北京市宋庄镇6004地块出让国有建设用地使用权抵押价格预评估</v>
      </c>
      <c r="C1" s="3468"/>
      <c r="D1" s="3468"/>
      <c r="E1" s="3468"/>
      <c r="F1" s="3468"/>
      <c r="G1" s="3468"/>
      <c r="H1" s="3468"/>
      <c r="I1" s="3469"/>
      <c r="J1" s="3068"/>
      <c r="K1" s="2306" t="str">
        <f>IF(B10="北京市","北京市",C10)&amp;F10&amp;B16&amp;"国有建设用地使用权"&amp;B9</f>
        <v>北京市宋庄镇6004地块出让国有建设用地使用权抵押价格</v>
      </c>
      <c r="L1" s="3047"/>
      <c r="M1" s="3047"/>
      <c r="N1" s="3048"/>
      <c r="O1" s="3049"/>
      <c r="P1" s="3048"/>
      <c r="Q1" s="3048"/>
      <c r="R1" s="3048"/>
      <c r="S1" s="3048"/>
      <c r="T1" s="3048"/>
      <c r="U1" s="3048"/>
    </row>
    <row r="2" spans="1:21">
      <c r="A2" s="1584" t="s">
        <v>1926</v>
      </c>
      <c r="B2" s="1751"/>
      <c r="D2" s="3068"/>
      <c r="E2" s="3068"/>
      <c r="F2" s="3068"/>
      <c r="G2" s="3068"/>
      <c r="H2" s="3069"/>
      <c r="I2" s="3070"/>
      <c r="J2" s="3068"/>
      <c r="K2" s="2306" t="str">
        <f>IF(B10="北京市","北京市",C10)&amp;F10&amp;B16&amp;"国有建设用地使用权"</f>
        <v>北京市宋庄镇6004地块出让国有建设用地使用权</v>
      </c>
      <c r="L2" s="3047"/>
      <c r="M2" s="3047"/>
      <c r="N2" s="3048"/>
      <c r="O2" s="3049"/>
      <c r="P2" s="3048"/>
      <c r="Q2" s="3048"/>
      <c r="R2" s="3048"/>
      <c r="S2" s="3048"/>
      <c r="T2" s="3048"/>
      <c r="U2" s="3048"/>
    </row>
    <row r="3" spans="1:21">
      <c r="A3" s="1585" t="s">
        <v>1927</v>
      </c>
      <c r="B3" s="1586">
        <v>44532</v>
      </c>
      <c r="C3" s="2991" t="s">
        <v>1983</v>
      </c>
      <c r="D3" s="1586">
        <f>B3</f>
        <v>44532</v>
      </c>
      <c r="E3" s="3068"/>
      <c r="F3" s="3068"/>
      <c r="G3" s="3068"/>
      <c r="H3" s="3069"/>
      <c r="I3" s="3070"/>
      <c r="J3" s="3068"/>
      <c r="K3" s="3051"/>
      <c r="L3" s="3047"/>
      <c r="M3" s="3047"/>
      <c r="N3" s="3048"/>
      <c r="O3" s="3049"/>
      <c r="P3" s="3048"/>
      <c r="Q3" s="3048"/>
      <c r="R3" s="3048"/>
      <c r="S3" s="3048"/>
      <c r="T3" s="3048"/>
      <c r="U3" s="3048"/>
    </row>
    <row r="4" spans="1:21" ht="15" thickBot="1">
      <c r="A4" s="1588" t="s">
        <v>1928</v>
      </c>
      <c r="B4" s="1752" t="s">
        <v>2983</v>
      </c>
      <c r="C4" s="1755">
        <f ca="1">SUMIF(土地估价师,B4,估价师及机构信息!E3:E16)</f>
        <v>2002110125</v>
      </c>
      <c r="D4" s="1752" t="s">
        <v>2984</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68"/>
      <c r="K4" s="2306" t="str">
        <f>IF(AND(F4="——",H4="——"),B4&amp;"、"&amp;D4,IF(AND(F4&lt;&gt;"——",H4="——"),B4&amp;"、"&amp;D4&amp;"、"&amp;F4,B4&amp;"、"&amp;D4&amp;"、"&amp;F4&amp;"、"&amp;H4))</f>
        <v>吴薇、郑燚</v>
      </c>
      <c r="L4" s="3047"/>
      <c r="M4" s="3047"/>
      <c r="N4" s="3048"/>
      <c r="O4" s="3049"/>
      <c r="P4" s="3048"/>
      <c r="Q4" s="3048"/>
      <c r="R4" s="3048"/>
      <c r="S4" s="3048"/>
      <c r="T4" s="3048"/>
      <c r="U4" s="3048"/>
    </row>
    <row r="5" spans="1:21" ht="15" thickTop="1">
      <c r="A5" s="1589" t="s">
        <v>1929</v>
      </c>
      <c r="B5" s="1699"/>
      <c r="C5" s="1590"/>
      <c r="D5" s="1591"/>
      <c r="E5" s="3068"/>
      <c r="F5" s="3068"/>
      <c r="G5" s="3068"/>
      <c r="H5" s="3069"/>
      <c r="I5" s="3070"/>
      <c r="J5" s="3068"/>
      <c r="K5" s="3051"/>
      <c r="L5" s="3047"/>
      <c r="M5" s="3047"/>
      <c r="N5" s="3048"/>
      <c r="O5" s="3049"/>
      <c r="P5" s="3048"/>
      <c r="Q5" s="3048"/>
      <c r="R5" s="3048"/>
      <c r="S5" s="3048"/>
      <c r="T5" s="3048"/>
      <c r="U5" s="3048"/>
    </row>
    <row r="6" spans="1:21" ht="20.25" customHeight="1">
      <c r="A6" s="1587" t="s">
        <v>2683</v>
      </c>
      <c r="B6" s="1699"/>
      <c r="C6" s="1674"/>
      <c r="D6" s="1592"/>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3" t="s">
        <v>2684</v>
      </c>
      <c r="B7" s="1699"/>
      <c r="C7" s="1674"/>
      <c r="D7" s="1592"/>
      <c r="E7" s="3068"/>
      <c r="F7" s="3068"/>
      <c r="G7" s="3068"/>
      <c r="H7" s="3069"/>
      <c r="I7" s="3070"/>
      <c r="J7" s="3068"/>
      <c r="K7" s="3051"/>
      <c r="L7" s="3047"/>
      <c r="M7" s="3047"/>
      <c r="N7" s="3048"/>
      <c r="O7" s="3049"/>
      <c r="P7" s="3048"/>
      <c r="Q7" s="3048"/>
      <c r="R7" s="3048"/>
      <c r="S7" s="3048"/>
      <c r="T7" s="3048"/>
      <c r="U7" s="3048"/>
    </row>
    <row r="8" spans="1:21">
      <c r="A8" s="2992" t="s">
        <v>1930</v>
      </c>
      <c r="B8" s="1594" t="s">
        <v>2934</v>
      </c>
      <c r="C8" s="1595"/>
      <c r="D8" s="3473" t="s">
        <v>1932</v>
      </c>
      <c r="E8" s="1753" t="s">
        <v>2985</v>
      </c>
      <c r="F8" s="1596"/>
      <c r="G8" s="3069"/>
      <c r="H8" s="3069"/>
      <c r="I8" s="3072"/>
      <c r="J8" s="3068"/>
      <c r="K8" s="3051"/>
      <c r="L8" s="3047"/>
      <c r="M8" s="3047"/>
      <c r="N8" s="3048"/>
      <c r="O8" s="3049"/>
      <c r="P8" s="3048"/>
      <c r="Q8" s="3048"/>
      <c r="R8" s="3048"/>
      <c r="S8" s="3048"/>
      <c r="T8" s="3048"/>
      <c r="U8" s="3048"/>
    </row>
    <row r="9" spans="1:21" ht="15" thickBot="1">
      <c r="A9" s="2993" t="s">
        <v>1931</v>
      </c>
      <c r="B9" s="1597" t="s">
        <v>2985</v>
      </c>
      <c r="C9" s="1598"/>
      <c r="D9" s="3474"/>
      <c r="E9" s="1597" t="s">
        <v>942</v>
      </c>
      <c r="F9" s="1660"/>
      <c r="G9" s="3073"/>
      <c r="H9" s="3073"/>
      <c r="I9" s="3074"/>
      <c r="J9" s="3068"/>
      <c r="K9" s="3051"/>
      <c r="L9" s="3047"/>
      <c r="M9" s="3047"/>
      <c r="N9" s="3048"/>
      <c r="O9" s="3049"/>
      <c r="P9" s="3048"/>
      <c r="Q9" s="3048"/>
      <c r="R9" s="3048"/>
      <c r="S9" s="3048"/>
      <c r="T9" s="3048"/>
      <c r="U9" s="3048"/>
    </row>
    <row r="10" spans="1:21" ht="15" thickTop="1">
      <c r="A10" s="2994" t="s">
        <v>1986</v>
      </c>
      <c r="B10" s="1636" t="s">
        <v>1933</v>
      </c>
      <c r="C10" s="1599"/>
      <c r="D10" s="1591"/>
      <c r="E10" s="1600" t="s">
        <v>1934</v>
      </c>
      <c r="F10" s="3310" t="s">
        <v>3435</v>
      </c>
      <c r="G10" s="1658"/>
      <c r="H10" s="1659"/>
      <c r="I10" s="1591"/>
      <c r="J10" s="3068"/>
      <c r="K10" s="3051"/>
      <c r="L10" s="3047"/>
      <c r="M10" s="3047"/>
      <c r="N10" s="3048"/>
      <c r="O10" s="3049"/>
      <c r="P10" s="3048"/>
      <c r="Q10" s="3048"/>
      <c r="R10" s="3048"/>
      <c r="S10" s="3048"/>
      <c r="T10" s="3048"/>
      <c r="U10" s="3048"/>
    </row>
    <row r="11" spans="1:21">
      <c r="A11" s="2995" t="s">
        <v>1987</v>
      </c>
      <c r="B11" s="1615" t="s">
        <v>2986</v>
      </c>
      <c r="C11" s="1601"/>
      <c r="D11" s="1675"/>
      <c r="E11" s="3067"/>
      <c r="F11" s="3067"/>
      <c r="G11" s="3067"/>
      <c r="H11" s="3067"/>
      <c r="I11" s="3067"/>
      <c r="J11" s="3068"/>
      <c r="K11" s="3051"/>
      <c r="L11" s="3047"/>
      <c r="M11" s="3047"/>
      <c r="N11" s="3048"/>
      <c r="O11" s="3049"/>
      <c r="P11" s="3048"/>
      <c r="Q11" s="3048"/>
      <c r="R11" s="3048"/>
      <c r="S11" s="3048"/>
      <c r="T11" s="3048"/>
      <c r="U11" s="3048"/>
    </row>
    <row r="12" spans="1:21">
      <c r="A12" s="1695" t="s">
        <v>2045</v>
      </c>
      <c r="B12" s="3470"/>
      <c r="C12" s="3471"/>
      <c r="D12" s="3472"/>
      <c r="E12" s="1616" t="s">
        <v>2048</v>
      </c>
      <c r="F12" s="3488"/>
      <c r="G12" s="3489"/>
      <c r="H12" s="3489"/>
      <c r="I12" s="3490"/>
      <c r="J12" s="3068"/>
      <c r="K12" s="3051"/>
      <c r="L12" s="3047"/>
      <c r="M12" s="3047"/>
      <c r="N12" s="3048"/>
      <c r="O12" s="3049"/>
      <c r="P12" s="3048"/>
      <c r="Q12" s="3048"/>
      <c r="R12" s="3048"/>
      <c r="S12" s="3048"/>
      <c r="T12" s="3048"/>
      <c r="U12" s="3048"/>
    </row>
    <row r="13" spans="1:21">
      <c r="A13" s="1607" t="s">
        <v>2046</v>
      </c>
      <c r="B13" s="3470"/>
      <c r="C13" s="3471"/>
      <c r="D13" s="3472"/>
      <c r="E13" s="1616" t="s">
        <v>2048</v>
      </c>
      <c r="F13" s="3488"/>
      <c r="G13" s="3489"/>
      <c r="H13" s="3489"/>
      <c r="I13" s="3490"/>
      <c r="J13" s="3068"/>
      <c r="K13" s="3051"/>
      <c r="L13" s="3047"/>
      <c r="M13" s="3047"/>
      <c r="N13" s="3048"/>
      <c r="O13" s="3049"/>
      <c r="P13" s="3048"/>
      <c r="Q13" s="3048"/>
      <c r="R13" s="3048"/>
      <c r="S13" s="3048"/>
      <c r="T13" s="3048"/>
      <c r="U13" s="3048"/>
    </row>
    <row r="14" spans="1:21">
      <c r="A14" s="1585" t="s">
        <v>2049</v>
      </c>
      <c r="B14" s="1616"/>
      <c r="C14" s="1754" t="s">
        <v>2987</v>
      </c>
      <c r="D14" s="1650" t="str">
        <f>IF(C14="不一致","是否符合证载地类范围","")</f>
        <v/>
      </c>
      <c r="E14" s="1616"/>
      <c r="F14" s="1700" t="s">
        <v>2988</v>
      </c>
      <c r="G14" s="1645"/>
      <c r="H14" s="1645"/>
      <c r="I14" s="1747"/>
      <c r="J14" s="3068"/>
      <c r="K14" s="3051"/>
      <c r="L14" s="3047"/>
      <c r="M14" s="3047"/>
      <c r="N14" s="3048"/>
      <c r="O14" s="3049"/>
      <c r="P14" s="3048"/>
      <c r="Q14" s="3048"/>
      <c r="R14" s="3048"/>
      <c r="S14" s="3048"/>
      <c r="T14" s="3048"/>
      <c r="U14" s="3048"/>
    </row>
    <row r="15" spans="1:21" hidden="1">
      <c r="A15" s="2483"/>
      <c r="B15" s="1587"/>
      <c r="C15" s="1587"/>
      <c r="D15" s="1679" t="s">
        <v>1937</v>
      </c>
      <c r="E15" s="1679" t="s">
        <v>1938</v>
      </c>
      <c r="F15" s="1679" t="s">
        <v>1939</v>
      </c>
      <c r="G15" s="1606" t="s">
        <v>1940</v>
      </c>
      <c r="H15" s="1606" t="s">
        <v>1941</v>
      </c>
      <c r="I15" s="1606" t="s">
        <v>1942</v>
      </c>
      <c r="J15" s="3068"/>
      <c r="K15" s="3051"/>
      <c r="L15" s="3047"/>
      <c r="M15" s="3047"/>
      <c r="N15" s="3048"/>
      <c r="O15" s="3049"/>
      <c r="P15" s="3048"/>
      <c r="Q15" s="3048"/>
      <c r="R15" s="3048"/>
      <c r="S15" s="3048"/>
      <c r="T15" s="3048"/>
      <c r="U15" s="3048"/>
    </row>
    <row r="16" spans="1:21" ht="42.75">
      <c r="A16" s="2996" t="s">
        <v>1935</v>
      </c>
      <c r="B16" s="1602" t="s">
        <v>2929</v>
      </c>
      <c r="C16" s="1616" t="s">
        <v>1936</v>
      </c>
      <c r="D16" s="2484" t="s">
        <v>1937</v>
      </c>
      <c r="E16" s="1639" t="s">
        <v>3113</v>
      </c>
      <c r="F16" s="1639"/>
      <c r="G16" s="1639" t="s">
        <v>35</v>
      </c>
      <c r="H16" s="1639" t="s">
        <v>3120</v>
      </c>
      <c r="I16" s="1606" t="s">
        <v>1942</v>
      </c>
      <c r="J16" s="3068"/>
      <c r="K16" s="2307" t="str">
        <f>IF(D17="","",D16&amp;TEXT(D17,"yyyy年m月d日;;"))</f>
        <v>住宅2091年5月16日</v>
      </c>
      <c r="L16" s="1616" t="str">
        <f>IF(OR(K16="",M16=""),"","、")</f>
        <v>、</v>
      </c>
      <c r="M16" s="2307" t="str">
        <f>IF(E17="","",E16&amp;TEXT(E17,"yyyy年m月d日;;"))</f>
        <v>商业2061年5月16日</v>
      </c>
      <c r="N16" s="1616" t="str">
        <f>IF(OR(M16="",O16=""),"","、")</f>
        <v/>
      </c>
      <c r="O16" s="2307" t="str">
        <f>IF(F17="","",F16&amp;TEXT(F17,"yyyy年m月d日;;"))</f>
        <v/>
      </c>
      <c r="P16" s="1616" t="str">
        <f>IF(OR(O16="",Q16=""),"","、")</f>
        <v/>
      </c>
      <c r="Q16" s="2307" t="str">
        <f>IF(G17="","",G16&amp;TEXT(G17,"yyyy年m月d日;;"))</f>
        <v>地下车库2071年5月16日</v>
      </c>
      <c r="R16" s="1616" t="str">
        <f>IF(OR(Q16="",S16=""),"","、")</f>
        <v>、</v>
      </c>
      <c r="S16" s="2307" t="str">
        <f>IF(H17="","",H16&amp;TEXT(H17,"yyyy年m月d日;;"))</f>
        <v>仓储2071年5月16日</v>
      </c>
      <c r="T16" s="1616" t="str">
        <f>IF(OR(S16="",U16=""),"","、")</f>
        <v/>
      </c>
      <c r="U16" s="2307" t="str">
        <f>IF(I17="","",I16&amp;TEXT(I17,"yyyy年m月d日;;"))</f>
        <v/>
      </c>
    </row>
    <row r="17" spans="1:21">
      <c r="A17" s="1676"/>
      <c r="B17" s="1603"/>
      <c r="C17" s="2997" t="s">
        <v>1943</v>
      </c>
      <c r="D17" s="1617">
        <v>69899</v>
      </c>
      <c r="E17" s="1617">
        <v>58942</v>
      </c>
      <c r="F17" s="1617"/>
      <c r="G17" s="1617">
        <v>62594</v>
      </c>
      <c r="H17" s="1617">
        <f>G17</f>
        <v>62594</v>
      </c>
      <c r="I17" s="1617"/>
      <c r="J17" s="3068"/>
      <c r="K17" s="3046" t="str">
        <f>CONCATENATE(K16,L16,M16,N16,O16,P16,Q16,R16,S16,T16,,U16)</f>
        <v>住宅2091年5月16日、商业2061年5月16日地下车库2071年5月16日、仓储2071年5月16日</v>
      </c>
      <c r="L17" s="3047"/>
      <c r="M17" s="3047"/>
      <c r="N17" s="3048"/>
      <c r="O17" s="3049"/>
      <c r="P17" s="3048"/>
      <c r="Q17" s="3048"/>
      <c r="R17" s="3048"/>
      <c r="S17" s="3048"/>
      <c r="T17" s="3048"/>
      <c r="U17" s="3048"/>
    </row>
    <row r="18" spans="1:21">
      <c r="A18" s="1676"/>
      <c r="B18" s="1603"/>
      <c r="C18" s="2997" t="s">
        <v>1944</v>
      </c>
      <c r="D18" s="1604">
        <v>70</v>
      </c>
      <c r="E18" s="1604">
        <v>40</v>
      </c>
      <c r="F18" s="1604"/>
      <c r="G18" s="1604">
        <v>50</v>
      </c>
      <c r="H18" s="1604">
        <v>50</v>
      </c>
      <c r="I18" s="1604"/>
      <c r="J18" s="3068"/>
      <c r="K18" s="3051"/>
      <c r="L18" s="3047"/>
      <c r="M18" s="3047"/>
      <c r="N18" s="3048"/>
      <c r="O18" s="3049"/>
      <c r="P18" s="3048"/>
      <c r="Q18" s="3048"/>
      <c r="R18" s="3048"/>
      <c r="S18" s="3048"/>
      <c r="T18" s="3048"/>
      <c r="U18" s="3048"/>
    </row>
    <row r="19" spans="1:21">
      <c r="A19" s="1676"/>
      <c r="B19" s="1603"/>
      <c r="C19" s="1584" t="s">
        <v>1945</v>
      </c>
      <c r="D19" s="1671">
        <f>IF(B16="出让",IF(D17="","",ROUNDDOWN(MIN((D17-$D$3)/365,D18),2)),D18)</f>
        <v>69.489999999999995</v>
      </c>
      <c r="E19" s="1605">
        <f>IF(B16="出让",IF(E17="","",ROUNDDOWN(MIN((E17-$D$3)/365,E18),2)),E18)</f>
        <v>39.47</v>
      </c>
      <c r="F19" s="1605" t="str">
        <f>IF(B16="出让",IF(F17="","",ROUNDDOWN(MIN((F17-$D$3)/365,F18),2)),F18)</f>
        <v/>
      </c>
      <c r="G19" s="1605">
        <f>IF(B16="出让",IF(G17="","",ROUNDDOWN(MIN((G17-$D$3)/365,G18),2)),G18)</f>
        <v>49.48</v>
      </c>
      <c r="H19" s="1605">
        <f>IF(B16="出让",IF(H17="","",ROUNDDOWN(MIN((H17-$D$3)/365,H18),2)),H18)</f>
        <v>49.48</v>
      </c>
      <c r="I19" s="1605" t="str">
        <f>IF(B16="出让",IF(I17="","",ROUNDDOWN(MIN((I17-$D$3)/365,I18),2)),I18)</f>
        <v/>
      </c>
      <c r="J19" s="3068"/>
      <c r="K19" s="3051"/>
      <c r="L19" s="3047"/>
      <c r="M19" s="3047"/>
      <c r="N19" s="3048"/>
      <c r="O19" s="3049"/>
      <c r="P19" s="3048"/>
      <c r="Q19" s="3048"/>
      <c r="R19" s="3048"/>
      <c r="S19" s="3048"/>
      <c r="T19" s="3048"/>
      <c r="U19" s="3048"/>
    </row>
    <row r="20" spans="1:21">
      <c r="A20" s="1696"/>
      <c r="B20" s="1697"/>
      <c r="C20" s="1698" t="s">
        <v>2047</v>
      </c>
      <c r="D20" s="3485"/>
      <c r="E20" s="3486"/>
      <c r="F20" s="3486"/>
      <c r="G20" s="3486"/>
      <c r="H20" s="3486"/>
      <c r="I20" s="3487"/>
      <c r="J20" s="3068"/>
      <c r="K20" s="3051"/>
      <c r="L20" s="3047"/>
      <c r="M20" s="3047"/>
      <c r="N20" s="3048"/>
      <c r="O20" s="3049"/>
      <c r="P20" s="3048"/>
      <c r="Q20" s="3048"/>
      <c r="R20" s="3048"/>
      <c r="S20" s="3048"/>
      <c r="T20" s="3048"/>
      <c r="U20" s="3048"/>
    </row>
    <row r="21" spans="1:21">
      <c r="A21" s="1676" t="s">
        <v>1946</v>
      </c>
      <c r="B21" s="1677" t="s">
        <v>1947</v>
      </c>
      <c r="C21" s="1672">
        <f>'数据-汇总表'!E3</f>
        <v>63115.493000000002</v>
      </c>
      <c r="D21" s="1673" t="s">
        <v>1948</v>
      </c>
      <c r="E21" s="3475"/>
      <c r="F21" s="3476"/>
      <c r="G21" s="3476"/>
      <c r="H21" s="3476"/>
      <c r="I21" s="3477"/>
      <c r="J21" s="3068"/>
      <c r="K21" s="3051"/>
      <c r="L21" s="3047"/>
      <c r="M21" s="3047"/>
      <c r="N21" s="3048"/>
      <c r="O21" s="3049"/>
      <c r="P21" s="3048"/>
      <c r="Q21" s="3048"/>
      <c r="R21" s="3048"/>
      <c r="S21" s="3048"/>
      <c r="T21" s="3048"/>
      <c r="U21" s="3048"/>
    </row>
    <row r="22" spans="1:21">
      <c r="A22" s="2796" t="s">
        <v>942</v>
      </c>
      <c r="B22" s="1585" t="s">
        <v>1949</v>
      </c>
      <c r="C22" s="1606">
        <f>'数据-汇总表'!D3</f>
        <v>23100.27</v>
      </c>
      <c r="D22" s="1607" t="s">
        <v>1948</v>
      </c>
      <c r="E22" s="3475"/>
      <c r="F22" s="3476"/>
      <c r="G22" s="3476"/>
      <c r="H22" s="3476"/>
      <c r="I22" s="3477"/>
      <c r="J22" s="3068"/>
      <c r="K22" s="3051"/>
      <c r="L22" s="3047"/>
      <c r="M22" s="3047"/>
      <c r="N22" s="3048"/>
      <c r="O22" s="3049"/>
      <c r="P22" s="3048"/>
      <c r="Q22" s="3048"/>
      <c r="R22" s="3048"/>
      <c r="S22" s="3048"/>
      <c r="T22" s="3048"/>
      <c r="U22" s="3048"/>
    </row>
    <row r="23" spans="1:21" ht="43.5" thickBot="1">
      <c r="A23" s="1678" t="s">
        <v>1950</v>
      </c>
      <c r="B23" s="1618" t="s">
        <v>1951</v>
      </c>
      <c r="C23" s="1619"/>
      <c r="D23" s="1620" t="s">
        <v>1952</v>
      </c>
      <c r="E23" s="1621"/>
      <c r="F23" s="1622" t="str">
        <f>IF(AND(C23="是",E23="否"),"是否提供他项权证或相关说明","")</f>
        <v/>
      </c>
      <c r="G23" s="1623"/>
      <c r="H23" s="3068"/>
      <c r="I23" s="3072"/>
      <c r="J23" s="3068"/>
      <c r="K23" s="3051"/>
      <c r="L23" s="3047"/>
      <c r="M23" s="3047"/>
      <c r="N23" s="3048"/>
      <c r="O23" s="3049"/>
      <c r="P23" s="3048"/>
      <c r="Q23" s="3048"/>
      <c r="R23" s="3048"/>
      <c r="S23" s="3048"/>
      <c r="T23" s="3048"/>
      <c r="U23" s="3048"/>
    </row>
    <row r="24" spans="1:21">
      <c r="A24" s="1663" t="s">
        <v>1953</v>
      </c>
      <c r="B24" s="3478" t="s">
        <v>1954</v>
      </c>
      <c r="C24" s="3479"/>
      <c r="D24" s="3480" t="s">
        <v>1955</v>
      </c>
      <c r="E24" s="3481"/>
      <c r="F24" s="1625" t="s">
        <v>1956</v>
      </c>
      <c r="G24" s="3068"/>
      <c r="H24" s="3068"/>
      <c r="I24" s="3072"/>
      <c r="J24" s="3068"/>
      <c r="K24" s="3466"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8"/>
      <c r="O24" s="3049"/>
      <c r="P24" s="3048"/>
      <c r="Q24" s="3048"/>
      <c r="R24" s="3048"/>
      <c r="S24" s="3048"/>
      <c r="T24" s="3048"/>
      <c r="U24" s="3048"/>
    </row>
    <row r="25" spans="1:21" ht="28.5">
      <c r="A25" s="1664"/>
      <c r="B25" s="1661" t="s">
        <v>2311</v>
      </c>
      <c r="C25" s="1626" t="s">
        <v>1958</v>
      </c>
      <c r="D25" s="1627"/>
      <c r="E25" s="1628" t="s">
        <v>942</v>
      </c>
      <c r="F25" s="1629"/>
      <c r="G25" s="3068"/>
      <c r="H25" s="3068"/>
      <c r="I25" s="3072"/>
      <c r="J25" s="3068"/>
      <c r="K25" s="3466"/>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8"/>
      <c r="O25" s="3049"/>
      <c r="P25" s="3048"/>
      <c r="Q25" s="3048"/>
      <c r="R25" s="3048"/>
      <c r="S25" s="3048"/>
      <c r="T25" s="3048"/>
      <c r="U25" s="3048"/>
    </row>
    <row r="26" spans="1:21" ht="29.25" thickBot="1">
      <c r="A26" s="1665"/>
      <c r="B26" s="1662" t="s">
        <v>1959</v>
      </c>
      <c r="C26" s="1626" t="s">
        <v>2312</v>
      </c>
      <c r="D26" s="3069"/>
      <c r="E26" s="3069"/>
      <c r="F26" s="3075"/>
      <c r="G26" s="3068"/>
      <c r="H26" s="3068"/>
      <c r="I26" s="3072"/>
      <c r="J26" s="3068"/>
      <c r="K26" s="3466"/>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8"/>
      <c r="O26" s="3049"/>
      <c r="P26" s="3048"/>
      <c r="Q26" s="3048"/>
      <c r="R26" s="3048"/>
      <c r="S26" s="3048"/>
      <c r="T26" s="3048"/>
      <c r="U26" s="3048"/>
    </row>
    <row r="27" spans="1:21">
      <c r="A27" s="1668" t="s">
        <v>1960</v>
      </c>
      <c r="B27" s="1666" t="s">
        <v>1961</v>
      </c>
      <c r="C27" s="1630"/>
      <c r="D27" s="2489" t="s">
        <v>1961</v>
      </c>
      <c r="E27" s="1631"/>
      <c r="F27" s="3075"/>
      <c r="G27" s="3068"/>
      <c r="H27" s="3068"/>
      <c r="I27" s="3072"/>
      <c r="J27" s="3068"/>
      <c r="K27" s="3051"/>
      <c r="L27" s="3047"/>
      <c r="M27" s="3047"/>
      <c r="N27" s="3048"/>
      <c r="O27" s="3049"/>
      <c r="P27" s="3048"/>
      <c r="Q27" s="3048"/>
      <c r="R27" s="3048"/>
      <c r="S27" s="3048"/>
      <c r="T27" s="3048"/>
      <c r="U27" s="3048"/>
    </row>
    <row r="28" spans="1:21">
      <c r="A28" s="1669"/>
      <c r="B28" s="1666" t="s">
        <v>1962</v>
      </c>
      <c r="C28" s="1632"/>
      <c r="D28" s="2490" t="s">
        <v>1962</v>
      </c>
      <c r="E28" s="1633"/>
      <c r="F28" s="3075"/>
      <c r="G28" s="3068"/>
      <c r="H28" s="3068"/>
      <c r="I28" s="3072"/>
      <c r="J28" s="3068"/>
      <c r="K28" s="3051"/>
      <c r="L28" s="3047"/>
      <c r="M28" s="3047"/>
      <c r="N28" s="3048"/>
      <c r="O28" s="3049"/>
      <c r="P28" s="3048"/>
      <c r="Q28" s="3048"/>
      <c r="R28" s="3048"/>
      <c r="S28" s="3048"/>
      <c r="T28" s="3048"/>
      <c r="U28" s="3048"/>
    </row>
    <row r="29" spans="1:21">
      <c r="A29" s="1669"/>
      <c r="B29" s="1666" t="s">
        <v>1963</v>
      </c>
      <c r="C29" s="1632"/>
      <c r="D29" s="2490" t="s">
        <v>1963</v>
      </c>
      <c r="E29" s="1633"/>
      <c r="F29" s="3075"/>
      <c r="G29" s="3068"/>
      <c r="H29" s="3068"/>
      <c r="I29" s="3072"/>
      <c r="J29" s="3068"/>
      <c r="K29" s="3051"/>
      <c r="L29" s="3047"/>
      <c r="M29" s="3047"/>
      <c r="N29" s="3048"/>
      <c r="O29" s="3049"/>
      <c r="P29" s="3048"/>
      <c r="Q29" s="3048"/>
      <c r="R29" s="3048"/>
      <c r="S29" s="3048"/>
      <c r="T29" s="3048"/>
      <c r="U29" s="3048"/>
    </row>
    <row r="30" spans="1:21" ht="15" thickBot="1">
      <c r="A30" s="1670"/>
      <c r="B30" s="1667" t="s">
        <v>1964</v>
      </c>
      <c r="C30" s="1634"/>
      <c r="D30" s="2491" t="s">
        <v>1964</v>
      </c>
      <c r="E30" s="1635"/>
      <c r="F30" s="3076"/>
      <c r="G30" s="3073"/>
      <c r="H30" s="3073"/>
      <c r="I30" s="3074"/>
      <c r="J30" s="3068"/>
      <c r="K30" s="3051"/>
      <c r="L30" s="3047"/>
      <c r="M30" s="3047"/>
      <c r="N30" s="3048"/>
      <c r="O30" s="3049"/>
      <c r="P30" s="3048"/>
      <c r="Q30" s="3048"/>
      <c r="R30" s="3048"/>
      <c r="S30" s="3048"/>
      <c r="T30" s="3048"/>
      <c r="U30" s="3048"/>
    </row>
    <row r="31" spans="1:21" ht="15" thickTop="1">
      <c r="A31" s="3452" t="s">
        <v>1988</v>
      </c>
      <c r="B31" s="1677" t="s">
        <v>1989</v>
      </c>
      <c r="C31" s="3491"/>
      <c r="D31" s="3492"/>
      <c r="E31" s="3068"/>
      <c r="F31" s="3068"/>
      <c r="G31" s="3068"/>
      <c r="H31" s="3068"/>
      <c r="I31" s="3072"/>
      <c r="J31" s="3068"/>
      <c r="K31" s="3054"/>
      <c r="L31" s="3048"/>
      <c r="M31" s="3048"/>
      <c r="N31" s="3048"/>
      <c r="O31" s="3048"/>
      <c r="P31" s="3048"/>
      <c r="Q31" s="3048"/>
      <c r="R31" s="3048"/>
      <c r="S31" s="3048"/>
      <c r="T31" s="3048"/>
      <c r="U31" s="3048"/>
    </row>
    <row r="32" spans="1:21">
      <c r="A32" s="3452"/>
      <c r="B32" s="1585" t="s">
        <v>1990</v>
      </c>
      <c r="C32" s="1636"/>
      <c r="D32" s="1637"/>
      <c r="E32" s="3068"/>
      <c r="F32" s="3068"/>
      <c r="G32" s="3068"/>
      <c r="H32" s="3068"/>
      <c r="I32" s="3072"/>
      <c r="J32" s="3068"/>
      <c r="K32" s="3054"/>
      <c r="L32" s="3048"/>
      <c r="M32" s="3048"/>
      <c r="N32" s="3048"/>
      <c r="O32" s="3048"/>
      <c r="P32" s="3048"/>
      <c r="Q32" s="3048"/>
      <c r="R32" s="3048"/>
      <c r="S32" s="3048"/>
      <c r="T32" s="3048"/>
      <c r="U32" s="3048"/>
    </row>
    <row r="33" spans="1:28">
      <c r="A33" s="3452"/>
      <c r="B33" s="1585" t="s">
        <v>1991</v>
      </c>
      <c r="C33" s="1638"/>
      <c r="D33" s="1748"/>
      <c r="E33" s="3068"/>
      <c r="F33" s="3068"/>
      <c r="G33" s="3068"/>
      <c r="H33" s="3068"/>
      <c r="I33" s="3072"/>
      <c r="J33" s="3068"/>
      <c r="K33" s="3054"/>
      <c r="L33" s="3048"/>
      <c r="M33" s="3048"/>
      <c r="N33" s="3048"/>
      <c r="O33" s="3048"/>
      <c r="P33" s="3048"/>
      <c r="Q33" s="3048"/>
      <c r="R33" s="3048"/>
      <c r="S33" s="3048"/>
      <c r="T33" s="3048"/>
      <c r="U33" s="3048"/>
    </row>
    <row r="34" spans="1:28">
      <c r="A34" s="3453"/>
      <c r="B34" s="1585" t="s">
        <v>1992</v>
      </c>
      <c r="C34" s="3454"/>
      <c r="D34" s="3455"/>
      <c r="E34" s="3068"/>
      <c r="F34" s="3068"/>
      <c r="G34" s="3068"/>
      <c r="H34" s="3068"/>
      <c r="I34" s="3072"/>
      <c r="J34" s="3068"/>
      <c r="K34" s="3054"/>
      <c r="L34" s="3048"/>
      <c r="M34" s="3048"/>
      <c r="N34" s="3048"/>
      <c r="O34" s="3048"/>
      <c r="P34" s="3048"/>
      <c r="Q34" s="3048"/>
      <c r="R34" s="3048"/>
      <c r="S34" s="3048"/>
      <c r="T34" s="3048"/>
      <c r="U34" s="3048"/>
    </row>
    <row r="35" spans="1:28">
      <c r="A35" s="3456" t="s">
        <v>838</v>
      </c>
      <c r="B35" s="1639"/>
      <c r="C35" s="1686" t="str">
        <f>IF(B35="场地平整","——","具体情况：")</f>
        <v>具体情况：</v>
      </c>
      <c r="D35" s="3458"/>
      <c r="E35" s="3459"/>
      <c r="F35" s="3459"/>
      <c r="G35" s="3459"/>
      <c r="H35" s="3459"/>
      <c r="I35" s="3460"/>
      <c r="J35" s="3068"/>
      <c r="K35" s="3055"/>
      <c r="L35" s="3047"/>
      <c r="M35" s="3047"/>
      <c r="N35" s="3048"/>
      <c r="O35" s="3049"/>
      <c r="P35" s="3048"/>
      <c r="Q35" s="3048"/>
      <c r="R35" s="3048"/>
      <c r="S35" s="3048"/>
      <c r="T35" s="3048"/>
      <c r="U35" s="3048"/>
    </row>
    <row r="36" spans="1:28">
      <c r="A36" s="3452"/>
      <c r="B36" s="3461" t="s">
        <v>2041</v>
      </c>
      <c r="C36" s="3462"/>
      <c r="D36" s="1702"/>
      <c r="E36" s="3463"/>
      <c r="F36" s="3463"/>
      <c r="G36" s="1607" t="str">
        <f>IF(B35="场地未平整","估价结果处理","")</f>
        <v/>
      </c>
      <c r="H36" s="3464"/>
      <c r="I36" s="3464"/>
      <c r="J36" s="3068"/>
      <c r="K36" s="3055"/>
      <c r="L36" s="3047"/>
      <c r="M36" s="3047"/>
      <c r="N36" s="3048"/>
      <c r="O36" s="3049"/>
      <c r="P36" s="3048"/>
      <c r="Q36" s="3048"/>
      <c r="R36" s="3048"/>
      <c r="S36" s="3048"/>
      <c r="T36" s="3048"/>
      <c r="U36" s="3048"/>
    </row>
    <row r="37" spans="1:28" ht="28.5">
      <c r="A37" s="3452"/>
      <c r="B37" s="3482" t="s">
        <v>839</v>
      </c>
      <c r="C37" s="1641" t="s">
        <v>840</v>
      </c>
      <c r="D37" s="1642"/>
      <c r="E37" s="1643"/>
      <c r="F37" s="3068"/>
      <c r="G37" s="3068"/>
      <c r="H37" s="3068"/>
      <c r="I37" s="3072"/>
      <c r="J37" s="3068"/>
      <c r="K37" s="3055"/>
      <c r="L37" s="3048"/>
      <c r="M37" s="3048"/>
      <c r="N37" s="3048"/>
      <c r="O37" s="3048"/>
      <c r="P37" s="3048"/>
      <c r="Q37" s="3048"/>
      <c r="R37" s="3048"/>
      <c r="S37" s="3048"/>
      <c r="T37" s="3048"/>
      <c r="U37" s="3048"/>
    </row>
    <row r="38" spans="1:28">
      <c r="A38" s="3452"/>
      <c r="B38" s="3483"/>
      <c r="C38" s="1593" t="s">
        <v>841</v>
      </c>
      <c r="D38" s="1701">
        <f>ROUNDDOWN(MIN(('数据-取费表'!$B$2-D37)/365,D34),1)</f>
        <v>122</v>
      </c>
      <c r="E38" s="1644" t="s">
        <v>842</v>
      </c>
      <c r="F38" s="3068"/>
      <c r="G38" s="3068"/>
      <c r="H38" s="3068"/>
      <c r="I38" s="3072"/>
      <c r="J38" s="3068"/>
      <c r="K38" s="3055"/>
      <c r="L38" s="3048"/>
      <c r="M38" s="3048"/>
      <c r="N38" s="3048"/>
      <c r="O38" s="3048"/>
      <c r="P38" s="3048"/>
      <c r="Q38" s="3048"/>
      <c r="R38" s="3048"/>
      <c r="S38" s="3048"/>
      <c r="T38" s="3048"/>
      <c r="U38" s="3048"/>
    </row>
    <row r="39" spans="1:28">
      <c r="A39" s="3453"/>
      <c r="B39" s="3484"/>
      <c r="C39" s="1614" t="str">
        <f>IF(D38&lt;1,"不存在土地闲置",IF(B35="宗地内已开工建设","已开工，不存在土地闲置","估价对象已涉嫌土地闲置"))</f>
        <v>估价对象已涉嫌土地闲置</v>
      </c>
      <c r="D39" s="1645"/>
      <c r="E39" s="1646"/>
      <c r="F39" s="3068"/>
      <c r="G39" s="3068"/>
      <c r="H39" s="3068"/>
      <c r="I39" s="3072"/>
      <c r="J39" s="3068"/>
      <c r="K39" s="3051"/>
      <c r="L39" s="3047"/>
      <c r="M39" s="3047"/>
      <c r="N39" s="3048"/>
      <c r="O39" s="3049"/>
      <c r="P39" s="3048"/>
      <c r="Q39" s="3048"/>
      <c r="R39" s="3048"/>
      <c r="S39" s="3048"/>
      <c r="T39" s="3048"/>
      <c r="U39" s="3048"/>
    </row>
    <row r="40" spans="1:28">
      <c r="A40" s="1607" t="s">
        <v>1965</v>
      </c>
      <c r="B40" s="1608"/>
      <c r="C40" s="1608"/>
      <c r="D40" s="1608"/>
      <c r="E40" s="1608"/>
      <c r="F40" s="1608"/>
      <c r="G40" s="1608"/>
      <c r="H40" s="1608"/>
      <c r="I40" s="3072"/>
      <c r="J40" s="3068"/>
      <c r="K40" s="3016">
        <f>COUNTIF(B40:H40,"——")</f>
        <v>0</v>
      </c>
      <c r="L40" s="1616" t="s">
        <v>1966</v>
      </c>
      <c r="M40" s="1613" t="s">
        <v>1967</v>
      </c>
      <c r="N40" s="1613" t="s">
        <v>1968</v>
      </c>
      <c r="O40" s="1613" t="s">
        <v>1969</v>
      </c>
      <c r="P40" s="1613" t="s">
        <v>1970</v>
      </c>
      <c r="Q40" s="1613" t="s">
        <v>1971</v>
      </c>
      <c r="R40" s="1613" t="s">
        <v>1972</v>
      </c>
      <c r="S40" s="3465" t="s">
        <v>1973</v>
      </c>
      <c r="T40" s="1648" t="str">
        <f>NUMBERSTRING(7-K40,1)&amp;"通"</f>
        <v>七通</v>
      </c>
      <c r="U40" s="3048"/>
    </row>
    <row r="41" spans="1:28">
      <c r="A41" s="1587"/>
      <c r="B41" s="3457" t="s">
        <v>1711</v>
      </c>
      <c r="C41" s="3457"/>
      <c r="D41" s="3457"/>
      <c r="E41" s="3457"/>
      <c r="F41" s="1649">
        <f>C10</f>
        <v>0</v>
      </c>
      <c r="G41" s="3068"/>
      <c r="H41" s="3068"/>
      <c r="I41" s="3072"/>
      <c r="J41" s="3068"/>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65"/>
      <c r="T41" s="1650" t="str">
        <f>IF(T40="一通",L41,IF(T40="二通",M41,IF(T40="三通",N41,IF(T40="四通",O41,IF(T40="五通",P41,IF(T40="六通",Q41,R41))))))</f>
        <v>、、、、、、</v>
      </c>
      <c r="U41" s="3048"/>
    </row>
    <row r="42" spans="1:28">
      <c r="A42" s="1652"/>
      <c r="B42" s="1679" t="s">
        <v>1887</v>
      </c>
      <c r="C42" s="1679" t="s">
        <v>1888</v>
      </c>
      <c r="D42" s="1679" t="s">
        <v>1889</v>
      </c>
      <c r="E42" s="1616" t="s">
        <v>1890</v>
      </c>
      <c r="F42" s="1653"/>
      <c r="G42" s="3068"/>
      <c r="H42" s="3068"/>
      <c r="I42" s="3072"/>
      <c r="J42" s="3068"/>
      <c r="K42" s="3051"/>
      <c r="L42" s="3047"/>
      <c r="M42" s="3047"/>
      <c r="N42" s="3048"/>
      <c r="O42" s="3049"/>
      <c r="P42" s="3048"/>
      <c r="Q42" s="3048"/>
      <c r="R42" s="3048"/>
      <c r="S42" s="3048"/>
      <c r="T42" s="3048"/>
      <c r="U42" s="3048"/>
    </row>
    <row r="43" spans="1:28">
      <c r="A43" s="3019" t="s">
        <v>1696</v>
      </c>
      <c r="B43" s="1654" t="s">
        <v>1405</v>
      </c>
      <c r="C43" s="1654"/>
      <c r="D43" s="1654" t="s">
        <v>1405</v>
      </c>
      <c r="E43" s="1654"/>
      <c r="F43" s="1655"/>
      <c r="G43" s="3068"/>
      <c r="H43" s="3068"/>
      <c r="I43" s="3072"/>
      <c r="J43" s="3068"/>
      <c r="K43" s="3051"/>
      <c r="L43" s="3047"/>
      <c r="M43" s="3047"/>
      <c r="N43" s="3048"/>
      <c r="O43" s="3049"/>
      <c r="P43" s="3048"/>
      <c r="Q43" s="3048"/>
      <c r="R43" s="3048"/>
      <c r="S43" s="3048"/>
      <c r="T43" s="3048"/>
      <c r="U43" s="3048"/>
    </row>
    <row r="44" spans="1:28">
      <c r="A44" s="3019" t="s">
        <v>1697</v>
      </c>
      <c r="B44" s="1654" t="s">
        <v>1194</v>
      </c>
      <c r="C44" s="1654"/>
      <c r="D44" s="1654" t="s">
        <v>1194</v>
      </c>
      <c r="E44" s="1702"/>
      <c r="F44" s="1655"/>
      <c r="G44" s="3068"/>
      <c r="H44" s="3068"/>
      <c r="I44" s="3072"/>
      <c r="J44" s="3068"/>
      <c r="K44" s="3051"/>
      <c r="L44" s="3047"/>
      <c r="M44" s="3047"/>
      <c r="N44" s="3048"/>
      <c r="O44" s="3049"/>
      <c r="P44" s="3048"/>
      <c r="Q44" s="3048"/>
      <c r="R44" s="3048"/>
      <c r="S44" s="3048"/>
      <c r="T44" s="3048"/>
      <c r="U44" s="3048"/>
    </row>
    <row r="45" spans="1:28" s="2767" customFormat="1" ht="21" thickBot="1">
      <c r="A45" s="2768" t="s">
        <v>2858</v>
      </c>
      <c r="B45" s="2766"/>
      <c r="C45" s="2766"/>
      <c r="D45" s="2766"/>
      <c r="E45" s="2766"/>
      <c r="F45" s="2766"/>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1"/>
      <c r="B46" s="1611"/>
      <c r="C46" s="1611"/>
      <c r="D46" s="1611"/>
      <c r="E46" s="1611"/>
      <c r="F46" s="1611"/>
      <c r="G46" s="1611"/>
      <c r="H46" s="1611"/>
      <c r="I46" s="1624"/>
      <c r="J46" s="1611"/>
      <c r="K46" s="3051"/>
      <c r="L46" s="3047"/>
      <c r="M46" s="3047"/>
      <c r="N46" s="3048"/>
      <c r="O46" s="3049"/>
      <c r="P46" s="3048"/>
      <c r="Q46" s="3048"/>
      <c r="R46" s="3048"/>
      <c r="S46" s="3048"/>
      <c r="T46" s="3048"/>
      <c r="U46" s="3048"/>
    </row>
    <row r="47" spans="1:28">
      <c r="A47" s="1656" t="s">
        <v>1993</v>
      </c>
      <c r="B47" s="1657"/>
      <c r="C47" s="1646"/>
      <c r="D47" s="1611"/>
      <c r="E47" s="1611"/>
      <c r="F47" s="1611"/>
      <c r="G47" s="1611"/>
      <c r="H47" s="1611"/>
      <c r="I47" s="1612"/>
      <c r="J47" s="1611"/>
      <c r="K47" s="3051"/>
      <c r="L47" s="3047"/>
      <c r="M47" s="3047"/>
      <c r="N47" s="3048"/>
      <c r="O47" s="3049"/>
      <c r="P47" s="3048"/>
      <c r="Q47" s="3048"/>
      <c r="R47" s="3048"/>
      <c r="S47" s="3048"/>
      <c r="T47" s="3048"/>
      <c r="U47" s="3048"/>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1" t="s">
        <v>2004</v>
      </c>
      <c r="L48" s="3061" t="s">
        <v>2005</v>
      </c>
      <c r="M48" s="3061" t="s">
        <v>2006</v>
      </c>
      <c r="N48" s="3062" t="s">
        <v>2007</v>
      </c>
      <c r="O48" s="3062" t="s">
        <v>2008</v>
      </c>
      <c r="P48" s="3062" t="s">
        <v>2009</v>
      </c>
      <c r="Q48" s="3053" t="s">
        <v>2010</v>
      </c>
      <c r="R48" s="3053" t="s">
        <v>2011</v>
      </c>
      <c r="S48" s="3048"/>
      <c r="T48" s="3048"/>
      <c r="U48" s="3048"/>
    </row>
    <row r="49" spans="1:21">
      <c r="A49" s="1613"/>
      <c r="B49" s="1647"/>
      <c r="C49" s="1647"/>
      <c r="D49" s="1647"/>
      <c r="E49" s="1647"/>
      <c r="F49" s="1647"/>
      <c r="G49" s="1647"/>
      <c r="H49" s="1647"/>
      <c r="I49" s="1647"/>
      <c r="J49" s="1749"/>
      <c r="K49" s="3063"/>
      <c r="L49" s="3063"/>
      <c r="M49" s="1653"/>
      <c r="N49" s="1653"/>
      <c r="O49" s="1653"/>
      <c r="P49" s="1653"/>
      <c r="Q49" s="1653"/>
      <c r="R49" s="1653"/>
      <c r="S49" s="3048"/>
      <c r="T49" s="3048"/>
      <c r="U49" s="3048"/>
    </row>
    <row r="50" spans="1:21">
      <c r="A50" s="1613"/>
      <c r="B50" s="1613"/>
      <c r="C50" s="1647"/>
      <c r="D50" s="1647"/>
      <c r="E50" s="1647"/>
      <c r="F50" s="1647"/>
      <c r="G50" s="1647"/>
      <c r="H50" s="1647"/>
      <c r="I50" s="1647"/>
      <c r="J50" s="1749"/>
      <c r="K50" s="3063"/>
      <c r="L50" s="3063"/>
      <c r="M50" s="1653"/>
      <c r="N50" s="1653"/>
      <c r="O50" s="1653"/>
      <c r="P50" s="1653"/>
      <c r="Q50" s="1653"/>
      <c r="R50" s="1653"/>
      <c r="S50" s="3048"/>
      <c r="T50" s="3048"/>
      <c r="U50" s="3048"/>
    </row>
    <row r="51" spans="1:21">
      <c r="A51" s="1613"/>
      <c r="B51" s="1613"/>
      <c r="C51" s="1647"/>
      <c r="D51" s="1647"/>
      <c r="E51" s="1647"/>
      <c r="F51" s="1647"/>
      <c r="G51" s="1647"/>
      <c r="H51" s="1647"/>
      <c r="I51" s="1647"/>
      <c r="J51" s="1749"/>
      <c r="K51" s="3063"/>
      <c r="L51" s="3063"/>
      <c r="M51" s="1653"/>
      <c r="N51" s="1653"/>
      <c r="O51" s="1653"/>
      <c r="P51" s="1653"/>
      <c r="Q51" s="1653"/>
      <c r="R51" s="1653"/>
      <c r="S51" s="3048"/>
      <c r="T51" s="3048"/>
      <c r="U51" s="3048"/>
    </row>
    <row r="52" spans="1:21">
      <c r="A52" s="1613"/>
      <c r="B52" s="1613"/>
      <c r="C52" s="1647"/>
      <c r="D52" s="1647"/>
      <c r="E52" s="1647"/>
      <c r="F52" s="1647"/>
      <c r="G52" s="1647"/>
      <c r="H52" s="1647"/>
      <c r="I52" s="1647"/>
      <c r="J52" s="1749"/>
      <c r="K52" s="3063"/>
      <c r="L52" s="3063"/>
      <c r="M52" s="1653"/>
      <c r="N52" s="1653"/>
      <c r="O52" s="1653"/>
      <c r="P52" s="1653"/>
      <c r="Q52" s="1653"/>
      <c r="R52" s="1653"/>
      <c r="S52" s="3048"/>
      <c r="T52" s="3048"/>
      <c r="U52" s="3048"/>
    </row>
    <row r="53" spans="1:21">
      <c r="A53" s="1613"/>
      <c r="B53" s="1613"/>
      <c r="C53" s="1647"/>
      <c r="D53" s="1647"/>
      <c r="E53" s="1647"/>
      <c r="F53" s="1647"/>
      <c r="G53" s="1647"/>
      <c r="H53" s="1647"/>
      <c r="I53" s="1647"/>
      <c r="J53" s="1749"/>
      <c r="K53" s="3063"/>
      <c r="L53" s="3063"/>
      <c r="M53" s="1653"/>
      <c r="N53" s="1653"/>
      <c r="O53" s="1653"/>
      <c r="P53" s="1653"/>
      <c r="Q53" s="1653"/>
      <c r="R53" s="1653"/>
      <c r="S53" s="3048"/>
      <c r="T53" s="3048"/>
      <c r="U53" s="3048"/>
    </row>
    <row r="54" spans="1:21">
      <c r="A54" s="1613"/>
      <c r="B54" s="1613"/>
      <c r="C54" s="1613"/>
      <c r="D54" s="1613"/>
      <c r="E54" s="1613"/>
      <c r="F54" s="1647"/>
      <c r="G54" s="1613"/>
      <c r="H54" s="1613"/>
      <c r="I54" s="1613"/>
      <c r="J54" s="1750"/>
      <c r="K54" s="3063"/>
      <c r="L54" s="3063"/>
      <c r="M54" s="3063"/>
      <c r="N54" s="3015"/>
      <c r="O54" s="3015"/>
      <c r="P54" s="3015"/>
      <c r="Q54" s="3015"/>
      <c r="R54" s="3015"/>
      <c r="S54" s="3048"/>
      <c r="T54" s="3048"/>
      <c r="U54" s="3048"/>
    </row>
    <row r="55" spans="1:21">
      <c r="A55" s="1613"/>
      <c r="B55" s="1613"/>
      <c r="C55" s="1613"/>
      <c r="D55" s="1613"/>
      <c r="E55" s="1613"/>
      <c r="F55" s="1647"/>
      <c r="G55" s="1613"/>
      <c r="H55" s="1613"/>
      <c r="I55" s="1613"/>
      <c r="J55" s="1750"/>
      <c r="K55" s="3063"/>
      <c r="L55" s="3063"/>
      <c r="M55" s="3063"/>
      <c r="N55" s="3015"/>
      <c r="O55" s="3015"/>
      <c r="P55" s="3015"/>
      <c r="Q55" s="3015"/>
      <c r="R55" s="3015"/>
      <c r="S55" s="3048"/>
      <c r="T55" s="3048"/>
      <c r="U55" s="3048"/>
    </row>
    <row r="56" spans="1:21">
      <c r="A56" s="1613"/>
      <c r="B56" s="1613"/>
      <c r="C56" s="1613"/>
      <c r="D56" s="1613"/>
      <c r="E56" s="1613"/>
      <c r="F56" s="1647"/>
      <c r="G56" s="1613"/>
      <c r="H56" s="1613"/>
      <c r="I56" s="1613"/>
      <c r="J56" s="1750"/>
      <c r="K56" s="3063"/>
      <c r="L56" s="3063"/>
      <c r="M56" s="3063"/>
      <c r="N56" s="3015"/>
      <c r="O56" s="3015"/>
      <c r="P56" s="3015"/>
      <c r="Q56" s="3015"/>
      <c r="R56" s="3015"/>
      <c r="S56" s="3048"/>
      <c r="T56" s="3048"/>
      <c r="U56" s="3048"/>
    </row>
    <row r="57" spans="1:21">
      <c r="A57" s="1613"/>
      <c r="B57" s="1613"/>
      <c r="C57" s="1613"/>
      <c r="D57" s="1613"/>
      <c r="E57" s="1613"/>
      <c r="F57" s="1647"/>
      <c r="G57" s="1613"/>
      <c r="H57" s="1613"/>
      <c r="I57" s="1613"/>
      <c r="J57" s="1750"/>
      <c r="K57" s="3063"/>
      <c r="L57" s="3063"/>
      <c r="M57" s="3063"/>
      <c r="N57" s="3015"/>
      <c r="O57" s="3015"/>
      <c r="P57" s="3015"/>
      <c r="Q57" s="3015"/>
      <c r="R57" s="3015"/>
      <c r="S57" s="3048"/>
      <c r="T57" s="3048"/>
      <c r="U57" s="3048"/>
    </row>
    <row r="58" spans="1:21">
      <c r="A58" s="1613"/>
      <c r="B58" s="1613"/>
      <c r="C58" s="1613"/>
      <c r="D58" s="1613"/>
      <c r="E58" s="1613"/>
      <c r="F58" s="1647"/>
      <c r="G58" s="1613"/>
      <c r="H58" s="1613"/>
      <c r="I58" s="1613"/>
      <c r="J58" s="1750"/>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2.3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2319</v>
      </c>
      <c r="BA2" s="2216"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311">
        <f>权属信息!D22</f>
        <v>23100.27</v>
      </c>
      <c r="B3" s="21">
        <f>IF(C3="否",G5-AT5,G5)</f>
        <v>63115.493000000002</v>
      </c>
      <c r="C3" s="22" t="s">
        <v>3436</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70500.493000000002</v>
      </c>
      <c r="H5" s="26">
        <f t="shared" ref="H5:AT5" si="0">SUM(H13:H641)</f>
        <v>60475.493000000002</v>
      </c>
      <c r="I5" s="26">
        <f t="shared" si="0"/>
        <v>41490.493000000002</v>
      </c>
      <c r="J5" s="26">
        <f t="shared" si="0"/>
        <v>0</v>
      </c>
      <c r="K5" s="26">
        <f t="shared" si="0"/>
        <v>6701</v>
      </c>
      <c r="L5" s="26">
        <f t="shared" si="0"/>
        <v>0</v>
      </c>
      <c r="M5" s="26">
        <f t="shared" si="0"/>
        <v>12284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2640</v>
      </c>
      <c r="AD5" s="26">
        <f t="shared" si="0"/>
        <v>0</v>
      </c>
      <c r="AE5" s="26">
        <f t="shared" si="0"/>
        <v>0</v>
      </c>
      <c r="AF5" s="26">
        <f t="shared" si="0"/>
        <v>540</v>
      </c>
      <c r="AG5" s="26">
        <f t="shared" si="0"/>
        <v>0</v>
      </c>
      <c r="AH5" s="26">
        <f t="shared" si="0"/>
        <v>0</v>
      </c>
      <c r="AI5" s="26">
        <f t="shared" si="0"/>
        <v>0</v>
      </c>
      <c r="AJ5" s="26">
        <f t="shared" si="0"/>
        <v>0</v>
      </c>
      <c r="AK5" s="26">
        <f t="shared" si="0"/>
        <v>0</v>
      </c>
      <c r="AL5" s="26">
        <f t="shared" si="0"/>
        <v>0</v>
      </c>
      <c r="AM5" s="26">
        <f t="shared" si="0"/>
        <v>0</v>
      </c>
      <c r="AN5" s="26">
        <f t="shared" si="0"/>
        <v>2100</v>
      </c>
      <c r="AO5" s="26">
        <f t="shared" si="0"/>
        <v>0</v>
      </c>
      <c r="AP5" s="26">
        <f t="shared" si="0"/>
        <v>0</v>
      </c>
      <c r="AQ5" s="26">
        <f t="shared" si="0"/>
        <v>0</v>
      </c>
      <c r="AR5" s="26">
        <f t="shared" si="0"/>
        <v>0</v>
      </c>
      <c r="AS5" s="26">
        <f t="shared" si="0"/>
        <v>0</v>
      </c>
      <c r="AT5" s="26">
        <f t="shared" si="0"/>
        <v>7385</v>
      </c>
      <c r="AU5" s="973"/>
      <c r="AV5" s="25" t="s">
        <v>168</v>
      </c>
      <c r="AW5" s="974"/>
      <c r="AX5" s="974"/>
      <c r="AY5" s="27" t="s">
        <v>3</v>
      </c>
      <c r="AZ5" s="28">
        <f t="shared" ref="AZ5:BT5" si="1">SUM(AZ13:AZ641)</f>
        <v>63115.493000000002</v>
      </c>
      <c r="BA5" s="28">
        <f t="shared" si="1"/>
        <v>60475.493000000002</v>
      </c>
      <c r="BB5" s="28">
        <f t="shared" si="1"/>
        <v>41490.493000000002</v>
      </c>
      <c r="BC5" s="28">
        <f t="shared" si="1"/>
        <v>6701</v>
      </c>
      <c r="BD5" s="28">
        <f t="shared" si="1"/>
        <v>12284</v>
      </c>
      <c r="BE5" s="28">
        <f t="shared" si="1"/>
        <v>0</v>
      </c>
      <c r="BF5" s="28">
        <f t="shared" si="1"/>
        <v>0</v>
      </c>
      <c r="BG5" s="28">
        <f t="shared" si="1"/>
        <v>0</v>
      </c>
      <c r="BH5" s="28">
        <f t="shared" si="1"/>
        <v>0</v>
      </c>
      <c r="BI5" s="28">
        <f t="shared" si="1"/>
        <v>0</v>
      </c>
      <c r="BJ5" s="28">
        <f t="shared" si="1"/>
        <v>0</v>
      </c>
      <c r="BK5" s="28">
        <f t="shared" si="1"/>
        <v>0</v>
      </c>
      <c r="BL5" s="28">
        <f t="shared" si="1"/>
        <v>2640</v>
      </c>
      <c r="BM5" s="28">
        <f t="shared" si="1"/>
        <v>0</v>
      </c>
      <c r="BN5" s="28">
        <f t="shared" si="1"/>
        <v>540</v>
      </c>
      <c r="BO5" s="28">
        <f t="shared" si="1"/>
        <v>0</v>
      </c>
      <c r="BP5" s="28">
        <f t="shared" si="1"/>
        <v>0</v>
      </c>
      <c r="BQ5" s="28">
        <f t="shared" si="1"/>
        <v>0</v>
      </c>
      <c r="BR5" s="28">
        <f t="shared" si="1"/>
        <v>2100</v>
      </c>
      <c r="BS5" s="28">
        <f t="shared" si="1"/>
        <v>0</v>
      </c>
      <c r="BT5" s="29">
        <f t="shared" si="1"/>
        <v>0</v>
      </c>
    </row>
    <row r="6" spans="1:72" s="36" customFormat="1" ht="12.75">
      <c r="A6" s="25" t="s">
        <v>169</v>
      </c>
      <c r="B6" s="30"/>
      <c r="C6" s="30"/>
      <c r="D6" s="31"/>
      <c r="E6" s="26">
        <f>H6+AC6+AT6</f>
        <v>23100.27</v>
      </c>
      <c r="F6" s="26" t="s">
        <v>1</v>
      </c>
      <c r="G6" s="26" t="s">
        <v>2</v>
      </c>
      <c r="H6" s="32">
        <f>SUMIF(I$12:AB$12,"总值",I6:AB6)</f>
        <v>22134.03</v>
      </c>
      <c r="I6" s="26">
        <f t="shared" ref="I6:AB6" si="2">ROUND($A$3*I5/$B$3,2)</f>
        <v>15185.52</v>
      </c>
      <c r="J6" s="26">
        <f t="shared" si="2"/>
        <v>0</v>
      </c>
      <c r="K6" s="26">
        <f t="shared" si="2"/>
        <v>2452.5700000000002</v>
      </c>
      <c r="L6" s="26">
        <f t="shared" si="2"/>
        <v>0</v>
      </c>
      <c r="M6" s="26">
        <f t="shared" si="2"/>
        <v>4495.9399999999996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966.24</v>
      </c>
      <c r="AD6" s="26">
        <f t="shared" ref="AD6:AS6" si="3">ROUND($A$3*AD5/$B$3,2)</f>
        <v>0</v>
      </c>
      <c r="AE6" s="26">
        <f t="shared" si="3"/>
        <v>0</v>
      </c>
      <c r="AF6" s="26">
        <f t="shared" si="3"/>
        <v>197.64</v>
      </c>
      <c r="AG6" s="26">
        <f t="shared" si="3"/>
        <v>0</v>
      </c>
      <c r="AH6" s="26">
        <f t="shared" si="3"/>
        <v>0</v>
      </c>
      <c r="AI6" s="26">
        <f t="shared" si="3"/>
        <v>0</v>
      </c>
      <c r="AJ6" s="26">
        <f t="shared" si="3"/>
        <v>0</v>
      </c>
      <c r="AK6" s="26">
        <f t="shared" si="3"/>
        <v>0</v>
      </c>
      <c r="AL6" s="26">
        <f t="shared" si="3"/>
        <v>0</v>
      </c>
      <c r="AM6" s="26">
        <f t="shared" si="3"/>
        <v>0</v>
      </c>
      <c r="AN6" s="26">
        <f t="shared" si="3"/>
        <v>768.6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23100.27</v>
      </c>
      <c r="AZ6" s="26" t="s">
        <v>3</v>
      </c>
      <c r="BA6" s="26">
        <f>ROUND($AY$6*BA5/$AZ$5,2)</f>
        <v>22134.03</v>
      </c>
      <c r="BB6" s="26">
        <f>ROUND($AY$6*BB5/$AZ$5,2)</f>
        <v>15185.52</v>
      </c>
      <c r="BC6" s="26">
        <f t="shared" ref="BC6:BH6" si="4">ROUND($AY$6*BC5/$AZ$5,2)</f>
        <v>2452.5700000000002</v>
      </c>
      <c r="BD6" s="26">
        <f t="shared" si="4"/>
        <v>4495.9399999999996</v>
      </c>
      <c r="BE6" s="26">
        <f t="shared" si="4"/>
        <v>0</v>
      </c>
      <c r="BF6" s="26">
        <f t="shared" si="4"/>
        <v>0</v>
      </c>
      <c r="BG6" s="26">
        <f t="shared" si="4"/>
        <v>0</v>
      </c>
      <c r="BH6" s="26">
        <f t="shared" si="4"/>
        <v>0</v>
      </c>
      <c r="BI6" s="26">
        <f t="shared" ref="BI6:BT6" si="5">ROUND($AY$6*BI5/$AZ$5,2)</f>
        <v>0</v>
      </c>
      <c r="BJ6" s="26">
        <f t="shared" si="5"/>
        <v>0</v>
      </c>
      <c r="BK6" s="26">
        <f t="shared" si="5"/>
        <v>0</v>
      </c>
      <c r="BL6" s="26">
        <f t="shared" si="5"/>
        <v>966.24</v>
      </c>
      <c r="BM6" s="26">
        <f t="shared" si="5"/>
        <v>0</v>
      </c>
      <c r="BN6" s="26">
        <f t="shared" si="5"/>
        <v>197.64</v>
      </c>
      <c r="BO6" s="26">
        <f t="shared" si="5"/>
        <v>0</v>
      </c>
      <c r="BP6" s="26">
        <f t="shared" si="5"/>
        <v>0</v>
      </c>
      <c r="BQ6" s="26">
        <f t="shared" si="5"/>
        <v>0</v>
      </c>
      <c r="BR6" s="26">
        <f t="shared" si="5"/>
        <v>768.6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846</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7" t="s">
        <v>3055</v>
      </c>
      <c r="J9" s="50"/>
      <c r="K9" s="2727" t="s">
        <v>3056</v>
      </c>
      <c r="L9" s="50"/>
      <c r="M9" s="2727" t="s">
        <v>3056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7" t="s">
        <v>913</v>
      </c>
      <c r="J10" s="50"/>
      <c r="K10" s="2729" t="s">
        <v>3120</v>
      </c>
      <c r="L10" s="50"/>
      <c r="M10" s="2729" t="s">
        <v>3114</v>
      </c>
      <c r="N10" s="50"/>
      <c r="O10" s="65"/>
      <c r="P10" s="50"/>
      <c r="Q10" s="65"/>
      <c r="R10" s="50"/>
      <c r="S10" s="65"/>
      <c r="T10" s="50"/>
      <c r="U10" s="65"/>
      <c r="V10" s="50"/>
      <c r="W10" s="65"/>
      <c r="X10" s="50"/>
      <c r="Y10" s="65"/>
      <c r="Z10" s="50"/>
      <c r="AA10" s="65"/>
      <c r="AB10" s="50"/>
      <c r="AC10" s="54"/>
      <c r="AD10" s="2190" t="s">
        <v>2303</v>
      </c>
      <c r="AE10" s="2212"/>
      <c r="AF10" s="2190" t="s">
        <v>2303</v>
      </c>
      <c r="AG10" s="2212"/>
      <c r="AH10" s="2190" t="s">
        <v>2304</v>
      </c>
      <c r="AI10" s="2212"/>
      <c r="AJ10" s="25" t="s">
        <v>2317</v>
      </c>
      <c r="AK10" s="2209"/>
      <c r="AL10" s="2190" t="s">
        <v>2305</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8" t="s">
        <v>3119</v>
      </c>
      <c r="J11" s="70"/>
      <c r="K11" s="2728" t="s">
        <v>3121</v>
      </c>
      <c r="L11" s="70"/>
      <c r="M11" s="69" t="s">
        <v>3114</v>
      </c>
      <c r="N11" s="70"/>
      <c r="O11" s="69"/>
      <c r="P11" s="70"/>
      <c r="Q11" s="69"/>
      <c r="R11" s="70"/>
      <c r="S11" s="69"/>
      <c r="T11" s="70"/>
      <c r="U11" s="69"/>
      <c r="V11" s="70"/>
      <c r="W11" s="69"/>
      <c r="X11" s="70"/>
      <c r="Y11" s="69"/>
      <c r="Z11" s="70"/>
      <c r="AA11" s="69"/>
      <c r="AB11" s="70"/>
      <c r="AC11" s="54"/>
      <c r="AD11" s="2210" t="s">
        <v>2316</v>
      </c>
      <c r="AE11" s="987"/>
      <c r="AF11" s="2210" t="s">
        <v>2316</v>
      </c>
      <c r="AG11" s="987"/>
      <c r="AH11" s="2210" t="s">
        <v>2315</v>
      </c>
      <c r="AI11" s="2211"/>
      <c r="AJ11" s="2210" t="s">
        <v>2315</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洋房</v>
      </c>
      <c r="BC12" s="78" t="str">
        <f>K11</f>
        <v>戊类库房</v>
      </c>
      <c r="BD12" s="78" t="str">
        <f>M11</f>
        <v>车库</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 r="A13" s="2722"/>
      <c r="B13" s="2722"/>
      <c r="C13" s="2722"/>
      <c r="D13" s="2723" t="s">
        <v>1668</v>
      </c>
      <c r="E13" s="26">
        <f t="shared" ref="E13:E20" si="6">IF($C$3="是",ROUND($A$3*G13/$B$3,2),ROUND($A$3*(G13-AT13)/$B$3,2))</f>
        <v>23100.27</v>
      </c>
      <c r="F13" s="80"/>
      <c r="G13" s="81">
        <f t="shared" ref="G13:G20" si="7">H13+AC13+AT13</f>
        <v>70500.493000000002</v>
      </c>
      <c r="H13" s="32">
        <f t="shared" ref="H13:H20" si="8">SUMIF(I$12:AB$12,"总值",I13:AB13)</f>
        <v>60475.493000000002</v>
      </c>
      <c r="I13" s="3312">
        <f>'多规合一4、21、24、7'!F5</f>
        <v>41490.493000000002</v>
      </c>
      <c r="J13" s="2726"/>
      <c r="K13" s="2726">
        <f>'多规合一4、21、24、7'!L5</f>
        <v>6701</v>
      </c>
      <c r="L13" s="2726"/>
      <c r="M13" s="2726">
        <f>'多规合一4、21、24、7'!N5</f>
        <v>12284</v>
      </c>
      <c r="N13" s="82"/>
      <c r="O13" s="82"/>
      <c r="P13" s="82"/>
      <c r="Q13" s="82"/>
      <c r="R13" s="82"/>
      <c r="S13" s="82"/>
      <c r="T13" s="82"/>
      <c r="U13" s="82"/>
      <c r="V13" s="82"/>
      <c r="W13" s="82"/>
      <c r="X13" s="82"/>
      <c r="Y13" s="82"/>
      <c r="Z13" s="82"/>
      <c r="AA13" s="82"/>
      <c r="AB13" s="82"/>
      <c r="AC13" s="26">
        <f t="shared" ref="AC13:AC20" si="9">SUMIF(AD$12:AS$12,"总值",AD13:AS13)</f>
        <v>2640</v>
      </c>
      <c r="AD13" s="2730">
        <f>'多规合一4、21、24、7'!H5</f>
        <v>0</v>
      </c>
      <c r="AE13" s="2730"/>
      <c r="AF13" s="2730">
        <f>'多规合一4、21、24、7'!M5</f>
        <v>540</v>
      </c>
      <c r="AG13" s="2730"/>
      <c r="AH13" s="2730"/>
      <c r="AI13" s="2730"/>
      <c r="AJ13" s="2730"/>
      <c r="AK13" s="2730"/>
      <c r="AL13" s="2730"/>
      <c r="AM13" s="2730"/>
      <c r="AN13" s="2730">
        <f>'多规合一4、21、24、7'!O5</f>
        <v>2100</v>
      </c>
      <c r="AO13" s="2730"/>
      <c r="AP13" s="2730"/>
      <c r="AQ13" s="2730"/>
      <c r="AR13" s="2730"/>
      <c r="AS13" s="2730"/>
      <c r="AT13" s="2731">
        <f>'多规合一4、21、24、7'!P5+'多规合一4、21、24、7'!J5</f>
        <v>7385</v>
      </c>
      <c r="AU13" s="2732"/>
      <c r="AV13" s="17">
        <f t="shared" ref="AV13:AX20" si="10">A13</f>
        <v>0</v>
      </c>
      <c r="AW13" s="17">
        <f t="shared" si="10"/>
        <v>0</v>
      </c>
      <c r="AX13" s="17">
        <f t="shared" si="10"/>
        <v>0</v>
      </c>
      <c r="AY13" s="981">
        <f t="shared" ref="AY13:AY20" si="11">ROUND($AY$6*AZ13/$AZ$5,2)</f>
        <v>23100.27</v>
      </c>
      <c r="AZ13" s="26">
        <f t="shared" ref="AZ13:AZ20" si="12">BA13+BL13</f>
        <v>63115.493000000002</v>
      </c>
      <c r="BA13" s="26">
        <f t="shared" ref="BA13:BA20" si="13">SUM(BB13:BK13)</f>
        <v>60475.493000000002</v>
      </c>
      <c r="BB13" s="26">
        <f t="shared" ref="BB13:BB20" si="14">IF($D13="是",I13-J13,0)</f>
        <v>41490.493000000002</v>
      </c>
      <c r="BC13" s="26">
        <f t="shared" ref="BC13:BC20" si="15">IF($D13="是",K13-L13,0)</f>
        <v>6701</v>
      </c>
      <c r="BD13" s="26">
        <f t="shared" ref="BD13:BD20" si="16">IF($D13="是",M13-N13,0)</f>
        <v>12284</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2640</v>
      </c>
      <c r="BM13" s="26">
        <f t="shared" ref="BM13:BM20" si="25">IF($D13="是",AD13-AE13,0)</f>
        <v>0</v>
      </c>
      <c r="BN13" s="26">
        <f t="shared" ref="BN13:BN20" si="26">IF($D13="是",AF13-AG13,0)</f>
        <v>540</v>
      </c>
      <c r="BO13" s="26">
        <f t="shared" ref="BO13:BO20" si="27">IF($D13="是",AH13-AI13,0)</f>
        <v>0</v>
      </c>
      <c r="BP13" s="26">
        <f t="shared" ref="BP13:BP20" si="28">IF($D13="是",AJ13-AK13,0)</f>
        <v>0</v>
      </c>
      <c r="BQ13" s="26">
        <f t="shared" ref="BQ13:BQ20" si="29">IF($D13="是",AL13-AM13,0)</f>
        <v>0</v>
      </c>
      <c r="BR13" s="26">
        <f t="shared" ref="BR13:BR20" si="30">IF($D13="是",AN13-AO13,0)</f>
        <v>2100</v>
      </c>
      <c r="BS13" s="26">
        <f t="shared" ref="BS13:BS20" si="31">IF($D13="是",AP13-AQ13,0)</f>
        <v>0</v>
      </c>
      <c r="BT13" s="35">
        <f t="shared" ref="BT13:BT20" si="32">IF($D13="是",AR13-AS13,0)</f>
        <v>0</v>
      </c>
    </row>
    <row r="14" spans="1:72" s="18" customFormat="1" ht="12.75">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93" t="s">
        <v>0</v>
      </c>
      <c r="B1" s="3493" t="s">
        <v>4</v>
      </c>
      <c r="C1" s="3493" t="s">
        <v>5</v>
      </c>
      <c r="D1" s="3494" t="s">
        <v>40</v>
      </c>
      <c r="E1" s="3494" t="s">
        <v>41</v>
      </c>
      <c r="F1" s="3494"/>
      <c r="G1" s="3494"/>
      <c r="H1" s="3494"/>
      <c r="I1" s="3494"/>
      <c r="J1" s="3494"/>
      <c r="K1" s="3494"/>
      <c r="L1" s="3494"/>
      <c r="M1" s="3494"/>
    </row>
    <row r="2" spans="1:13" ht="27" customHeight="1">
      <c r="A2" s="3493"/>
      <c r="B2" s="3493"/>
      <c r="C2" s="3493"/>
      <c r="D2" s="3494"/>
      <c r="E2" s="3494" t="s">
        <v>24</v>
      </c>
      <c r="F2" s="3494" t="s">
        <v>25</v>
      </c>
      <c r="G2" s="3494"/>
      <c r="H2" s="3494"/>
      <c r="I2" s="3494"/>
      <c r="J2" s="3494" t="s">
        <v>26</v>
      </c>
      <c r="K2" s="3494"/>
      <c r="L2" s="3494"/>
      <c r="M2" s="3494"/>
    </row>
    <row r="3" spans="1:13" ht="28.5">
      <c r="A3" s="3493"/>
      <c r="B3" s="3493"/>
      <c r="C3" s="3493"/>
      <c r="D3" s="3494"/>
      <c r="E3" s="34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4" t="s">
        <v>42</v>
      </c>
      <c r="B9" s="3494"/>
      <c r="C9" s="34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4" zoomScaleNormal="70" zoomScaleSheetLayoutView="100" workbookViewId="0">
      <selection activeCell="F14" sqref="F14"/>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202</v>
      </c>
      <c r="B1" s="1894"/>
      <c r="C1" s="1894"/>
      <c r="D1" s="1894"/>
      <c r="E1" s="1894"/>
      <c r="F1" s="1894"/>
      <c r="G1" s="1894"/>
      <c r="H1" s="1894"/>
      <c r="I1" s="1894"/>
      <c r="J1" s="1894"/>
      <c r="K1" s="1894"/>
      <c r="L1" s="1894"/>
      <c r="M1" s="1894"/>
      <c r="N1" s="1894"/>
      <c r="O1" s="1894"/>
      <c r="P1" s="1894"/>
    </row>
    <row r="2" spans="1:16" ht="15">
      <c r="A2" s="3504" t="s">
        <v>203</v>
      </c>
      <c r="B2" s="3504"/>
      <c r="C2" s="3504"/>
      <c r="D2" s="1885" t="s">
        <v>204</v>
      </c>
      <c r="E2" s="105" t="s">
        <v>205</v>
      </c>
      <c r="F2" s="3077"/>
      <c r="G2" s="1178"/>
      <c r="H2" s="1179"/>
      <c r="I2" s="1180" t="s">
        <v>848</v>
      </c>
      <c r="J2" s="3077"/>
      <c r="K2" s="3077"/>
      <c r="L2" s="3077"/>
      <c r="M2" s="3077"/>
      <c r="N2" s="3077"/>
      <c r="O2" s="3077"/>
      <c r="P2" s="3077"/>
    </row>
    <row r="3" spans="1:16" ht="15.75" thickBot="1">
      <c r="A3" s="3505" t="s">
        <v>206</v>
      </c>
      <c r="B3" s="3505"/>
      <c r="C3" s="3505"/>
      <c r="D3" s="106">
        <f>'数据-基础表'!AY6</f>
        <v>23100.27</v>
      </c>
      <c r="E3" s="106">
        <f>'数据-基础表'!AZ5</f>
        <v>63115.493000000002</v>
      </c>
      <c r="F3" s="3077"/>
      <c r="G3" s="277" t="s">
        <v>849</v>
      </c>
      <c r="H3" s="272" t="s">
        <v>850</v>
      </c>
      <c r="I3" s="1886">
        <f>ROUND('数据-基础表'!B3/'数据-基础表'!A3,2)</f>
        <v>2.73</v>
      </c>
      <c r="J3" s="3077"/>
      <c r="K3" s="3077"/>
      <c r="L3" s="3077"/>
      <c r="M3" s="3077"/>
      <c r="N3" s="3077"/>
      <c r="O3" s="3077"/>
      <c r="P3" s="3077"/>
    </row>
    <row r="4" spans="1:16" ht="15">
      <c r="A4" s="3506"/>
      <c r="B4" s="3507"/>
      <c r="C4" s="3508"/>
      <c r="D4" s="107" t="s">
        <v>204</v>
      </c>
      <c r="E4" s="108" t="s">
        <v>205</v>
      </c>
      <c r="F4" s="3077"/>
      <c r="G4" s="1181"/>
      <c r="H4" s="272" t="s">
        <v>851</v>
      </c>
      <c r="I4" s="1886">
        <f>ROUND(SUMIF('数据-基础表'!I9:AS9,"地上",'数据-基础表'!I5:AS5)/'数据-基础表'!A3,2)</f>
        <v>1.8</v>
      </c>
      <c r="J4" s="3077"/>
      <c r="K4" s="3077"/>
      <c r="L4" s="3077"/>
      <c r="M4" s="3077"/>
      <c r="N4" s="3077"/>
      <c r="O4" s="3077"/>
      <c r="P4" s="3077"/>
    </row>
    <row r="5" spans="1:16">
      <c r="A5" s="109" t="s">
        <v>207</v>
      </c>
      <c r="B5" s="3509" t="s">
        <v>230</v>
      </c>
      <c r="C5" s="3509"/>
      <c r="D5" s="110">
        <f>ROUND($D$3*E5/$E$3,2)</f>
        <v>15185.52</v>
      </c>
      <c r="E5" s="3314">
        <f>SUMIF('数据-基础表'!$11:$11,"住宅",'数据-基础表'!$5:$5)</f>
        <v>41490.493000000002</v>
      </c>
      <c r="F5" s="3077"/>
      <c r="G5" s="277" t="s">
        <v>852</v>
      </c>
      <c r="H5" s="272" t="s">
        <v>850</v>
      </c>
      <c r="I5" s="1886">
        <f>ROUND(E31/D31,2)</f>
        <v>2.73</v>
      </c>
      <c r="J5" s="3077"/>
      <c r="K5" s="3077"/>
      <c r="L5" s="3077"/>
      <c r="M5" s="3077"/>
      <c r="N5" s="3077"/>
      <c r="O5" s="3077"/>
      <c r="P5" s="3077"/>
    </row>
    <row r="6" spans="1:16" ht="15" thickBot="1">
      <c r="A6" s="112"/>
      <c r="B6" s="3509" t="s">
        <v>208</v>
      </c>
      <c r="C6" s="3509"/>
      <c r="D6" s="110">
        <f>ROUND($D$3*E6/$E$3,2)</f>
        <v>7914.75</v>
      </c>
      <c r="E6" s="3314">
        <f>E3-E5</f>
        <v>21625</v>
      </c>
      <c r="F6" s="3077"/>
      <c r="G6" s="1181"/>
      <c r="H6" s="272" t="s">
        <v>851</v>
      </c>
      <c r="I6" s="1886">
        <f>ROUND(F31/D31,2)</f>
        <v>1.8</v>
      </c>
      <c r="J6" s="3077"/>
      <c r="K6" s="3077"/>
      <c r="L6" s="3077"/>
      <c r="M6" s="3077"/>
      <c r="N6" s="3077"/>
      <c r="O6" s="3077"/>
      <c r="P6" s="3077"/>
    </row>
    <row r="7" spans="1:16" ht="15">
      <c r="A7" s="3501"/>
      <c r="B7" s="3502"/>
      <c r="C7" s="3503"/>
      <c r="D7" s="107" t="s">
        <v>204</v>
      </c>
      <c r="E7" s="113" t="s">
        <v>231</v>
      </c>
      <c r="F7" s="3077"/>
      <c r="G7" s="1136" t="s">
        <v>1635</v>
      </c>
      <c r="H7" s="1137"/>
      <c r="I7" s="1756"/>
      <c r="J7" s="3077"/>
      <c r="K7" s="3077"/>
      <c r="L7" s="3077"/>
      <c r="M7" s="3077"/>
      <c r="N7" s="3077"/>
      <c r="O7" s="3077"/>
      <c r="P7" s="3077"/>
    </row>
    <row r="8" spans="1:16">
      <c r="A8" s="109" t="s">
        <v>209</v>
      </c>
      <c r="B8" s="114" t="s">
        <v>210</v>
      </c>
      <c r="C8" s="110" t="s">
        <v>211</v>
      </c>
      <c r="D8" s="110">
        <f t="shared" ref="D8:D15" si="0">ROUND($D$3*E8/$E$3,2)</f>
        <v>15185.52</v>
      </c>
      <c r="E8" s="115">
        <f>SUMIF('数据-基础表'!BB10:BK10,"地上",'数据-基础表'!BB5:BK5)</f>
        <v>41490.493000000002</v>
      </c>
      <c r="F8" s="3077"/>
      <c r="G8" s="3078"/>
      <c r="H8" s="3078"/>
      <c r="I8" s="3077"/>
      <c r="J8" s="3077"/>
      <c r="K8" s="3077"/>
      <c r="L8" s="3077"/>
      <c r="M8" s="3077"/>
      <c r="N8" s="3077"/>
      <c r="O8" s="3077"/>
      <c r="P8" s="3077"/>
    </row>
    <row r="9" spans="1:16">
      <c r="A9" s="116"/>
      <c r="B9" s="117"/>
      <c r="C9" s="110" t="s">
        <v>212</v>
      </c>
      <c r="D9" s="110">
        <f t="shared" si="0"/>
        <v>0</v>
      </c>
      <c r="E9" s="118">
        <v>0</v>
      </c>
      <c r="F9" s="3077"/>
      <c r="G9" s="3078"/>
      <c r="H9" s="3078"/>
      <c r="I9" s="3077"/>
      <c r="J9" s="3077"/>
      <c r="K9" s="3077"/>
      <c r="L9" s="3077"/>
      <c r="M9" s="3077"/>
      <c r="N9" s="3077"/>
      <c r="O9" s="3077"/>
      <c r="P9" s="3077"/>
    </row>
    <row r="10" spans="1:16">
      <c r="A10" s="116"/>
      <c r="B10" s="117"/>
      <c r="C10" s="110" t="s">
        <v>213</v>
      </c>
      <c r="D10" s="110">
        <f t="shared" si="0"/>
        <v>0</v>
      </c>
      <c r="E10" s="115">
        <f>SUMPRODUCT(('数据-基础表'!BB10:BK10="地下")*('数据-基础表'!BB11:BK11="商业")*('数据-基础表'!BB5:BK5))</f>
        <v>0</v>
      </c>
      <c r="F10" s="3077"/>
      <c r="G10" s="3078"/>
      <c r="H10" s="3078"/>
      <c r="I10" s="3077"/>
      <c r="J10" s="3077"/>
      <c r="K10" s="3077"/>
      <c r="L10" s="3077"/>
      <c r="M10" s="3077"/>
      <c r="N10" s="3077"/>
      <c r="O10" s="3077"/>
      <c r="P10" s="3077"/>
    </row>
    <row r="11" spans="1:16">
      <c r="A11" s="116"/>
      <c r="B11" s="117"/>
      <c r="C11" s="2207" t="s">
        <v>2313</v>
      </c>
      <c r="D11" s="110">
        <f t="shared" si="0"/>
        <v>0</v>
      </c>
      <c r="E11" s="115">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6"/>
      <c r="B12" s="117"/>
      <c r="C12" s="110" t="s">
        <v>214</v>
      </c>
      <c r="D12" s="110">
        <f t="shared" si="0"/>
        <v>2452.5700000000002</v>
      </c>
      <c r="E12" s="115">
        <f>SUMPRODUCT(('数据-基础表'!BB10:BK10="地下")*('数据-基础表'!BB11:BK11="仓储")*('数据-基础表'!BB5:BK5))</f>
        <v>6701</v>
      </c>
      <c r="F12" s="3077"/>
      <c r="G12" s="3078"/>
      <c r="H12" s="3078"/>
      <c r="I12" s="3077"/>
      <c r="J12" s="3077"/>
      <c r="K12" s="3077"/>
      <c r="L12" s="3077"/>
      <c r="M12" s="3077"/>
      <c r="N12" s="3077"/>
      <c r="O12" s="3077"/>
      <c r="P12" s="3077"/>
    </row>
    <row r="13" spans="1:16">
      <c r="A13" s="116"/>
      <c r="B13" s="117"/>
      <c r="C13" s="2207" t="s">
        <v>2320</v>
      </c>
      <c r="D13" s="110">
        <f t="shared" si="0"/>
        <v>4495.9399999999996</v>
      </c>
      <c r="E13" s="115">
        <f>SUMPRODUCT(('数据-基础表'!BB10:BK10="地下")*('数据-基础表'!BB11:BK11="车库")*('数据-基础表'!BB5:BK5))</f>
        <v>12284</v>
      </c>
      <c r="F13" s="3077"/>
      <c r="G13" s="3078"/>
      <c r="H13" s="3078"/>
      <c r="I13" s="3077"/>
      <c r="J13" s="3077"/>
      <c r="K13" s="3077"/>
      <c r="L13" s="3077"/>
      <c r="M13" s="3077"/>
      <c r="N13" s="3077"/>
      <c r="O13" s="3077"/>
      <c r="P13" s="3077"/>
    </row>
    <row r="14" spans="1:16">
      <c r="A14" s="116"/>
      <c r="B14" s="117"/>
      <c r="C14" s="110" t="s">
        <v>232</v>
      </c>
      <c r="D14" s="110">
        <f t="shared" si="0"/>
        <v>0</v>
      </c>
      <c r="E14" s="115">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6"/>
      <c r="B15" s="117"/>
      <c r="C15" s="110" t="s">
        <v>233</v>
      </c>
      <c r="D15" s="110">
        <f t="shared" si="0"/>
        <v>0</v>
      </c>
      <c r="E15" s="115">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2"/>
      <c r="B16" s="117"/>
      <c r="C16" s="114" t="s">
        <v>215</v>
      </c>
      <c r="D16" s="114">
        <f>SUM(D8:D15)</f>
        <v>22134.03</v>
      </c>
      <c r="E16" s="119">
        <f>SUM(E8:E15)</f>
        <v>60475.493000000002</v>
      </c>
      <c r="F16" s="3077"/>
      <c r="G16" s="3078"/>
      <c r="H16" s="953" t="s">
        <v>219</v>
      </c>
      <c r="I16" s="954"/>
      <c r="J16" s="1894"/>
      <c r="K16" s="3495" t="s">
        <v>2545</v>
      </c>
      <c r="L16" s="3496"/>
      <c r="M16" s="3496"/>
      <c r="N16" s="3496"/>
      <c r="O16" s="3496"/>
      <c r="P16" s="3497"/>
    </row>
    <row r="17" spans="1:19" ht="15">
      <c r="A17" s="120" t="s">
        <v>216</v>
      </c>
      <c r="B17" s="121" t="s">
        <v>217</v>
      </c>
      <c r="C17" s="2174" t="s">
        <v>2299</v>
      </c>
      <c r="D17" s="107" t="s">
        <v>204</v>
      </c>
      <c r="E17" s="123" t="s">
        <v>205</v>
      </c>
      <c r="F17" s="124"/>
      <c r="G17" s="1316"/>
      <c r="H17" s="955" t="s">
        <v>218</v>
      </c>
      <c r="I17" s="956" t="s">
        <v>2298</v>
      </c>
      <c r="J17" s="1894"/>
      <c r="K17" s="3498" t="s">
        <v>2546</v>
      </c>
      <c r="L17" s="3499"/>
      <c r="M17" s="3500"/>
      <c r="N17" s="3498" t="s">
        <v>2547</v>
      </c>
      <c r="O17" s="3499"/>
      <c r="P17" s="3500"/>
      <c r="R17" s="2175" t="s">
        <v>2297</v>
      </c>
      <c r="S17" s="141"/>
    </row>
    <row r="18" spans="1:19" ht="15">
      <c r="A18" s="116"/>
      <c r="B18" s="127"/>
      <c r="C18" s="128"/>
      <c r="D18" s="2480"/>
      <c r="E18" s="129" t="s">
        <v>220</v>
      </c>
      <c r="F18" s="130" t="s">
        <v>221</v>
      </c>
      <c r="G18" s="1317" t="s">
        <v>222</v>
      </c>
      <c r="H18" s="957" t="s">
        <v>223</v>
      </c>
      <c r="I18" s="958" t="s">
        <v>224</v>
      </c>
      <c r="J18" s="1894"/>
      <c r="K18" s="2445" t="s">
        <v>2548</v>
      </c>
      <c r="L18" s="2446" t="s">
        <v>2549</v>
      </c>
      <c r="M18" s="2447" t="s">
        <v>2550</v>
      </c>
      <c r="N18" s="2445" t="s">
        <v>2548</v>
      </c>
      <c r="O18" s="2446" t="s">
        <v>2549</v>
      </c>
      <c r="P18" s="2447" t="s">
        <v>2550</v>
      </c>
      <c r="R18" s="2176" t="s">
        <v>2295</v>
      </c>
      <c r="S18" s="2176" t="s">
        <v>2296</v>
      </c>
    </row>
    <row r="19" spans="1:19">
      <c r="A19" s="132"/>
      <c r="B19" s="114" t="s">
        <v>225</v>
      </c>
      <c r="C19" s="2733" t="s">
        <v>3391</v>
      </c>
      <c r="D19" s="110">
        <f t="shared" ref="D19:D26" si="1">ROUND($D$3*E19/$E$3,2)</f>
        <v>15185.52</v>
      </c>
      <c r="E19" s="133">
        <f t="shared" ref="E19:E26" si="2">SUM(F19:G19)</f>
        <v>41490.493000000002</v>
      </c>
      <c r="F19" s="3079">
        <f>'数据-基础表'!I13</f>
        <v>41490.493000000002</v>
      </c>
      <c r="G19" s="3080"/>
      <c r="H19" s="959">
        <f>ROUND($D$3*I19/$E$3,2)</f>
        <v>724.95</v>
      </c>
      <c r="I19" s="115">
        <f>IF($I$17="自定义",P19,M19)</f>
        <v>1980.75</v>
      </c>
      <c r="J19" s="1894"/>
      <c r="K19" s="2448">
        <f t="shared" ref="K19:K26" si="3">ROUND(E$28*E19/E$27,2)</f>
        <v>1440.75</v>
      </c>
      <c r="L19" s="272">
        <f t="shared" ref="L19:L26" si="4">ROUND(IF(COUNTIF(C19,"*住宅*")&gt;0,E$29*E19/E$32,0),2)</f>
        <v>540</v>
      </c>
      <c r="M19" s="2449">
        <f>K19+L19</f>
        <v>1980.75</v>
      </c>
      <c r="N19" s="2450"/>
      <c r="O19" s="2451"/>
      <c r="P19" s="2452">
        <f>N19+O19</f>
        <v>0</v>
      </c>
      <c r="R19" s="272">
        <f t="shared" ref="R19:S26" si="5">D19+H19</f>
        <v>15910.470000000001</v>
      </c>
      <c r="S19" s="2177">
        <f t="shared" si="5"/>
        <v>43471.243000000002</v>
      </c>
    </row>
    <row r="20" spans="1:19">
      <c r="A20" s="136"/>
      <c r="B20" s="114" t="s">
        <v>226</v>
      </c>
      <c r="C20" s="2733" t="s">
        <v>3122</v>
      </c>
      <c r="D20" s="110">
        <f t="shared" si="1"/>
        <v>2452.5700000000002</v>
      </c>
      <c r="E20" s="133">
        <f t="shared" si="2"/>
        <v>6701</v>
      </c>
      <c r="F20" s="3079"/>
      <c r="G20" s="3080">
        <f>'数据-基础表'!K13</f>
        <v>6701</v>
      </c>
      <c r="H20" s="959">
        <f t="shared" ref="H20:H26" si="6">ROUND($D$3*I20/$E$3,2)</f>
        <v>85.16</v>
      </c>
      <c r="I20" s="115">
        <f t="shared" ref="I20:I26" si="7">IF($I$17="自定义",P20,M20)</f>
        <v>232.69</v>
      </c>
      <c r="J20" s="1894"/>
      <c r="K20" s="2448">
        <f t="shared" si="3"/>
        <v>232.69</v>
      </c>
      <c r="L20" s="272">
        <f t="shared" si="4"/>
        <v>0</v>
      </c>
      <c r="M20" s="2449">
        <f t="shared" ref="M20:M26" si="8">K20+L20</f>
        <v>232.69</v>
      </c>
      <c r="N20" s="2450"/>
      <c r="O20" s="2451"/>
      <c r="P20" s="2452">
        <f t="shared" ref="P20:P26" si="9">N20+O20</f>
        <v>0</v>
      </c>
      <c r="R20" s="272">
        <f t="shared" si="5"/>
        <v>2537.73</v>
      </c>
      <c r="S20" s="2177">
        <f t="shared" si="5"/>
        <v>6933.69</v>
      </c>
    </row>
    <row r="21" spans="1:19">
      <c r="A21" s="136"/>
      <c r="B21" s="114" t="s">
        <v>226</v>
      </c>
      <c r="C21" s="2733" t="s">
        <v>3123</v>
      </c>
      <c r="D21" s="110">
        <f t="shared" si="1"/>
        <v>4495.9399999999996</v>
      </c>
      <c r="E21" s="133">
        <f t="shared" si="2"/>
        <v>12284</v>
      </c>
      <c r="F21" s="3079"/>
      <c r="G21" s="3080">
        <f>'数据-基础表'!M13</f>
        <v>12284</v>
      </c>
      <c r="H21" s="959">
        <f t="shared" si="6"/>
        <v>156.12</v>
      </c>
      <c r="I21" s="115">
        <f t="shared" si="7"/>
        <v>426.56</v>
      </c>
      <c r="J21" s="1894"/>
      <c r="K21" s="2448">
        <f t="shared" si="3"/>
        <v>426.56</v>
      </c>
      <c r="L21" s="272">
        <f t="shared" si="4"/>
        <v>0</v>
      </c>
      <c r="M21" s="2449">
        <f t="shared" si="8"/>
        <v>426.56</v>
      </c>
      <c r="N21" s="2450"/>
      <c r="O21" s="2451"/>
      <c r="P21" s="2452">
        <f t="shared" si="9"/>
        <v>0</v>
      </c>
      <c r="R21" s="272">
        <f t="shared" si="5"/>
        <v>4652.0599999999995</v>
      </c>
      <c r="S21" s="2177">
        <f t="shared" si="5"/>
        <v>12710.56</v>
      </c>
    </row>
    <row r="22" spans="1:19">
      <c r="A22" s="136"/>
      <c r="B22" s="114" t="s">
        <v>226</v>
      </c>
      <c r="C22" s="1315"/>
      <c r="D22" s="110">
        <f t="shared" si="1"/>
        <v>0</v>
      </c>
      <c r="E22" s="133">
        <f t="shared" si="2"/>
        <v>0</v>
      </c>
      <c r="F22" s="3081"/>
      <c r="G22" s="3082"/>
      <c r="H22" s="959">
        <f t="shared" si="6"/>
        <v>0</v>
      </c>
      <c r="I22" s="115">
        <f t="shared" si="7"/>
        <v>0</v>
      </c>
      <c r="J22" s="1894"/>
      <c r="K22" s="2448">
        <f t="shared" si="3"/>
        <v>0</v>
      </c>
      <c r="L22" s="272">
        <f t="shared" si="4"/>
        <v>0</v>
      </c>
      <c r="M22" s="2449">
        <f t="shared" si="8"/>
        <v>0</v>
      </c>
      <c r="N22" s="2450"/>
      <c r="O22" s="2451"/>
      <c r="P22" s="2452">
        <f t="shared" si="9"/>
        <v>0</v>
      </c>
      <c r="R22" s="272">
        <f t="shared" si="5"/>
        <v>0</v>
      </c>
      <c r="S22" s="2177">
        <f t="shared" si="5"/>
        <v>0</v>
      </c>
    </row>
    <row r="23" spans="1:19">
      <c r="A23" s="136"/>
      <c r="B23" s="114" t="s">
        <v>226</v>
      </c>
      <c r="C23" s="137"/>
      <c r="D23" s="110">
        <f>ROUND($D$3*E23/$E$3,2)</f>
        <v>0</v>
      </c>
      <c r="E23" s="133">
        <f>SUM(F23:G23)</f>
        <v>0</v>
      </c>
      <c r="F23" s="3081"/>
      <c r="G23" s="3082"/>
      <c r="H23" s="959">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226</v>
      </c>
      <c r="C24" s="137"/>
      <c r="D24" s="110">
        <f>ROUND($D$3*E24/$E$3,2)</f>
        <v>0</v>
      </c>
      <c r="E24" s="133">
        <f>SUM(F24:G24)</f>
        <v>0</v>
      </c>
      <c r="F24" s="3081"/>
      <c r="G24" s="3082"/>
      <c r="H24" s="959">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226</v>
      </c>
      <c r="C25" s="137"/>
      <c r="D25" s="110">
        <f t="shared" si="1"/>
        <v>0</v>
      </c>
      <c r="E25" s="133">
        <f t="shared" si="2"/>
        <v>0</v>
      </c>
      <c r="F25" s="3081"/>
      <c r="G25" s="3082"/>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226</v>
      </c>
      <c r="C26" s="139"/>
      <c r="D26" s="110">
        <f t="shared" si="1"/>
        <v>0</v>
      </c>
      <c r="E26" s="133">
        <f t="shared" si="2"/>
        <v>0</v>
      </c>
      <c r="F26" s="3081"/>
      <c r="G26" s="3082"/>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29.25" thickBot="1">
      <c r="A27" s="136"/>
      <c r="B27" s="110"/>
      <c r="C27" s="126" t="s">
        <v>215</v>
      </c>
      <c r="D27" s="133">
        <f>SUM(D19:D26)</f>
        <v>22134.03</v>
      </c>
      <c r="E27" s="140">
        <f>IF(SUM(E19:E26)='数据-基础表'!BA5,SUM(E19:E26),IF(F27="地上面积有误","面积有误","地下面积有误"))</f>
        <v>60475.493000000002</v>
      </c>
      <c r="F27" s="133">
        <f>IF(SUM(F19:F26)=E8,SUM(F19:F26),"地上面积有误")</f>
        <v>41490.493000000002</v>
      </c>
      <c r="G27" s="111">
        <f>SUM(G19:G26)</f>
        <v>18985</v>
      </c>
      <c r="H27" s="960">
        <f>SUM(H19:H26)</f>
        <v>966.23</v>
      </c>
      <c r="I27" s="961">
        <f>SUM(I19:I26)</f>
        <v>2640</v>
      </c>
      <c r="J27" s="1894"/>
      <c r="K27" s="2457">
        <f>SUM(K19:K26)</f>
        <v>2100</v>
      </c>
      <c r="L27" s="2458">
        <f>SUM(L19:L26)</f>
        <v>540</v>
      </c>
      <c r="M27" s="2459">
        <f>SUM(M19:M26)</f>
        <v>2640</v>
      </c>
      <c r="N27" s="2457">
        <f t="shared" ref="N27:O27" si="10">SUM(N19:N26)</f>
        <v>0</v>
      </c>
      <c r="O27" s="2458">
        <f t="shared" si="10"/>
        <v>0</v>
      </c>
      <c r="P27" s="2460">
        <f>SUM(P19:P26)</f>
        <v>0</v>
      </c>
      <c r="R27" s="2181" t="str">
        <f>IF(SUM(R19:R26)=$D$3,SUM(R19:R26),SUM(R19:R26)&amp;"误差"&amp;ROUND(SUM(R19:R26)-$D$3,2))</f>
        <v>23100.26误差-0.01</v>
      </c>
      <c r="S27" s="272">
        <f>IF(SUM(S19:S26)=$E$3,SUM(S19:S26),SUM(S19:S26)&amp;"误差"&amp;ROUND(SUM(S19:S26)-E3,2))</f>
        <v>63115.493000000002</v>
      </c>
    </row>
    <row r="28" spans="1:19">
      <c r="A28" s="136"/>
      <c r="B28" s="114" t="s">
        <v>227</v>
      </c>
      <c r="C28" s="134" t="s">
        <v>228</v>
      </c>
      <c r="D28" s="110">
        <f>ROUND($D$3*E28/$E$3,2)</f>
        <v>768.6</v>
      </c>
      <c r="E28" s="133">
        <f>SUM(F28:G28)</f>
        <v>2100</v>
      </c>
      <c r="F28" s="141">
        <f>'数据-基础表'!BQ5+'数据-基础表'!BS5</f>
        <v>0</v>
      </c>
      <c r="G28" s="142">
        <f>'数据-基础表'!BR5+'数据-基础表'!BT5</f>
        <v>2100</v>
      </c>
      <c r="H28" s="3077"/>
      <c r="I28" s="3077"/>
      <c r="J28" s="3077"/>
      <c r="K28" s="3077"/>
      <c r="L28" s="3077"/>
      <c r="M28" s="3077"/>
      <c r="N28" s="3077"/>
      <c r="O28" s="3077"/>
      <c r="P28" s="3077"/>
    </row>
    <row r="29" spans="1:19">
      <c r="A29" s="136"/>
      <c r="B29" s="114" t="s">
        <v>227</v>
      </c>
      <c r="C29" s="2189" t="s">
        <v>2306</v>
      </c>
      <c r="D29" s="110">
        <f>ROUND($D$3*E29/$E$3,2)</f>
        <v>197.64</v>
      </c>
      <c r="E29" s="133">
        <f>SUM(F29:G29)</f>
        <v>540</v>
      </c>
      <c r="F29" s="141">
        <f>'数据-基础表'!BM5+'数据-基础表'!BO5</f>
        <v>0</v>
      </c>
      <c r="G29" s="143">
        <f>'数据-基础表'!BN5+'数据-基础表'!BP5</f>
        <v>540</v>
      </c>
      <c r="H29" s="3077"/>
      <c r="I29" s="3077"/>
      <c r="J29" s="3077"/>
      <c r="K29" s="3077"/>
      <c r="L29" s="3077"/>
      <c r="M29" s="3077"/>
      <c r="N29" s="3077"/>
      <c r="O29" s="3077"/>
      <c r="P29" s="3077"/>
    </row>
    <row r="30" spans="1:19">
      <c r="A30" s="136"/>
      <c r="B30" s="110"/>
      <c r="C30" s="144" t="s">
        <v>215</v>
      </c>
      <c r="D30" s="133">
        <f>SUM(D28:D29)</f>
        <v>966.24</v>
      </c>
      <c r="E30" s="133">
        <f>SUM(E28:E29)</f>
        <v>2640</v>
      </c>
      <c r="F30" s="133">
        <f>SUM(F28:F29)</f>
        <v>0</v>
      </c>
      <c r="G30" s="111">
        <f>SUM(G28:G29)</f>
        <v>2640</v>
      </c>
      <c r="H30" s="3077"/>
      <c r="I30" s="3077"/>
      <c r="J30" s="3077"/>
      <c r="K30" s="3077"/>
      <c r="L30" s="3077"/>
      <c r="M30" s="3077"/>
      <c r="N30" s="3077"/>
      <c r="O30" s="3077"/>
      <c r="P30" s="3077"/>
    </row>
    <row r="31" spans="1:19" ht="32.25" customHeight="1" thickBot="1">
      <c r="A31" s="1318"/>
      <c r="B31" s="1319" t="s">
        <v>229</v>
      </c>
      <c r="C31" s="2206" t="s">
        <v>2308</v>
      </c>
      <c r="D31" s="1320">
        <f>D27+D30</f>
        <v>23100.27</v>
      </c>
      <c r="E31" s="1320">
        <f>E27+E30</f>
        <v>63115.493000000002</v>
      </c>
      <c r="F31" s="1321">
        <f>F27+F30</f>
        <v>41490.493000000002</v>
      </c>
      <c r="G31" s="1322">
        <f>G27+G30</f>
        <v>21625</v>
      </c>
      <c r="H31" s="3077"/>
      <c r="I31" s="3077"/>
      <c r="J31" s="3077"/>
      <c r="K31" s="3077"/>
      <c r="L31" s="3077"/>
      <c r="M31" s="3077"/>
      <c r="N31" s="3077"/>
      <c r="O31" s="3077"/>
      <c r="P31" s="3077"/>
    </row>
    <row r="32" spans="1:19">
      <c r="A32" s="1894"/>
      <c r="B32" s="2218" t="s">
        <v>2307</v>
      </c>
      <c r="C32" s="2485"/>
      <c r="D32" s="1181"/>
      <c r="E32" s="1181">
        <f>SUMIF(C19:C26,"*住宅*",E19:E26)</f>
        <v>41490.493000000002</v>
      </c>
      <c r="F32" s="1181"/>
      <c r="G32" s="1181"/>
      <c r="H32" s="3077"/>
      <c r="I32" s="3077"/>
      <c r="J32" s="3077"/>
      <c r="K32" s="3077"/>
      <c r="L32" s="3077"/>
      <c r="M32" s="3077"/>
      <c r="N32" s="3077"/>
      <c r="O32" s="3077"/>
      <c r="P32" s="3077"/>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55AF-C08A-498D-ACED-70743DAF56A2}">
  <dimension ref="A2:Q64"/>
  <sheetViews>
    <sheetView topLeftCell="A32" workbookViewId="0">
      <selection activeCell="A52" sqref="A52:A58"/>
    </sheetView>
  </sheetViews>
  <sheetFormatPr defaultRowHeight="13.5"/>
  <cols>
    <col min="1" max="1" width="6.125" customWidth="1"/>
    <col min="2" max="2" width="7.125" customWidth="1"/>
    <col min="3" max="3" width="19.875" customWidth="1"/>
    <col min="4" max="4" width="12.75" customWidth="1"/>
    <col min="5" max="5" width="13.125" customWidth="1"/>
    <col min="6" max="6" width="12" customWidth="1"/>
  </cols>
  <sheetData>
    <row r="2" spans="1:17" ht="38.25">
      <c r="A2" s="3514" t="s">
        <v>3385</v>
      </c>
      <c r="B2" s="3515" t="s">
        <v>3381</v>
      </c>
      <c r="C2" s="3516" t="s">
        <v>3382</v>
      </c>
      <c r="D2" s="3513" t="s">
        <v>3386</v>
      </c>
      <c r="E2" s="3513"/>
      <c r="F2" s="3513"/>
      <c r="I2" s="3401" t="s">
        <v>3010</v>
      </c>
      <c r="J2" s="3402" t="s">
        <v>3405</v>
      </c>
      <c r="K2" s="3402" t="s">
        <v>3399</v>
      </c>
      <c r="L2" s="3402" t="s">
        <v>3400</v>
      </c>
      <c r="M2" s="3402" t="s">
        <v>3401</v>
      </c>
      <c r="N2" s="3402" t="s">
        <v>2824</v>
      </c>
      <c r="O2" s="3402" t="s">
        <v>3432</v>
      </c>
    </row>
    <row r="3" spans="1:17" ht="13.5" customHeight="1">
      <c r="A3" s="3514"/>
      <c r="B3" s="3515"/>
      <c r="C3" s="3516"/>
      <c r="D3" s="3382" t="s">
        <v>24</v>
      </c>
      <c r="E3" s="3383" t="s">
        <v>3055</v>
      </c>
      <c r="F3" s="3383" t="s">
        <v>3056</v>
      </c>
      <c r="I3" s="3520">
        <v>1</v>
      </c>
      <c r="J3" s="3524" t="s">
        <v>3404</v>
      </c>
      <c r="K3" s="3402" t="s">
        <v>3402</v>
      </c>
      <c r="L3" s="3403">
        <f ca="1">结果表!C19</f>
        <v>104467</v>
      </c>
      <c r="M3" s="3404">
        <v>0.5</v>
      </c>
      <c r="N3" s="3524">
        <f ca="1">系统读取表!D14</f>
        <v>110751</v>
      </c>
      <c r="O3" s="3524">
        <f ca="1">系统读取表!G14</f>
        <v>110751</v>
      </c>
    </row>
    <row r="4" spans="1:17">
      <c r="A4" s="3514"/>
      <c r="B4" s="3383" t="s">
        <v>3383</v>
      </c>
      <c r="C4" s="3384" t="s">
        <v>3119</v>
      </c>
      <c r="D4" s="3385">
        <v>36978.769</v>
      </c>
      <c r="E4" s="3386">
        <v>36978.769</v>
      </c>
      <c r="F4" s="3386">
        <v>0</v>
      </c>
      <c r="I4" s="3520"/>
      <c r="J4" s="3524"/>
      <c r="K4" s="3402" t="s">
        <v>3403</v>
      </c>
      <c r="L4" s="3403">
        <f ca="1">结果表!D19</f>
        <v>117035</v>
      </c>
      <c r="M4" s="3404">
        <v>0.5</v>
      </c>
      <c r="N4" s="3524"/>
      <c r="O4" s="3524"/>
    </row>
    <row r="5" spans="1:17">
      <c r="A5" s="3514"/>
      <c r="B5" s="3383" t="s">
        <v>3383</v>
      </c>
      <c r="C5" s="3384" t="s">
        <v>3115</v>
      </c>
      <c r="D5" s="3387">
        <v>5122</v>
      </c>
      <c r="E5" s="3386">
        <v>0</v>
      </c>
      <c r="F5" s="3386">
        <v>5122</v>
      </c>
      <c r="I5" s="3520">
        <v>2</v>
      </c>
      <c r="J5" s="3523" t="s">
        <v>3022</v>
      </c>
      <c r="K5" s="3402" t="s">
        <v>3402</v>
      </c>
      <c r="L5" s="3405">
        <v>104467</v>
      </c>
      <c r="M5" s="3404">
        <v>0.5</v>
      </c>
      <c r="N5" s="3524">
        <f>系统读取表!D15</f>
        <v>0</v>
      </c>
      <c r="O5" s="3524">
        <f>系统读取表!G15</f>
        <v>0</v>
      </c>
      <c r="Q5">
        <f>(L5*M5+L6*M6)-N5</f>
        <v>111900</v>
      </c>
    </row>
    <row r="6" spans="1:17">
      <c r="A6" s="3514"/>
      <c r="B6" s="3383" t="s">
        <v>3383</v>
      </c>
      <c r="C6" s="3384" t="s">
        <v>35</v>
      </c>
      <c r="D6" s="3387">
        <v>9165</v>
      </c>
      <c r="E6" s="3386">
        <v>0</v>
      </c>
      <c r="F6" s="3386">
        <v>9165</v>
      </c>
      <c r="I6" s="3520"/>
      <c r="J6" s="3520"/>
      <c r="K6" s="3402" t="s">
        <v>3403</v>
      </c>
      <c r="L6" s="3405">
        <v>119333</v>
      </c>
      <c r="M6" s="3404">
        <v>0.5</v>
      </c>
      <c r="N6" s="3524"/>
      <c r="O6" s="3524"/>
    </row>
    <row r="7" spans="1:17">
      <c r="A7" s="3514"/>
      <c r="B7" s="3515" t="s">
        <v>27</v>
      </c>
      <c r="C7" s="3515"/>
      <c r="D7" s="3385">
        <v>51265.769</v>
      </c>
      <c r="E7" s="3385">
        <v>36978.769</v>
      </c>
      <c r="F7" s="3387">
        <v>14287</v>
      </c>
      <c r="I7" s="3520">
        <v>3</v>
      </c>
      <c r="J7" s="3523" t="s">
        <v>3389</v>
      </c>
      <c r="K7" s="3402" t="s">
        <v>3402</v>
      </c>
      <c r="L7" s="3405">
        <f>[1]结果表!$C$19</f>
        <v>38451</v>
      </c>
      <c r="M7" s="3404">
        <v>0.5</v>
      </c>
      <c r="N7" s="3524">
        <f>系统读取表!D16</f>
        <v>0</v>
      </c>
      <c r="O7" s="3524">
        <f>系统读取表!G16</f>
        <v>0</v>
      </c>
      <c r="Q7">
        <f>(L7*M7+L8*M8)-N7</f>
        <v>40842</v>
      </c>
    </row>
    <row r="8" spans="1:17">
      <c r="A8" s="3514"/>
      <c r="B8" s="3383" t="s">
        <v>1669</v>
      </c>
      <c r="C8" s="3383" t="s">
        <v>2300</v>
      </c>
      <c r="D8" s="3387">
        <v>1342</v>
      </c>
      <c r="E8" s="3383">
        <v>35</v>
      </c>
      <c r="F8" s="3383">
        <v>1307</v>
      </c>
      <c r="I8" s="3520"/>
      <c r="J8" s="3520"/>
      <c r="K8" s="3402" t="s">
        <v>3403</v>
      </c>
      <c r="L8" s="3405">
        <f>[1]结果表!$D$19</f>
        <v>43233</v>
      </c>
      <c r="M8" s="3404">
        <v>0.5</v>
      </c>
      <c r="N8" s="3524"/>
      <c r="O8" s="3524"/>
    </row>
    <row r="9" spans="1:17">
      <c r="A9" s="3514"/>
      <c r="B9" s="3383" t="s">
        <v>1669</v>
      </c>
      <c r="C9" s="3388" t="s">
        <v>3384</v>
      </c>
      <c r="D9" s="3387">
        <v>1540</v>
      </c>
      <c r="E9" s="3383">
        <v>734</v>
      </c>
      <c r="F9" s="3383">
        <v>806</v>
      </c>
      <c r="I9" s="3520">
        <v>4</v>
      </c>
      <c r="J9" s="3523" t="s">
        <v>3024</v>
      </c>
      <c r="K9" s="3402" t="s">
        <v>3402</v>
      </c>
      <c r="L9" s="3405">
        <f>[2]结果表!$C$19</f>
        <v>71789</v>
      </c>
      <c r="M9" s="3404">
        <v>0.5</v>
      </c>
      <c r="N9" s="3524">
        <f>系统读取表!D17</f>
        <v>0</v>
      </c>
      <c r="O9" s="3524">
        <f>系统读取表!G17</f>
        <v>0</v>
      </c>
      <c r="Q9">
        <f>(L9*M9+L10*M10)-N9</f>
        <v>76026</v>
      </c>
    </row>
    <row r="10" spans="1:17">
      <c r="A10" s="3514"/>
      <c r="B10" s="3515" t="s">
        <v>27</v>
      </c>
      <c r="C10" s="3515"/>
      <c r="D10" s="3387">
        <v>2882</v>
      </c>
      <c r="E10" s="3387">
        <v>769</v>
      </c>
      <c r="F10" s="3387">
        <v>2113</v>
      </c>
      <c r="I10" s="3520"/>
      <c r="J10" s="3520"/>
      <c r="K10" s="3402" t="s">
        <v>3403</v>
      </c>
      <c r="L10" s="3405">
        <f>[2]结果表!$D$19</f>
        <v>80263</v>
      </c>
      <c r="M10" s="3404">
        <v>0.5</v>
      </c>
      <c r="N10" s="3524"/>
      <c r="O10" s="3524"/>
    </row>
    <row r="11" spans="1:17">
      <c r="A11" s="3514"/>
      <c r="B11" s="3517" t="s">
        <v>3388</v>
      </c>
      <c r="C11" s="3517"/>
      <c r="D11" s="3395">
        <v>54147.769</v>
      </c>
      <c r="E11" s="3395">
        <v>37747.769</v>
      </c>
      <c r="F11" s="3396">
        <v>16400</v>
      </c>
      <c r="I11" s="3520">
        <v>5</v>
      </c>
      <c r="J11" s="3523" t="s">
        <v>3025</v>
      </c>
      <c r="K11" s="3402" t="s">
        <v>3402</v>
      </c>
      <c r="L11" s="3405">
        <f>[3]结果表!$C$19</f>
        <v>78329</v>
      </c>
      <c r="M11" s="3404">
        <v>0.5</v>
      </c>
      <c r="N11" s="3524">
        <f>系统读取表!D18</f>
        <v>82909</v>
      </c>
      <c r="O11" s="3524">
        <f>系统读取表!G18</f>
        <v>82909</v>
      </c>
      <c r="Q11">
        <f>(L11*M11+L12*M12)-N11</f>
        <v>0</v>
      </c>
    </row>
    <row r="12" spans="1:17" s="3350" customFormat="1">
      <c r="A12" s="3510" t="s">
        <v>3387</v>
      </c>
      <c r="B12" s="3389" t="s">
        <v>3383</v>
      </c>
      <c r="C12" s="3390" t="s">
        <v>3119</v>
      </c>
      <c r="D12" s="3391">
        <v>41490.493000000002</v>
      </c>
      <c r="E12" s="3392">
        <v>41490.493000000002</v>
      </c>
      <c r="F12" s="3392">
        <v>0</v>
      </c>
      <c r="I12" s="3520"/>
      <c r="J12" s="3523"/>
      <c r="K12" s="3402" t="s">
        <v>3403</v>
      </c>
      <c r="L12" s="3406">
        <f>[3]结果表!$D$19</f>
        <v>87489</v>
      </c>
      <c r="M12" s="3404">
        <v>0.5</v>
      </c>
      <c r="N12" s="3524"/>
      <c r="O12" s="3524"/>
    </row>
    <row r="13" spans="1:17" s="3350" customFormat="1">
      <c r="A13" s="3510"/>
      <c r="B13" s="3389" t="s">
        <v>3383</v>
      </c>
      <c r="C13" s="3390" t="s">
        <v>3115</v>
      </c>
      <c r="D13" s="3393">
        <v>6701</v>
      </c>
      <c r="E13" s="3392">
        <v>0</v>
      </c>
      <c r="F13" s="3392">
        <v>6701</v>
      </c>
      <c r="I13" s="3520">
        <v>6</v>
      </c>
      <c r="J13" s="3523" t="s">
        <v>3026</v>
      </c>
      <c r="K13" s="3402" t="s">
        <v>3402</v>
      </c>
      <c r="L13" s="3406">
        <f>[4]结果表!$C$19</f>
        <v>38690</v>
      </c>
      <c r="M13" s="3404">
        <v>0.5</v>
      </c>
      <c r="N13" s="3524">
        <f>系统读取表!D19</f>
        <v>0</v>
      </c>
      <c r="O13" s="3524">
        <f>系统读取表!G19</f>
        <v>0</v>
      </c>
      <c r="Q13">
        <f>(L13*M13+L14*M14)-N13</f>
        <v>41010.5</v>
      </c>
    </row>
    <row r="14" spans="1:17" s="3350" customFormat="1">
      <c r="A14" s="3510"/>
      <c r="B14" s="3389" t="s">
        <v>3383</v>
      </c>
      <c r="C14" s="3390" t="s">
        <v>35</v>
      </c>
      <c r="D14" s="3393">
        <v>12284</v>
      </c>
      <c r="E14" s="3392">
        <v>0</v>
      </c>
      <c r="F14" s="3392">
        <v>12284</v>
      </c>
      <c r="I14" s="3520"/>
      <c r="J14" s="3520"/>
      <c r="K14" s="3402" t="s">
        <v>3403</v>
      </c>
      <c r="L14" s="3406">
        <f>[4]结果表!$D$19</f>
        <v>43331</v>
      </c>
      <c r="M14" s="3404">
        <v>0.5</v>
      </c>
      <c r="N14" s="3524"/>
      <c r="O14" s="3524"/>
    </row>
    <row r="15" spans="1:17" s="3350" customFormat="1">
      <c r="A15" s="3510"/>
      <c r="B15" s="3511" t="s">
        <v>27</v>
      </c>
      <c r="C15" s="3511"/>
      <c r="D15" s="3391">
        <v>60475.493000000002</v>
      </c>
      <c r="E15" s="3391">
        <v>41490.493000000002</v>
      </c>
      <c r="F15" s="3393">
        <v>18985</v>
      </c>
    </row>
    <row r="16" spans="1:17" s="3350" customFormat="1">
      <c r="A16" s="3510"/>
      <c r="B16" s="3389" t="s">
        <v>1669</v>
      </c>
      <c r="C16" s="3389" t="s">
        <v>2300</v>
      </c>
      <c r="D16" s="3393">
        <v>2100</v>
      </c>
      <c r="E16" s="3389">
        <v>0</v>
      </c>
      <c r="F16" s="3389">
        <v>2100</v>
      </c>
    </row>
    <row r="17" spans="1:13" s="3350" customFormat="1">
      <c r="A17" s="3510"/>
      <c r="B17" s="3389" t="s">
        <v>1669</v>
      </c>
      <c r="C17" s="3394" t="s">
        <v>3384</v>
      </c>
      <c r="D17" s="3393">
        <v>540</v>
      </c>
      <c r="E17" s="3389">
        <v>0</v>
      </c>
      <c r="F17" s="3389">
        <v>540</v>
      </c>
    </row>
    <row r="18" spans="1:13" s="3350" customFormat="1">
      <c r="A18" s="3510"/>
      <c r="B18" s="3511" t="s">
        <v>27</v>
      </c>
      <c r="C18" s="3511"/>
      <c r="D18" s="3393">
        <v>2640</v>
      </c>
      <c r="E18" s="3393">
        <v>0</v>
      </c>
      <c r="F18" s="3393">
        <v>2640</v>
      </c>
    </row>
    <row r="19" spans="1:13" s="3350" customFormat="1">
      <c r="A19" s="3510"/>
      <c r="B19" s="3512" t="s">
        <v>24</v>
      </c>
      <c r="C19" s="3512"/>
      <c r="D19" s="3397">
        <v>63115.493000000002</v>
      </c>
      <c r="E19" s="3397">
        <v>41490.493000000002</v>
      </c>
      <c r="F19" s="3398">
        <v>21625</v>
      </c>
    </row>
    <row r="20" spans="1:13">
      <c r="A20" s="3510" t="s">
        <v>3389</v>
      </c>
      <c r="B20" s="3389" t="s">
        <v>3383</v>
      </c>
      <c r="C20" s="3390" t="s">
        <v>3119</v>
      </c>
      <c r="D20" s="3391">
        <v>15186.017</v>
      </c>
      <c r="E20" s="3392">
        <v>15186.017</v>
      </c>
      <c r="F20" s="3392">
        <v>0</v>
      </c>
      <c r="H20" s="3288" t="s">
        <v>3430</v>
      </c>
      <c r="I20" s="3408" t="s">
        <v>3406</v>
      </c>
      <c r="J20" s="3409" t="s">
        <v>3407</v>
      </c>
      <c r="K20" s="3409" t="s">
        <v>3408</v>
      </c>
      <c r="L20" s="3288" t="s">
        <v>3431</v>
      </c>
      <c r="M20" s="3288" t="s">
        <v>3433</v>
      </c>
    </row>
    <row r="21" spans="1:13">
      <c r="A21" s="3510"/>
      <c r="B21" s="3389" t="s">
        <v>3383</v>
      </c>
      <c r="C21" s="3390" t="s">
        <v>3115</v>
      </c>
      <c r="D21" s="3393">
        <v>3027</v>
      </c>
      <c r="E21" s="3392">
        <v>0</v>
      </c>
      <c r="F21" s="3392">
        <v>3027</v>
      </c>
      <c r="H21" s="3410">
        <v>1</v>
      </c>
      <c r="I21" s="3411" t="s">
        <v>3409</v>
      </c>
      <c r="J21" s="3412" t="s">
        <v>3410</v>
      </c>
      <c r="K21" s="3412" t="s">
        <v>3411</v>
      </c>
      <c r="L21" s="3413">
        <f ca="1">N3</f>
        <v>110751</v>
      </c>
      <c r="M21" s="3413">
        <f ca="1">O3</f>
        <v>110751</v>
      </c>
    </row>
    <row r="22" spans="1:13">
      <c r="A22" s="3510"/>
      <c r="B22" s="3389" t="s">
        <v>3383</v>
      </c>
      <c r="C22" s="3390" t="s">
        <v>35</v>
      </c>
      <c r="D22" s="3393">
        <v>6048</v>
      </c>
      <c r="E22" s="3392">
        <v>0</v>
      </c>
      <c r="F22" s="3392">
        <v>6048</v>
      </c>
      <c r="H22" s="3410">
        <v>2</v>
      </c>
      <c r="I22" s="3411" t="s">
        <v>3412</v>
      </c>
      <c r="J22" s="3412" t="s">
        <v>3413</v>
      </c>
      <c r="K22" s="3412" t="s">
        <v>3414</v>
      </c>
      <c r="L22" s="3413">
        <f>N5</f>
        <v>0</v>
      </c>
      <c r="M22" s="3413">
        <f>O5</f>
        <v>0</v>
      </c>
    </row>
    <row r="23" spans="1:13">
      <c r="A23" s="3510"/>
      <c r="B23" s="3511" t="s">
        <v>27</v>
      </c>
      <c r="C23" s="3511"/>
      <c r="D23" s="3391">
        <v>24261.017</v>
      </c>
      <c r="E23" s="3391">
        <v>15186.017</v>
      </c>
      <c r="F23" s="3393">
        <v>9075</v>
      </c>
      <c r="H23" s="3410">
        <v>3</v>
      </c>
      <c r="I23" s="3411" t="s">
        <v>3415</v>
      </c>
      <c r="J23" s="3412" t="s">
        <v>3416</v>
      </c>
      <c r="K23" s="3412" t="s">
        <v>3417</v>
      </c>
      <c r="L23" s="3413">
        <f>N7</f>
        <v>0</v>
      </c>
      <c r="M23" s="3413">
        <f>O7</f>
        <v>0</v>
      </c>
    </row>
    <row r="24" spans="1:13">
      <c r="A24" s="3510"/>
      <c r="B24" s="3389" t="s">
        <v>1669</v>
      </c>
      <c r="C24" s="3389" t="s">
        <v>2300</v>
      </c>
      <c r="D24" s="3393">
        <v>900</v>
      </c>
      <c r="E24" s="3389">
        <v>0</v>
      </c>
      <c r="F24" s="3389">
        <v>900</v>
      </c>
      <c r="H24" s="3414">
        <v>4</v>
      </c>
      <c r="I24" s="3411" t="s">
        <v>3418</v>
      </c>
      <c r="J24" s="3412" t="s">
        <v>3419</v>
      </c>
      <c r="K24" s="3412" t="s">
        <v>3420</v>
      </c>
      <c r="L24" s="3413">
        <f>N9</f>
        <v>0</v>
      </c>
      <c r="M24" s="3413">
        <f>O9</f>
        <v>0</v>
      </c>
    </row>
    <row r="25" spans="1:13">
      <c r="A25" s="3510"/>
      <c r="B25" s="3389" t="s">
        <v>1669</v>
      </c>
      <c r="C25" s="3394" t="s">
        <v>3384</v>
      </c>
      <c r="D25" s="3393">
        <v>270</v>
      </c>
      <c r="E25" s="3389">
        <v>0</v>
      </c>
      <c r="F25" s="3389">
        <v>270</v>
      </c>
      <c r="H25" s="3410">
        <v>5</v>
      </c>
      <c r="I25" s="3411" t="s">
        <v>3421</v>
      </c>
      <c r="J25" s="3412" t="s">
        <v>3422</v>
      </c>
      <c r="K25" s="3412" t="s">
        <v>3423</v>
      </c>
      <c r="L25" s="3413">
        <f>N11</f>
        <v>82909</v>
      </c>
      <c r="M25" s="3413">
        <f>O11</f>
        <v>82909</v>
      </c>
    </row>
    <row r="26" spans="1:13">
      <c r="A26" s="3510"/>
      <c r="B26" s="3511" t="s">
        <v>27</v>
      </c>
      <c r="C26" s="3511"/>
      <c r="D26" s="3393">
        <v>1170</v>
      </c>
      <c r="E26" s="3393">
        <v>0</v>
      </c>
      <c r="F26" s="3393">
        <v>1170</v>
      </c>
      <c r="H26" s="3414">
        <v>6</v>
      </c>
      <c r="I26" s="3411" t="s">
        <v>3424</v>
      </c>
      <c r="J26" s="3412" t="s">
        <v>3425</v>
      </c>
      <c r="K26" s="3412" t="s">
        <v>3426</v>
      </c>
      <c r="L26" s="3413">
        <f>N13</f>
        <v>0</v>
      </c>
      <c r="M26" s="3413">
        <f>O13</f>
        <v>0</v>
      </c>
    </row>
    <row r="27" spans="1:13">
      <c r="A27" s="3510"/>
      <c r="B27" s="3512" t="s">
        <v>24</v>
      </c>
      <c r="C27" s="3512"/>
      <c r="D27" s="3397">
        <v>25431.017</v>
      </c>
      <c r="E27" s="3397">
        <v>15186.017</v>
      </c>
      <c r="F27" s="3398">
        <v>10245</v>
      </c>
      <c r="H27" s="3410">
        <v>7</v>
      </c>
      <c r="I27" s="3411" t="s">
        <v>3427</v>
      </c>
      <c r="J27" s="3412" t="s">
        <v>3428</v>
      </c>
      <c r="K27" s="3412" t="s">
        <v>3429</v>
      </c>
      <c r="L27" s="3413">
        <f>[5]系统读取表!$D$14</f>
        <v>2964</v>
      </c>
      <c r="M27" s="3413">
        <f>[5]系统读取表!$G$14</f>
        <v>2928</v>
      </c>
    </row>
    <row r="28" spans="1:13">
      <c r="A28" s="3518" t="s">
        <v>3392</v>
      </c>
      <c r="B28" s="3389" t="s">
        <v>3383</v>
      </c>
      <c r="C28" s="3390" t="s">
        <v>3119</v>
      </c>
      <c r="D28" s="3391">
        <v>28486.845000000001</v>
      </c>
      <c r="E28" s="3392">
        <v>28486.845000000001</v>
      </c>
      <c r="F28" s="3392">
        <v>0</v>
      </c>
      <c r="H28" s="3521" t="s">
        <v>3434</v>
      </c>
      <c r="I28" s="3522"/>
      <c r="J28" s="3522"/>
      <c r="K28" s="3522"/>
      <c r="L28" s="3413">
        <f ca="1">SUM(L21:L27)</f>
        <v>196624</v>
      </c>
      <c r="M28" s="3413">
        <f ca="1">SUM(M21:M27)</f>
        <v>196588</v>
      </c>
    </row>
    <row r="29" spans="1:13">
      <c r="A29" s="3518"/>
      <c r="B29" s="3389" t="s">
        <v>3383</v>
      </c>
      <c r="C29" s="3390" t="s">
        <v>3115</v>
      </c>
      <c r="D29" s="3393">
        <v>4652</v>
      </c>
      <c r="E29" s="3392">
        <v>0</v>
      </c>
      <c r="F29" s="3392">
        <v>4652</v>
      </c>
    </row>
    <row r="30" spans="1:13">
      <c r="A30" s="3518"/>
      <c r="B30" s="3389" t="s">
        <v>3383</v>
      </c>
      <c r="C30" s="3390" t="s">
        <v>35</v>
      </c>
      <c r="D30" s="3393">
        <v>9044</v>
      </c>
      <c r="E30" s="3392">
        <v>0</v>
      </c>
      <c r="F30" s="3392">
        <v>9044</v>
      </c>
    </row>
    <row r="31" spans="1:13">
      <c r="A31" s="3518"/>
      <c r="B31" s="3511" t="s">
        <v>27</v>
      </c>
      <c r="C31" s="3511"/>
      <c r="D31" s="3391">
        <v>42182.845000000001</v>
      </c>
      <c r="E31" s="3391">
        <v>28486.845000000001</v>
      </c>
      <c r="F31" s="3393">
        <v>13696</v>
      </c>
    </row>
    <row r="32" spans="1:13">
      <c r="A32" s="3518"/>
      <c r="B32" s="3389" t="s">
        <v>1669</v>
      </c>
      <c r="C32" s="3389" t="s">
        <v>2300</v>
      </c>
      <c r="D32" s="3393">
        <v>1704</v>
      </c>
      <c r="E32" s="3389">
        <v>85</v>
      </c>
      <c r="F32" s="3389">
        <v>1619</v>
      </c>
    </row>
    <row r="33" spans="1:6">
      <c r="A33" s="3518"/>
      <c r="B33" s="3389" t="s">
        <v>1669</v>
      </c>
      <c r="C33" s="3394" t="s">
        <v>3384</v>
      </c>
      <c r="D33" s="3393">
        <v>2321</v>
      </c>
      <c r="E33" s="3389">
        <v>1011</v>
      </c>
      <c r="F33" s="3389">
        <v>1310</v>
      </c>
    </row>
    <row r="34" spans="1:6">
      <c r="A34" s="3518"/>
      <c r="B34" s="3511" t="s">
        <v>27</v>
      </c>
      <c r="C34" s="3511"/>
      <c r="D34" s="3393">
        <v>4025</v>
      </c>
      <c r="E34" s="3393">
        <v>1096</v>
      </c>
      <c r="F34" s="3393">
        <v>2929</v>
      </c>
    </row>
    <row r="35" spans="1:6">
      <c r="A35" s="3518"/>
      <c r="B35" s="3512" t="s">
        <v>24</v>
      </c>
      <c r="C35" s="3512"/>
      <c r="D35" s="3397">
        <v>46207.845000000001</v>
      </c>
      <c r="E35" s="3397">
        <v>29582.845000000001</v>
      </c>
      <c r="F35" s="3398">
        <v>16625</v>
      </c>
    </row>
    <row r="36" spans="1:6">
      <c r="A36" s="3519" t="s">
        <v>3395</v>
      </c>
      <c r="B36" s="3389" t="s">
        <v>3383</v>
      </c>
      <c r="C36" s="3390" t="s">
        <v>3119</v>
      </c>
      <c r="D36" s="3391">
        <v>30939.883000000002</v>
      </c>
      <c r="E36" s="3392">
        <v>30939.883000000002</v>
      </c>
      <c r="F36" s="3392">
        <v>0</v>
      </c>
    </row>
    <row r="37" spans="1:6">
      <c r="A37" s="3519"/>
      <c r="B37" s="3389" t="s">
        <v>3383</v>
      </c>
      <c r="C37" s="3390" t="s">
        <v>3115</v>
      </c>
      <c r="D37" s="3393">
        <v>5704</v>
      </c>
      <c r="E37" s="3392">
        <v>0</v>
      </c>
      <c r="F37" s="3392">
        <v>5704</v>
      </c>
    </row>
    <row r="38" spans="1:6">
      <c r="A38" s="3519"/>
      <c r="B38" s="3389" t="s">
        <v>3383</v>
      </c>
      <c r="C38" s="3390" t="s">
        <v>35</v>
      </c>
      <c r="D38" s="3393">
        <v>12760</v>
      </c>
      <c r="E38" s="3392">
        <v>0</v>
      </c>
      <c r="F38" s="3392">
        <v>12760</v>
      </c>
    </row>
    <row r="39" spans="1:6">
      <c r="A39" s="3519"/>
      <c r="B39" s="3511" t="s">
        <v>27</v>
      </c>
      <c r="C39" s="3511"/>
      <c r="D39" s="3391">
        <v>49403.883000000002</v>
      </c>
      <c r="E39" s="3391">
        <v>30939.883000000002</v>
      </c>
      <c r="F39" s="3393">
        <v>18464</v>
      </c>
    </row>
    <row r="40" spans="1:6">
      <c r="A40" s="3519"/>
      <c r="B40" s="3389" t="s">
        <v>1669</v>
      </c>
      <c r="C40" s="3389" t="s">
        <v>2300</v>
      </c>
      <c r="D40" s="3393">
        <v>2612</v>
      </c>
      <c r="E40" s="3389">
        <v>45</v>
      </c>
      <c r="F40" s="3389">
        <v>2567</v>
      </c>
    </row>
    <row r="41" spans="1:6">
      <c r="A41" s="3519"/>
      <c r="B41" s="3389" t="s">
        <v>1669</v>
      </c>
      <c r="C41" s="3394" t="s">
        <v>3384</v>
      </c>
      <c r="D41" s="3393">
        <v>3199</v>
      </c>
      <c r="E41" s="3389">
        <v>120</v>
      </c>
      <c r="F41" s="3389">
        <v>3079</v>
      </c>
    </row>
    <row r="42" spans="1:6">
      <c r="A42" s="3519"/>
      <c r="B42" s="3511" t="s">
        <v>27</v>
      </c>
      <c r="C42" s="3511"/>
      <c r="D42" s="3393">
        <v>5811</v>
      </c>
      <c r="E42" s="3393">
        <v>165</v>
      </c>
      <c r="F42" s="3393">
        <v>5646</v>
      </c>
    </row>
    <row r="43" spans="1:6">
      <c r="A43" s="3519"/>
      <c r="B43" s="3512" t="s">
        <v>24</v>
      </c>
      <c r="C43" s="3512"/>
      <c r="D43" s="3397">
        <v>55214.883000000002</v>
      </c>
      <c r="E43" s="3397">
        <v>31104.883000000002</v>
      </c>
      <c r="F43" s="3398">
        <v>24110</v>
      </c>
    </row>
    <row r="44" spans="1:6">
      <c r="A44" s="3518" t="s">
        <v>3396</v>
      </c>
      <c r="B44" s="3389" t="s">
        <v>3383</v>
      </c>
      <c r="C44" s="3390" t="s">
        <v>3119</v>
      </c>
      <c r="D44" s="3391">
        <v>15557.017</v>
      </c>
      <c r="E44" s="3392">
        <v>15557.017</v>
      </c>
      <c r="F44" s="3392">
        <v>0</v>
      </c>
    </row>
    <row r="45" spans="1:6">
      <c r="A45" s="3518"/>
      <c r="B45" s="3389" t="s">
        <v>3383</v>
      </c>
      <c r="C45" s="3390" t="s">
        <v>3115</v>
      </c>
      <c r="D45" s="3393">
        <v>2589</v>
      </c>
      <c r="E45" s="3392">
        <v>0</v>
      </c>
      <c r="F45" s="3392">
        <v>2589</v>
      </c>
    </row>
    <row r="46" spans="1:6">
      <c r="A46" s="3518"/>
      <c r="B46" s="3389" t="s">
        <v>3383</v>
      </c>
      <c r="C46" s="3390" t="s">
        <v>35</v>
      </c>
      <c r="D46" s="3393">
        <v>3322.6</v>
      </c>
      <c r="E46" s="3392">
        <v>0</v>
      </c>
      <c r="F46" s="3392">
        <v>3322.6</v>
      </c>
    </row>
    <row r="47" spans="1:6">
      <c r="A47" s="3518"/>
      <c r="B47" s="3511" t="s">
        <v>27</v>
      </c>
      <c r="C47" s="3511"/>
      <c r="D47" s="3391">
        <v>21468.616999999998</v>
      </c>
      <c r="E47" s="3391">
        <v>15557.017</v>
      </c>
      <c r="F47" s="3393">
        <v>5911.6</v>
      </c>
    </row>
    <row r="48" spans="1:6">
      <c r="A48" s="3518"/>
      <c r="B48" s="3389" t="s">
        <v>1669</v>
      </c>
      <c r="C48" s="3389" t="s">
        <v>2300</v>
      </c>
      <c r="D48" s="3393">
        <v>736</v>
      </c>
      <c r="E48" s="3389">
        <v>0</v>
      </c>
      <c r="F48" s="3389">
        <v>736</v>
      </c>
    </row>
    <row r="49" spans="1:6">
      <c r="A49" s="3518"/>
      <c r="B49" s="3389" t="s">
        <v>1669</v>
      </c>
      <c r="C49" s="3394" t="s">
        <v>3384</v>
      </c>
      <c r="D49" s="3393">
        <v>570</v>
      </c>
      <c r="E49" s="3389">
        <v>150</v>
      </c>
      <c r="F49" s="3389">
        <v>420</v>
      </c>
    </row>
    <row r="50" spans="1:6">
      <c r="A50" s="3518"/>
      <c r="B50" s="3511" t="s">
        <v>27</v>
      </c>
      <c r="C50" s="3511"/>
      <c r="D50" s="3393">
        <v>1306</v>
      </c>
      <c r="E50" s="3393">
        <v>150</v>
      </c>
      <c r="F50" s="3393">
        <v>1156</v>
      </c>
    </row>
    <row r="51" spans="1:6">
      <c r="A51" s="3518"/>
      <c r="B51" s="3512" t="s">
        <v>24</v>
      </c>
      <c r="C51" s="3512"/>
      <c r="D51" s="3397">
        <v>22774.616999999998</v>
      </c>
      <c r="E51" s="3397">
        <v>15707.017</v>
      </c>
      <c r="F51" s="3398">
        <v>7067.6</v>
      </c>
    </row>
    <row r="52" spans="1:6">
      <c r="A52" s="3518" t="s">
        <v>3397</v>
      </c>
      <c r="B52" s="3389" t="s">
        <v>3383</v>
      </c>
      <c r="C52" s="3390" t="s">
        <v>3393</v>
      </c>
      <c r="D52" s="3393">
        <v>3145.04</v>
      </c>
      <c r="E52" s="3392">
        <v>3145.04</v>
      </c>
      <c r="F52" s="3392">
        <v>0</v>
      </c>
    </row>
    <row r="53" spans="1:6">
      <c r="A53" s="3518"/>
      <c r="B53" s="3389" t="s">
        <v>3383</v>
      </c>
      <c r="C53" s="3390" t="s">
        <v>3394</v>
      </c>
      <c r="D53" s="3393">
        <v>450</v>
      </c>
      <c r="E53" s="3392">
        <v>0</v>
      </c>
      <c r="F53" s="3392">
        <v>450</v>
      </c>
    </row>
    <row r="54" spans="1:6">
      <c r="A54" s="3518"/>
      <c r="B54" s="3511" t="s">
        <v>27</v>
      </c>
      <c r="C54" s="3511"/>
      <c r="D54" s="3393">
        <v>3595.04</v>
      </c>
      <c r="E54" s="3393">
        <v>3145.04</v>
      </c>
      <c r="F54" s="3393">
        <v>450</v>
      </c>
    </row>
    <row r="55" spans="1:6">
      <c r="A55" s="3518"/>
      <c r="B55" s="3389" t="s">
        <v>1669</v>
      </c>
      <c r="C55" s="3389" t="s">
        <v>2300</v>
      </c>
      <c r="D55" s="3393">
        <v>700</v>
      </c>
      <c r="E55" s="3389">
        <v>0</v>
      </c>
      <c r="F55" s="3389">
        <v>700</v>
      </c>
    </row>
    <row r="56" spans="1:6">
      <c r="A56" s="3518"/>
      <c r="B56" s="3389" t="s">
        <v>1669</v>
      </c>
      <c r="C56" s="3394" t="s">
        <v>3384</v>
      </c>
      <c r="D56" s="3393">
        <v>0</v>
      </c>
      <c r="E56" s="3389">
        <v>0</v>
      </c>
      <c r="F56" s="3389">
        <v>0</v>
      </c>
    </row>
    <row r="57" spans="1:6">
      <c r="A57" s="3518"/>
      <c r="B57" s="3511" t="s">
        <v>27</v>
      </c>
      <c r="C57" s="3511"/>
      <c r="D57" s="3393">
        <v>700</v>
      </c>
      <c r="E57" s="3393">
        <v>0</v>
      </c>
      <c r="F57" s="3393">
        <v>700</v>
      </c>
    </row>
    <row r="58" spans="1:6">
      <c r="A58" s="3518"/>
      <c r="B58" s="3512" t="s">
        <v>24</v>
      </c>
      <c r="C58" s="3512"/>
      <c r="D58" s="3397">
        <v>4295.04</v>
      </c>
      <c r="E58" s="3398">
        <v>3145.04</v>
      </c>
      <c r="F58" s="3398">
        <v>1150</v>
      </c>
    </row>
    <row r="59" spans="1:6">
      <c r="A59" s="3523" t="s">
        <v>3398</v>
      </c>
      <c r="B59" s="3520"/>
      <c r="C59" s="3520"/>
      <c r="D59" s="3399">
        <f>D58+D51+D43+D35+D27+D19+D11</f>
        <v>271186.66399999999</v>
      </c>
      <c r="E59" s="3399">
        <f>E58+E51+E43+E35+E27+E19+E11</f>
        <v>173964.06399999998</v>
      </c>
      <c r="F59" s="3399">
        <f t="shared" ref="F59" si="0">F58+F51+F43+F35+F27+F19+F11</f>
        <v>97222.6</v>
      </c>
    </row>
    <row r="61" spans="1:6">
      <c r="D61" s="3420">
        <f>D19+D43</f>
        <v>118330.376</v>
      </c>
      <c r="E61" s="3420">
        <f t="shared" ref="E61:F61" si="1">E19+E43</f>
        <v>72595.376000000004</v>
      </c>
      <c r="F61" s="3420">
        <f t="shared" si="1"/>
        <v>45735</v>
      </c>
    </row>
    <row r="63" spans="1:6">
      <c r="D63">
        <f>286894.063-130-15577.4</f>
        <v>271186.663</v>
      </c>
    </row>
    <row r="64" spans="1:6">
      <c r="D64" s="3420"/>
    </row>
  </sheetData>
  <mergeCells count="57">
    <mergeCell ref="O13:O14"/>
    <mergeCell ref="I9:I10"/>
    <mergeCell ref="I11:I12"/>
    <mergeCell ref="I13:I14"/>
    <mergeCell ref="N5:N6"/>
    <mergeCell ref="N7:N8"/>
    <mergeCell ref="N9:N10"/>
    <mergeCell ref="N11:N12"/>
    <mergeCell ref="N13:N14"/>
    <mergeCell ref="J11:J12"/>
    <mergeCell ref="O11:O12"/>
    <mergeCell ref="J13:J14"/>
    <mergeCell ref="N3:N4"/>
    <mergeCell ref="O3:O4"/>
    <mergeCell ref="J5:J6"/>
    <mergeCell ref="J7:J8"/>
    <mergeCell ref="J9:J10"/>
    <mergeCell ref="O5:O6"/>
    <mergeCell ref="O7:O8"/>
    <mergeCell ref="O9:O10"/>
    <mergeCell ref="J3:J4"/>
    <mergeCell ref="A52:A58"/>
    <mergeCell ref="B54:C54"/>
    <mergeCell ref="B57:C57"/>
    <mergeCell ref="B58:C58"/>
    <mergeCell ref="A59:C59"/>
    <mergeCell ref="I3:I4"/>
    <mergeCell ref="I5:I6"/>
    <mergeCell ref="I7:I8"/>
    <mergeCell ref="B39:C39"/>
    <mergeCell ref="B42:C42"/>
    <mergeCell ref="B34:C34"/>
    <mergeCell ref="H28:K28"/>
    <mergeCell ref="B43:C43"/>
    <mergeCell ref="A36:A43"/>
    <mergeCell ref="A44:A51"/>
    <mergeCell ref="B47:C47"/>
    <mergeCell ref="B50:C50"/>
    <mergeCell ref="B51:C51"/>
    <mergeCell ref="A20:A27"/>
    <mergeCell ref="B26:C26"/>
    <mergeCell ref="B23:C23"/>
    <mergeCell ref="B27:C27"/>
    <mergeCell ref="B31:C31"/>
    <mergeCell ref="A28:A35"/>
    <mergeCell ref="B35:C35"/>
    <mergeCell ref="A12:A19"/>
    <mergeCell ref="B15:C15"/>
    <mergeCell ref="B18:C18"/>
    <mergeCell ref="B19:C19"/>
    <mergeCell ref="D2:F2"/>
    <mergeCell ref="A2:A11"/>
    <mergeCell ref="B7:C7"/>
    <mergeCell ref="C2:C3"/>
    <mergeCell ref="B2:B3"/>
    <mergeCell ref="B10:C10"/>
    <mergeCell ref="B11:C11"/>
  </mergeCells>
  <phoneticPr fontId="229" type="noConversion"/>
  <conditionalFormatting sqref="D7">
    <cfRule type="containsText" dxfId="215" priority="19" stopIfTrue="1" operator="containsText" text="面积有误">
      <formula>NOT(ISERROR(SEARCH("面积有误",D7)))</formula>
    </cfRule>
    <cfRule type="cellIs" dxfId="214" priority="21" stopIfTrue="1" operator="equal">
      <formula>"地下面积有误"</formula>
    </cfRule>
  </conditionalFormatting>
  <conditionalFormatting sqref="E7">
    <cfRule type="cellIs" dxfId="213" priority="20" stopIfTrue="1" operator="equal">
      <formula>"地上面积有误"</formula>
    </cfRule>
  </conditionalFormatting>
  <conditionalFormatting sqref="D15">
    <cfRule type="containsText" dxfId="212" priority="16" stopIfTrue="1" operator="containsText" text="面积有误">
      <formula>NOT(ISERROR(SEARCH("面积有误",D15)))</formula>
    </cfRule>
    <cfRule type="cellIs" dxfId="211" priority="18" stopIfTrue="1" operator="equal">
      <formula>"地下面积有误"</formula>
    </cfRule>
  </conditionalFormatting>
  <conditionalFormatting sqref="E15">
    <cfRule type="cellIs" dxfId="210" priority="17" stopIfTrue="1" operator="equal">
      <formula>"地上面积有误"</formula>
    </cfRule>
  </conditionalFormatting>
  <conditionalFormatting sqref="D23">
    <cfRule type="containsText" dxfId="209" priority="13" stopIfTrue="1" operator="containsText" text="面积有误">
      <formula>NOT(ISERROR(SEARCH("面积有误",D23)))</formula>
    </cfRule>
    <cfRule type="cellIs" dxfId="208" priority="15" stopIfTrue="1" operator="equal">
      <formula>"地下面积有误"</formula>
    </cfRule>
  </conditionalFormatting>
  <conditionalFormatting sqref="E23">
    <cfRule type="cellIs" dxfId="207" priority="14" stopIfTrue="1" operator="equal">
      <formula>"地上面积有误"</formula>
    </cfRule>
  </conditionalFormatting>
  <conditionalFormatting sqref="D31">
    <cfRule type="containsText" dxfId="206" priority="10" stopIfTrue="1" operator="containsText" text="面积有误">
      <formula>NOT(ISERROR(SEARCH("面积有误",D31)))</formula>
    </cfRule>
    <cfRule type="cellIs" dxfId="205" priority="12" stopIfTrue="1" operator="equal">
      <formula>"地下面积有误"</formula>
    </cfRule>
  </conditionalFormatting>
  <conditionalFormatting sqref="E31">
    <cfRule type="cellIs" dxfId="204" priority="11" stopIfTrue="1" operator="equal">
      <formula>"地上面积有误"</formula>
    </cfRule>
  </conditionalFormatting>
  <conditionalFormatting sqref="D39">
    <cfRule type="containsText" dxfId="203" priority="7" stopIfTrue="1" operator="containsText" text="面积有误">
      <formula>NOT(ISERROR(SEARCH("面积有误",D39)))</formula>
    </cfRule>
    <cfRule type="cellIs" dxfId="202" priority="9" stopIfTrue="1" operator="equal">
      <formula>"地下面积有误"</formula>
    </cfRule>
  </conditionalFormatting>
  <conditionalFormatting sqref="E39">
    <cfRule type="cellIs" dxfId="201" priority="8" stopIfTrue="1" operator="equal">
      <formula>"地上面积有误"</formula>
    </cfRule>
  </conditionalFormatting>
  <conditionalFormatting sqref="D47">
    <cfRule type="containsText" dxfId="200" priority="4" stopIfTrue="1" operator="containsText" text="面积有误">
      <formula>NOT(ISERROR(SEARCH("面积有误",D47)))</formula>
    </cfRule>
    <cfRule type="cellIs" dxfId="199" priority="6" stopIfTrue="1" operator="equal">
      <formula>"地下面积有误"</formula>
    </cfRule>
  </conditionalFormatting>
  <conditionalFormatting sqref="E47">
    <cfRule type="cellIs" dxfId="198" priority="5" stopIfTrue="1" operator="equal">
      <formula>"地上面积有误"</formula>
    </cfRule>
  </conditionalFormatting>
  <conditionalFormatting sqref="D54">
    <cfRule type="containsText" dxfId="197" priority="1" stopIfTrue="1" operator="containsText" text="面积有误">
      <formula>NOT(ISERROR(SEARCH("面积有误",D54)))</formula>
    </cfRule>
    <cfRule type="cellIs" dxfId="196" priority="3" stopIfTrue="1" operator="equal">
      <formula>"地下面积有误"</formula>
    </cfRule>
  </conditionalFormatting>
  <conditionalFormatting sqref="E54">
    <cfRule type="cellIs" dxfId="195" priority="2" stopIfTrue="1" operator="equal">
      <formula>"地上面积有误"</formula>
    </cfRule>
  </conditionalFormatting>
  <dataValidations count="1">
    <dataValidation type="list" allowBlank="1" showInputMessage="1" showErrorMessage="1" sqref="B8:B9 B4:B6 B16:B17 B12:B14 B24:B25 B20:B22 B32:B33 B28:B30 B40:B41 B36:B38 B48:B49 B44:B46 B55:B56 B52:B53" xr:uid="{3997BA34-18FC-4320-9431-18C4F7197BB8}">
      <formula1>类别</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C30" sqref="C30"/>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4"/>
    <col min="42" max="42" width="13.75" style="1904" customWidth="1"/>
    <col min="43" max="83" width="13.75" style="1904"/>
    <col min="84" max="16384" width="13.75" style="1183"/>
  </cols>
  <sheetData>
    <row r="1" spans="1:83" ht="19.5"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4"/>
      <c r="AO1" s="3084"/>
      <c r="AP1" s="3084"/>
      <c r="AQ1" s="3084"/>
      <c r="AR1" s="3084"/>
      <c r="AS1" s="3084"/>
      <c r="AT1" s="3084"/>
      <c r="AU1" s="3084"/>
      <c r="AV1" s="3084"/>
      <c r="AW1" s="3084"/>
      <c r="AX1" s="3084"/>
      <c r="AY1" s="3084"/>
      <c r="AZ1" s="3084"/>
    </row>
    <row r="2" spans="1:83" s="1186" customFormat="1" ht="15.75" thickBot="1">
      <c r="A2" s="146" t="s">
        <v>235</v>
      </c>
      <c r="B2" s="2214">
        <f>项目基本情况!D3</f>
        <v>44532</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7"/>
      <c r="AO2" s="3087"/>
      <c r="AP2" s="3087"/>
      <c r="AQ2" s="3087"/>
      <c r="AR2" s="3087"/>
      <c r="AS2" s="3087"/>
      <c r="AT2" s="3087"/>
      <c r="AU2" s="3087"/>
      <c r="AV2" s="3087"/>
      <c r="AW2" s="3087"/>
      <c r="AX2" s="3087"/>
      <c r="AY2" s="3087"/>
      <c r="AZ2" s="3087"/>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5"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7"/>
      <c r="AO3" s="3087"/>
      <c r="AP3" s="3087"/>
      <c r="AQ3" s="3087"/>
      <c r="AR3" s="3087"/>
      <c r="AS3" s="3087"/>
      <c r="AT3" s="3087"/>
      <c r="AU3" s="3087"/>
      <c r="AV3" s="3087"/>
      <c r="AW3" s="3087"/>
      <c r="AX3" s="3087"/>
      <c r="AY3" s="3087"/>
      <c r="AZ3" s="3087"/>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855</v>
      </c>
      <c r="B4" s="149"/>
      <c r="C4" s="150"/>
      <c r="D4" s="1188"/>
      <c r="E4" s="1189" t="s">
        <v>856</v>
      </c>
      <c r="F4" s="150"/>
      <c r="G4" s="150"/>
      <c r="H4" s="150"/>
      <c r="I4" s="150"/>
      <c r="J4" s="151"/>
      <c r="K4" s="1190"/>
      <c r="L4" s="1191"/>
      <c r="M4" s="150"/>
      <c r="N4" s="1189" t="s">
        <v>857</v>
      </c>
      <c r="O4" s="150"/>
      <c r="P4" s="150"/>
      <c r="Q4" s="150"/>
      <c r="R4" s="150"/>
      <c r="S4" s="151"/>
      <c r="T4" s="962" t="str">
        <f>'数据-汇总表'!I17</f>
        <v>按面积比例</v>
      </c>
      <c r="U4" s="149" t="s">
        <v>858</v>
      </c>
      <c r="V4" s="150"/>
      <c r="W4" s="150"/>
      <c r="X4" s="150"/>
      <c r="Y4" s="151"/>
      <c r="Z4" s="122" t="s">
        <v>859</v>
      </c>
      <c r="AA4" s="122"/>
      <c r="AB4" s="122"/>
      <c r="AC4" s="122"/>
      <c r="AD4" s="122"/>
      <c r="AE4" s="120" t="s">
        <v>860</v>
      </c>
      <c r="AF4" s="122"/>
      <c r="AG4" s="152"/>
      <c r="AH4" s="149"/>
      <c r="AI4" s="150"/>
      <c r="AJ4" s="150"/>
      <c r="AK4" s="150"/>
      <c r="AL4" s="150"/>
      <c r="AM4" s="151"/>
      <c r="AN4" s="3087"/>
      <c r="AO4" s="3087"/>
      <c r="AP4" s="3087"/>
      <c r="AQ4" s="3087"/>
      <c r="AR4" s="3087"/>
      <c r="AS4" s="3087"/>
      <c r="AT4" s="3087"/>
      <c r="AU4" s="3087"/>
      <c r="AV4" s="3087"/>
      <c r="AW4" s="3087"/>
      <c r="AX4" s="3087"/>
      <c r="AY4" s="3087"/>
      <c r="AZ4" s="3087"/>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54">
      <c r="A5" s="2180" t="s">
        <v>2310</v>
      </c>
      <c r="B5" s="153" t="s">
        <v>236</v>
      </c>
      <c r="C5" s="154" t="s">
        <v>237</v>
      </c>
      <c r="D5" s="155" t="s">
        <v>238</v>
      </c>
      <c r="E5" s="156" t="s">
        <v>239</v>
      </c>
      <c r="F5" s="157" t="s">
        <v>240</v>
      </c>
      <c r="G5" s="156" t="s">
        <v>241</v>
      </c>
      <c r="H5" s="156" t="s">
        <v>853</v>
      </c>
      <c r="I5" s="156" t="s">
        <v>854</v>
      </c>
      <c r="J5" s="158" t="s">
        <v>242</v>
      </c>
      <c r="K5" s="159" t="s">
        <v>243</v>
      </c>
      <c r="L5" s="160" t="s">
        <v>244</v>
      </c>
      <c r="M5" s="161" t="s">
        <v>245</v>
      </c>
      <c r="N5" s="1199" t="s">
        <v>2804</v>
      </c>
      <c r="O5" s="160" t="s">
        <v>246</v>
      </c>
      <c r="P5" s="162" t="s">
        <v>247</v>
      </c>
      <c r="Q5" s="163" t="s">
        <v>248</v>
      </c>
      <c r="R5" s="164" t="s">
        <v>249</v>
      </c>
      <c r="S5" s="2461" t="s">
        <v>2551</v>
      </c>
      <c r="T5" s="165" t="s">
        <v>250</v>
      </c>
      <c r="U5" s="166" t="s">
        <v>251</v>
      </c>
      <c r="V5" s="156" t="s">
        <v>252</v>
      </c>
      <c r="W5" s="156" t="s">
        <v>253</v>
      </c>
      <c r="X5" s="1729"/>
      <c r="Y5" s="167" t="s">
        <v>254</v>
      </c>
      <c r="Z5" s="168" t="s">
        <v>255</v>
      </c>
      <c r="AA5" s="156" t="s">
        <v>252</v>
      </c>
      <c r="AB5" s="156" t="s">
        <v>253</v>
      </c>
      <c r="AC5" s="1730"/>
      <c r="AD5" s="169" t="s">
        <v>254</v>
      </c>
      <c r="AE5" s="1" t="s">
        <v>861</v>
      </c>
      <c r="AF5" s="156" t="s">
        <v>256</v>
      </c>
      <c r="AG5" s="167" t="s">
        <v>257</v>
      </c>
      <c r="AH5" s="1730" t="s">
        <v>2309</v>
      </c>
      <c r="AI5" s="168" t="s">
        <v>2278</v>
      </c>
      <c r="AJ5" s="168" t="s">
        <v>258</v>
      </c>
      <c r="AK5" s="156" t="s">
        <v>259</v>
      </c>
      <c r="AL5" s="156" t="s">
        <v>260</v>
      </c>
      <c r="AM5" s="169" t="s">
        <v>261</v>
      </c>
      <c r="AN5" s="2242" t="s">
        <v>2356</v>
      </c>
      <c r="AO5" s="3098"/>
      <c r="AP5" s="3083" t="s">
        <v>2952</v>
      </c>
      <c r="AQ5" s="3098"/>
      <c r="AR5" s="3098"/>
      <c r="AS5" s="3098"/>
      <c r="AT5" s="3098"/>
      <c r="AU5" s="3098"/>
      <c r="AV5" s="3098"/>
      <c r="AW5" s="3098"/>
      <c r="AX5" s="3098"/>
      <c r="AY5" s="3098"/>
      <c r="AZ5" s="3098"/>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25">
      <c r="A6" s="2178" t="str">
        <f>'数据-汇总表'!C19</f>
        <v>洋房住宅</v>
      </c>
      <c r="B6" s="2213" t="str">
        <f>IF(A6=0,"","经营性")</f>
        <v>经营性</v>
      </c>
      <c r="C6" s="170" t="s">
        <v>913</v>
      </c>
      <c r="D6" s="2184">
        <f>SUMIF(项目基本情况!D$15:I$15,C6,项目基本情况!D$18:I$18)</f>
        <v>70</v>
      </c>
      <c r="E6" s="2185">
        <f>IF(B6="","",SUMIF(项目基本情况!D$15:I$15,C6,项目基本情况!D$17:I$17))</f>
        <v>69899</v>
      </c>
      <c r="F6" s="171">
        <f>SUMIF(项目基本情况!D$15:I$15,C6,项目基本情况!D$19:I$19)</f>
        <v>69.489999999999995</v>
      </c>
      <c r="G6" s="172">
        <f>IF(ISERROR(ROUND(POWER(1+H6,D6-F6)*(POWER(1+H6,F6)-1)/(POWER(1+H6,D6)-1),3)),0,ROUND(POWER(1+H6,D6-F6)*(POWER(1+H6,F6)-1)/(POWER(1+H6,D6)-1),3))</f>
        <v>0.999</v>
      </c>
      <c r="H6" s="2734">
        <v>4.4999999999999998E-2</v>
      </c>
      <c r="I6" s="2734">
        <v>0.05</v>
      </c>
      <c r="J6" s="173">
        <v>7.4999999999999997E-2</v>
      </c>
      <c r="K6" s="176">
        <f>SUMIF('数据-汇总表'!C$19:C$33,'数据-取费表'!A6,'数据-汇总表'!E$19:E$33)</f>
        <v>41490.493000000002</v>
      </c>
      <c r="L6" s="3378">
        <v>5000</v>
      </c>
      <c r="M6" s="174">
        <f t="shared" ref="M6:M14" si="0">ROUND(K6*L6/10000,0)</f>
        <v>20745</v>
      </c>
      <c r="N6" s="2735">
        <v>0</v>
      </c>
      <c r="O6" s="174">
        <f>IF($N$5="成新度","——",ROUND(M6*N6,0))</f>
        <v>0</v>
      </c>
      <c r="P6" s="175">
        <f>IF($N$5="成新度","——",M6-O6)</f>
        <v>20745</v>
      </c>
      <c r="Q6" s="2736">
        <v>0.15</v>
      </c>
      <c r="R6" s="176">
        <f>SUMIF('数据-汇总表'!C$19:C$33,A6,'数据-汇总表'!R$19:R$33)</f>
        <v>15910.470000000001</v>
      </c>
      <c r="S6" s="131">
        <f>IF('数据-汇总表'!$I$17="按面积比例",SUMIF('数据-汇总表'!C$19:C$33,A6,'数据-汇总表'!K$19:K$33),SUMIF('数据-汇总表'!C$19:C$33,A6,'数据-汇总表'!N$19:N$33))</f>
        <v>1440.75</v>
      </c>
      <c r="T6" s="2110">
        <f>IF($T$4="按面积比例",IF(ISERROR(ROUND($M$14*S6/S$16,0)),"0",ROUND($M$14*S6/S$16,0)),"需自行计算录入")</f>
        <v>432</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7"/>
      <c r="AN6" s="2243"/>
      <c r="AO6" s="3087"/>
      <c r="AP6" s="1184">
        <f>ROUND(1-1/(1+H6)^F6,3)</f>
        <v>0.95299999999999996</v>
      </c>
      <c r="AQ6" s="3087"/>
      <c r="AR6" s="3087"/>
      <c r="AS6" s="3087"/>
      <c r="AT6" s="3087"/>
      <c r="AU6" s="3087"/>
      <c r="AV6" s="3087"/>
      <c r="AW6" s="3087"/>
      <c r="AX6" s="3087"/>
      <c r="AY6" s="3087"/>
      <c r="AZ6" s="3087"/>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25">
      <c r="A7" s="2178" t="str">
        <f>'数据-汇总表'!C20</f>
        <v>地下仓储</v>
      </c>
      <c r="B7" s="2213" t="str">
        <f t="shared" ref="B7:B13" si="1">IF(A7=0,"","经营性")</f>
        <v>经营性</v>
      </c>
      <c r="C7" s="170" t="s">
        <v>3120</v>
      </c>
      <c r="D7" s="2184">
        <f>SUMIF(项目基本情况!D$15:I$15,C7,项目基本情况!D$18:I$18)</f>
        <v>50</v>
      </c>
      <c r="E7" s="2185">
        <f>IF(B7="","",SUMIF(项目基本情况!D$15:I$15,C7,项目基本情况!D$17:I$17))</f>
        <v>62594</v>
      </c>
      <c r="F7" s="171">
        <f>SUMIF(项目基本情况!D$15:I$15,C7,项目基本情况!D$19:I$19)</f>
        <v>49.48</v>
      </c>
      <c r="G7" s="172">
        <f t="shared" ref="G7:G11" si="2">IF(ISERROR(ROUND(POWER(1+H7,D7-F7)*(POWER(1+H7,F7)-1)/(POWER(1+H7,D7)-1),3)),0,ROUND(POWER(1+H7,D7-F7)*(POWER(1+H7,F7)-1)/(POWER(1+H7,D7)-1),3))</f>
        <v>0.997</v>
      </c>
      <c r="H7" s="2734">
        <v>4.4999999999999998E-2</v>
      </c>
      <c r="I7" s="2734">
        <v>0.05</v>
      </c>
      <c r="J7" s="173">
        <v>7.4999999999999997E-2</v>
      </c>
      <c r="K7" s="176">
        <f>SUMIF('数据-汇总表'!C$19:C$33,'数据-取费表'!A7,'数据-汇总表'!E$19:E$33)</f>
        <v>6701</v>
      </c>
      <c r="L7" s="3378">
        <v>3000</v>
      </c>
      <c r="M7" s="174">
        <f t="shared" si="0"/>
        <v>2010</v>
      </c>
      <c r="N7" s="2735">
        <v>0</v>
      </c>
      <c r="O7" s="174">
        <f t="shared" ref="O7:O14" si="3">IF($N$5="成新度","——",ROUND(M7*N7,0))</f>
        <v>0</v>
      </c>
      <c r="P7" s="175">
        <f t="shared" ref="P7:P14" si="4">IF($N$5="成新度","——",M7-O7)</f>
        <v>2010</v>
      </c>
      <c r="Q7" s="3380">
        <v>0.08</v>
      </c>
      <c r="R7" s="176">
        <f>SUMIF('数据-汇总表'!C$19:C$33,A7,'数据-汇总表'!R$19:R$33)</f>
        <v>2537.73</v>
      </c>
      <c r="S7" s="131">
        <f>IF('数据-汇总表'!$I$17="按面积比例",SUMIF('数据-汇总表'!C$19:C$33,A7,'数据-汇总表'!K$19:K$33),SUMIF('数据-汇总表'!C$19:C$33,A7,'数据-汇总表'!N$19:N$33))</f>
        <v>232.69</v>
      </c>
      <c r="T7" s="2110">
        <f t="shared" ref="T7:T13" si="5">IF($T$4="按面积比例",IF(ISERROR(ROUND($M$14*S7/S$16,0)),"0",ROUND($M$14*S7/S$16,0)),"需自行计算录入")</f>
        <v>70</v>
      </c>
      <c r="U7" s="177"/>
      <c r="V7" s="178"/>
      <c r="W7" s="178"/>
      <c r="X7" s="2197"/>
      <c r="Y7" s="179"/>
      <c r="Z7" s="180"/>
      <c r="AA7" s="173"/>
      <c r="AB7" s="173"/>
      <c r="AC7" s="2200"/>
      <c r="AD7" s="181"/>
      <c r="AE7" s="957">
        <f t="shared" ref="AE7:AE13" ca="1" si="6">IF(AN7="",0,SUMIF(INDIRECT("'"&amp;AN7&amp;"'"&amp;"!E:E"),$AE$5,INDIRECT("'"&amp;AN7&amp;"'"&amp;"!F:F")))</f>
        <v>0</v>
      </c>
      <c r="AF7" s="138"/>
      <c r="AG7" s="1193">
        <f t="shared" ref="AG7:AG13" si="7">IF(AF7="",0,AE7-AF7)</f>
        <v>0</v>
      </c>
      <c r="AH7" s="138"/>
      <c r="AI7" s="184">
        <v>365</v>
      </c>
      <c r="AJ7" s="185"/>
      <c r="AK7" s="193"/>
      <c r="AL7" s="194"/>
      <c r="AM7" s="2241"/>
      <c r="AN7" s="2243"/>
      <c r="AO7" s="3087"/>
      <c r="AP7" s="1184">
        <f t="shared" ref="AP7:AP13" si="8">ROUND(1-1/(1+H7)^F7,3)</f>
        <v>0.88700000000000001</v>
      </c>
      <c r="AQ7" s="3087"/>
      <c r="AR7" s="3087"/>
      <c r="AS7" s="3087"/>
      <c r="AT7" s="3087"/>
      <c r="AU7" s="3087"/>
      <c r="AV7" s="3087"/>
      <c r="AW7" s="3087"/>
      <c r="AX7" s="3087"/>
      <c r="AY7" s="3087"/>
      <c r="AZ7" s="3087"/>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25">
      <c r="A8" s="2178" t="str">
        <f>'数据-汇总表'!C21</f>
        <v>地下车库</v>
      </c>
      <c r="B8" s="2213" t="str">
        <f t="shared" si="1"/>
        <v>经营性</v>
      </c>
      <c r="C8" s="170" t="s">
        <v>3114</v>
      </c>
      <c r="D8" s="2184">
        <f>SUMIF(项目基本情况!D$15:I$15,C8,项目基本情况!D$18:I$18)</f>
        <v>50</v>
      </c>
      <c r="E8" s="2185">
        <f>IF(B8="","",SUMIF(项目基本情况!D$15:I$15,C8,项目基本情况!D$17:I$17))</f>
        <v>62594</v>
      </c>
      <c r="F8" s="171">
        <f>SUMIF(项目基本情况!D$15:I$15,C8,项目基本情况!D$19:I$19)</f>
        <v>49.48</v>
      </c>
      <c r="G8" s="172">
        <f t="shared" si="2"/>
        <v>0.997</v>
      </c>
      <c r="H8" s="2734">
        <v>4.4999999999999998E-2</v>
      </c>
      <c r="I8" s="2734">
        <v>0.05</v>
      </c>
      <c r="J8" s="173">
        <v>7.4999999999999997E-2</v>
      </c>
      <c r="K8" s="176">
        <f>SUMIF('数据-汇总表'!C$19:C$33,'数据-取费表'!A8,'数据-汇总表'!E$19:E$33)</f>
        <v>12284</v>
      </c>
      <c r="L8" s="3378">
        <f>L7</f>
        <v>3000</v>
      </c>
      <c r="M8" s="174">
        <f>ROUND(K8*L8/10000,0)</f>
        <v>3685</v>
      </c>
      <c r="N8" s="2735">
        <v>0</v>
      </c>
      <c r="O8" s="174">
        <f t="shared" si="3"/>
        <v>0</v>
      </c>
      <c r="P8" s="175">
        <f t="shared" si="4"/>
        <v>3685</v>
      </c>
      <c r="Q8" s="2736">
        <v>0.05</v>
      </c>
      <c r="R8" s="176">
        <f>SUMIF('数据-汇总表'!C$19:C$33,A8,'数据-汇总表'!R$19:R$33)</f>
        <v>4652.0599999999995</v>
      </c>
      <c r="S8" s="131">
        <f>IF('数据-汇总表'!$I$17="按面积比例",SUMIF('数据-汇总表'!C$19:C$33,A8,'数据-汇总表'!K$19:K$33),SUMIF('数据-汇总表'!C$19:C$33,A8,'数据-汇总表'!N$19:N$33))</f>
        <v>426.56</v>
      </c>
      <c r="T8" s="2110">
        <f t="shared" si="5"/>
        <v>128</v>
      </c>
      <c r="U8" s="177"/>
      <c r="V8" s="178"/>
      <c r="W8" s="178"/>
      <c r="X8" s="2197"/>
      <c r="Y8" s="179"/>
      <c r="Z8" s="180"/>
      <c r="AA8" s="173"/>
      <c r="AB8" s="173"/>
      <c r="AC8" s="2200"/>
      <c r="AD8" s="181"/>
      <c r="AE8" s="957">
        <f t="shared" ca="1" si="6"/>
        <v>0</v>
      </c>
      <c r="AF8" s="138"/>
      <c r="AG8" s="1193">
        <f t="shared" si="7"/>
        <v>0</v>
      </c>
      <c r="AH8" s="138">
        <f>'多规合一4、21、24、7'!W5</f>
        <v>529</v>
      </c>
      <c r="AI8" s="184">
        <v>365</v>
      </c>
      <c r="AJ8" s="185"/>
      <c r="AK8" s="186"/>
      <c r="AL8" s="187"/>
      <c r="AM8" s="2241"/>
      <c r="AN8" s="2243"/>
      <c r="AO8" s="3087"/>
      <c r="AP8" s="1184">
        <f t="shared" si="8"/>
        <v>0.88700000000000001</v>
      </c>
      <c r="AQ8" s="3087"/>
      <c r="AR8" s="3087"/>
      <c r="AS8" s="3087"/>
      <c r="AT8" s="3087"/>
      <c r="AU8" s="3087"/>
      <c r="AV8" s="3087"/>
      <c r="AW8" s="3087"/>
      <c r="AX8" s="3087"/>
      <c r="AY8" s="3087"/>
      <c r="AZ8" s="3087"/>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25">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7"/>
      <c r="AP9" s="1184">
        <f t="shared" si="8"/>
        <v>0</v>
      </c>
      <c r="AQ9" s="3087"/>
      <c r="AR9" s="3087"/>
      <c r="AS9" s="3087"/>
      <c r="AT9" s="3087"/>
      <c r="AU9" s="3087"/>
      <c r="AV9" s="3087"/>
      <c r="AW9" s="3087"/>
      <c r="AX9" s="3087"/>
      <c r="AY9" s="3087"/>
      <c r="AZ9" s="3087"/>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7"/>
      <c r="AP10" s="1184">
        <f t="shared" si="8"/>
        <v>0</v>
      </c>
      <c r="AQ10" s="3087"/>
      <c r="AR10" s="3087"/>
      <c r="AS10" s="3087"/>
      <c r="AT10" s="3087"/>
      <c r="AU10" s="3087"/>
      <c r="AV10" s="3087"/>
      <c r="AW10" s="3087"/>
      <c r="AX10" s="3087"/>
      <c r="AY10" s="3087"/>
      <c r="AZ10" s="3087"/>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7"/>
      <c r="AP11" s="1184">
        <f t="shared" si="8"/>
        <v>0</v>
      </c>
      <c r="AQ11" s="3087"/>
      <c r="AR11" s="3087"/>
      <c r="AS11" s="3087"/>
      <c r="AT11" s="3087"/>
      <c r="AU11" s="3087"/>
      <c r="AV11" s="3087"/>
      <c r="AW11" s="3087"/>
      <c r="AX11" s="3087"/>
      <c r="AY11" s="3087"/>
      <c r="AZ11" s="3087"/>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7"/>
      <c r="AP12" s="1184">
        <f t="shared" si="8"/>
        <v>0</v>
      </c>
      <c r="AQ12" s="3087"/>
      <c r="AR12" s="3087"/>
      <c r="AS12" s="3087"/>
      <c r="AT12" s="3087"/>
      <c r="AU12" s="3087"/>
      <c r="AV12" s="3087"/>
      <c r="AW12" s="3087"/>
      <c r="AX12" s="3087"/>
      <c r="AY12" s="3087"/>
      <c r="AZ12" s="3087"/>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7"/>
      <c r="AP13" s="1184">
        <f t="shared" si="8"/>
        <v>0</v>
      </c>
      <c r="AQ13" s="3087"/>
      <c r="AR13" s="3087"/>
      <c r="AS13" s="3087"/>
      <c r="AT13" s="3087"/>
      <c r="AU13" s="3087"/>
      <c r="AV13" s="3087"/>
      <c r="AW13" s="3087"/>
      <c r="AX13" s="3087"/>
      <c r="AY13" s="3087"/>
      <c r="AZ13" s="3087"/>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4.25">
      <c r="A14" s="2179" t="s">
        <v>2300</v>
      </c>
      <c r="B14" s="2182" t="s">
        <v>1669</v>
      </c>
      <c r="C14" s="2183" t="s">
        <v>2300</v>
      </c>
      <c r="D14" s="2184"/>
      <c r="E14" s="2185"/>
      <c r="F14" s="171"/>
      <c r="G14" s="172"/>
      <c r="H14" s="2186"/>
      <c r="I14" s="2186"/>
      <c r="J14" s="2186"/>
      <c r="K14" s="176">
        <f>SUMIF('数据-汇总表'!C$19:C$33,'数据-取费表'!A14,'数据-汇总表'!E$19:E$33)</f>
        <v>2100</v>
      </c>
      <c r="L14" s="3379">
        <f>L8</f>
        <v>3000</v>
      </c>
      <c r="M14" s="174">
        <f t="shared" si="0"/>
        <v>630</v>
      </c>
      <c r="N14" s="191">
        <v>0</v>
      </c>
      <c r="O14" s="174">
        <f t="shared" si="3"/>
        <v>0</v>
      </c>
      <c r="P14" s="175">
        <f t="shared" si="4"/>
        <v>630</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7"/>
      <c r="AO14" s="3087"/>
      <c r="AP14" s="3087"/>
      <c r="AQ14" s="3087"/>
      <c r="AR14" s="3087"/>
      <c r="AS14" s="3087"/>
      <c r="AT14" s="3087"/>
      <c r="AU14" s="3087"/>
      <c r="AV14" s="3087"/>
      <c r="AW14" s="3087"/>
      <c r="AX14" s="3087"/>
      <c r="AY14" s="3087"/>
      <c r="AZ14" s="3087"/>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7">
      <c r="A15" s="2188" t="s">
        <v>2302</v>
      </c>
      <c r="B15" s="2182" t="s">
        <v>1669</v>
      </c>
      <c r="C15" s="2183" t="s">
        <v>2301</v>
      </c>
      <c r="D15" s="2184"/>
      <c r="E15" s="2185"/>
      <c r="F15" s="171"/>
      <c r="G15" s="172"/>
      <c r="H15" s="2186"/>
      <c r="I15" s="2186"/>
      <c r="J15" s="2186"/>
      <c r="K15" s="176">
        <f>SUMIF('数据-汇总表'!C$19:C$33,'数据-取费表'!A15,'数据-汇总表'!E$19:E$33)</f>
        <v>540</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7"/>
      <c r="AO15" s="3087"/>
      <c r="AP15" s="3087"/>
      <c r="AQ15" s="3087"/>
      <c r="AR15" s="3087"/>
      <c r="AS15" s="3087"/>
      <c r="AT15" s="3087"/>
      <c r="AU15" s="3087"/>
      <c r="AV15" s="3087"/>
      <c r="AW15" s="3087"/>
      <c r="AX15" s="3087"/>
      <c r="AY15" s="3087"/>
      <c r="AZ15" s="3087"/>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75" thickBot="1">
      <c r="A16" s="195" t="s">
        <v>262</v>
      </c>
      <c r="B16" s="196"/>
      <c r="C16" s="197"/>
      <c r="D16" s="198"/>
      <c r="E16" s="196"/>
      <c r="F16" s="196"/>
      <c r="G16" s="199">
        <f>ROUND(SUMPRODUCT(G6:G13,K6:K13)/SUMPRODUCT((G6:G13&gt;0)*(K6:K13)),3)</f>
        <v>0.998</v>
      </c>
      <c r="H16" s="200">
        <f>ROUND(SUMPRODUCT(H6:H13,K6:K13)/SUMPRODUCT((H6:H13&gt;0)*(K6:K13)),3)</f>
        <v>4.4999999999999998E-2</v>
      </c>
      <c r="I16" s="201"/>
      <c r="J16" s="201"/>
      <c r="K16" s="202">
        <f>SUM(K6:K15)</f>
        <v>63115.493000000002</v>
      </c>
      <c r="L16" s="203">
        <f>ROUND(M16*10000/SUM(K6:K14),0)</f>
        <v>4326</v>
      </c>
      <c r="M16" s="203">
        <f>SUM(M6:M14)</f>
        <v>27070</v>
      </c>
      <c r="N16" s="204">
        <f>ROUND(SUMPRODUCT(M6:M14,N6:N14)/M16,3)</f>
        <v>0</v>
      </c>
      <c r="O16" s="203">
        <f>SUM(O6:O14)</f>
        <v>0</v>
      </c>
      <c r="P16" s="203">
        <f>SUM(P6:P14)</f>
        <v>27070</v>
      </c>
      <c r="Q16" s="205">
        <f>ROUND(SUMPRODUCT(Q6:Q13,K6:K13)/SUMPRODUCT((Q6:Q13&gt;0)*(K6:K13)),2)</f>
        <v>0.12</v>
      </c>
      <c r="R16" s="2187">
        <f>SUM(R6:R13)</f>
        <v>23100.260000000002</v>
      </c>
      <c r="S16" s="206">
        <f>SUM(S6:S13)</f>
        <v>2100</v>
      </c>
      <c r="T16" s="207">
        <f>IF(SUMIF(T6:T13,"&lt;9E307")=M14,SUMIF(T6:T13,"&lt;9E307"),"有误，请检查")</f>
        <v>630</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4">
        <f>ROUND(SUMPRODUCT(AP6:AP13,K6:K13)/SUMPRODUCT((AP6:AP13&gt;0)*(K6:K13)),3)</f>
        <v>0.93200000000000005</v>
      </c>
      <c r="AQ16" s="3087"/>
      <c r="AR16" s="3087"/>
      <c r="AS16" s="3087"/>
      <c r="AT16" s="3087"/>
      <c r="AU16" s="3087"/>
      <c r="AV16" s="3087"/>
      <c r="AW16" s="3087"/>
      <c r="AX16" s="3087"/>
      <c r="AY16" s="3087"/>
      <c r="AZ16" s="3087"/>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4"/>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7" t="s">
        <v>263</v>
      </c>
      <c r="B18" s="3087"/>
      <c r="C18" s="3087"/>
      <c r="D18" s="3088"/>
      <c r="E18" s="3087"/>
      <c r="F18" s="3087"/>
      <c r="G18" s="3087"/>
      <c r="H18" s="3087"/>
      <c r="I18" s="3087"/>
      <c r="J18" s="3087"/>
      <c r="K18" s="3086"/>
      <c r="L18" s="3086"/>
      <c r="M18" s="3084"/>
      <c r="N18" s="3084"/>
      <c r="O18" s="3084"/>
      <c r="P18" s="3084"/>
      <c r="Q18" s="3084">
        <f>Q6/B20</f>
        <v>9.9999999999999992E-2</v>
      </c>
      <c r="R18" s="3084"/>
      <c r="S18" s="3084"/>
      <c r="T18" s="3084"/>
      <c r="U18" s="3084"/>
      <c r="V18" s="3084"/>
      <c r="W18" s="3084"/>
      <c r="X18" s="3084"/>
      <c r="Y18" s="3084"/>
      <c r="Z18" s="3084"/>
      <c r="AA18" s="3084"/>
      <c r="AB18" s="3084"/>
      <c r="AC18" s="3084"/>
      <c r="AD18" s="3084"/>
      <c r="AE18" s="3084"/>
      <c r="AF18" s="3084"/>
      <c r="AG18" s="3084"/>
      <c r="AH18" s="3084">
        <f>K8/AH8</f>
        <v>23.221172022684311</v>
      </c>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2964</v>
      </c>
      <c r="D19" s="3088"/>
      <c r="E19" s="3087"/>
      <c r="F19" s="3087"/>
      <c r="G19" s="3087"/>
      <c r="H19" s="3087"/>
      <c r="I19" s="3087"/>
      <c r="J19" s="3087"/>
      <c r="K19" s="3086"/>
      <c r="L19" s="3086"/>
      <c r="M19" s="3084"/>
      <c r="N19" s="3084"/>
      <c r="O19" s="3084"/>
      <c r="P19" s="3084"/>
      <c r="Q19" s="3084">
        <f>Q7/B20</f>
        <v>5.3333333333333337E-2</v>
      </c>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3315">
        <v>1.5</v>
      </c>
      <c r="C20" s="3099" t="s">
        <v>2321</v>
      </c>
      <c r="D20" s="3088"/>
      <c r="E20" s="3087"/>
      <c r="F20" s="3087"/>
      <c r="G20" s="3087"/>
      <c r="H20" s="3087"/>
      <c r="I20" s="3087"/>
      <c r="J20" s="3087"/>
      <c r="K20" s="3086"/>
      <c r="L20" s="3086"/>
      <c r="M20" s="3084"/>
      <c r="N20" s="3084"/>
      <c r="O20" s="3084"/>
      <c r="P20" s="3084"/>
      <c r="Q20" s="3084">
        <f>Q8/B20</f>
        <v>3.3333333333333333E-2</v>
      </c>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1.5</v>
      </c>
      <c r="C22" s="3087"/>
      <c r="D22" s="3088"/>
      <c r="E22" s="3087"/>
      <c r="F22" s="3087"/>
      <c r="G22" s="3087"/>
      <c r="H22" s="3087"/>
      <c r="I22" s="3087"/>
      <c r="J22" s="3087"/>
      <c r="K22" s="3086"/>
      <c r="L22" s="3086"/>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407">
        <f>K16+'数据-取费表'!$K$16+'[1]数据-取费表'!$K$16+'[2]数据-取费表'!$K$16+'[5]数据-取费表'!$K$16+'[3]数据-取费表'!$K$16+'[4]数据-取费表'!$K$16</f>
        <v>280154.38800000004</v>
      </c>
      <c r="L23" s="3084"/>
      <c r="M23" s="3084">
        <f>M16+'数据-取费表'!$M$16+'[1]数据-取费表'!$M$16+'[5]数据-取费表'!$M$16+'[3]数据-取费表'!$M$16+'[4]数据-取费表'!$M$16+'[2]数据-取费表'!$M$16</f>
        <v>116623</v>
      </c>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1.5</v>
      </c>
      <c r="C24" s="3087"/>
      <c r="D24" s="3088"/>
      <c r="E24" s="3087"/>
      <c r="F24" s="3087"/>
      <c r="G24" s="3087"/>
      <c r="H24" s="3087"/>
      <c r="I24" s="3087"/>
      <c r="J24" s="3087"/>
      <c r="K24" s="3086"/>
      <c r="L24" s="3086"/>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7"/>
      <c r="B25" s="1184"/>
      <c r="C25" s="3087"/>
      <c r="D25" s="3088"/>
      <c r="E25" s="3087"/>
      <c r="F25" s="3087"/>
      <c r="G25" s="3087"/>
      <c r="H25" s="3087"/>
      <c r="I25" s="3087"/>
      <c r="J25" s="3087"/>
      <c r="K25" s="3086"/>
      <c r="L25" s="3086"/>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6" t="s">
        <v>270</v>
      </c>
      <c r="B26" s="222" t="s">
        <v>271</v>
      </c>
      <c r="C26" s="3089" t="s">
        <v>272</v>
      </c>
      <c r="D26" s="3088"/>
      <c r="E26" s="3087"/>
      <c r="F26" s="3087"/>
      <c r="G26" s="3087"/>
      <c r="H26" s="3087"/>
      <c r="I26" s="3087"/>
      <c r="J26" s="3087"/>
      <c r="K26" s="3086"/>
      <c r="L26" s="3086">
        <f>68-46.53</f>
        <v>21.47</v>
      </c>
      <c r="M26" s="3084"/>
      <c r="N26" s="3084">
        <f>'剩余法-待开发'!C6+'剩余法-待开发'!$C$6+'[1]剩余法-待开发'!$C$6+'[2]剩余法-待开发'!$C$6+'[5]剩余法-待开发'!$C$6+'[3]剩余法-待开发'!$C$6+'[4]剩余法-待开发'!$C$6</f>
        <v>834159</v>
      </c>
      <c r="O26" s="3084">
        <f ca="1">'剩余法-待开发'!B2+'剩余法-待开发'!$B$2+'[1]剩余法-待开发'!$B$2+'[2]剩余法-待开发'!$B$2+'[5]剩余法-待开发'!$B$2+'[3]剩余法-待开发'!$B$2+'[4]剩余法-待开发'!$B$2</f>
        <v>489761</v>
      </c>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5" customFormat="1" ht="27.75">
      <c r="A27" s="223" t="s">
        <v>2323</v>
      </c>
      <c r="B27" s="224">
        <v>160</v>
      </c>
      <c r="C27" s="3100" t="s">
        <v>2965</v>
      </c>
      <c r="D27" s="3091"/>
      <c r="E27" s="3092"/>
      <c r="F27" s="3092"/>
      <c r="G27" s="3087"/>
      <c r="H27" s="3087"/>
      <c r="I27" s="3087"/>
      <c r="J27" s="3087"/>
      <c r="K27" s="3086"/>
      <c r="L27" s="3086">
        <f>L26/K23*10000</f>
        <v>0.76636315259142018</v>
      </c>
      <c r="M27" s="3084"/>
      <c r="N27" s="3084">
        <f ca="1">N26-O26</f>
        <v>344398</v>
      </c>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7.75">
      <c r="A28" s="225" t="s">
        <v>2324</v>
      </c>
      <c r="B28" s="226">
        <v>200</v>
      </c>
      <c r="C28" s="3093"/>
      <c r="D28" s="3091"/>
      <c r="E28" s="3092"/>
      <c r="F28" s="3092"/>
      <c r="G28" s="3087"/>
      <c r="H28" s="3087"/>
      <c r="I28" s="3087"/>
      <c r="J28" s="3087"/>
      <c r="K28" s="3086"/>
      <c r="L28" s="3086"/>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8.5" thickBot="1">
      <c r="A29" s="228" t="s">
        <v>2322</v>
      </c>
      <c r="B29" s="229"/>
      <c r="C29" s="3101" t="s">
        <v>2325</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7">
      <c r="A30" s="232" t="s">
        <v>273</v>
      </c>
      <c r="B30" s="963">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7">
      <c r="A31" s="225" t="s">
        <v>274</v>
      </c>
      <c r="B31" s="227">
        <f>B30-B32</f>
        <v>170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7.75" thickBot="1">
      <c r="A32" s="234" t="s">
        <v>275</v>
      </c>
      <c r="B32" s="1326">
        <v>30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25">
      <c r="A33" s="223" t="s">
        <v>278</v>
      </c>
      <c r="B33" s="1327">
        <v>0.05</v>
      </c>
      <c r="C33" s="3102" t="s">
        <v>2953</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279</v>
      </c>
      <c r="B34" s="3377">
        <v>0.08</v>
      </c>
      <c r="C34" s="3102" t="s">
        <v>2954</v>
      </c>
      <c r="D34" s="3103" t="s">
        <v>2961</v>
      </c>
      <c r="E34" s="3084">
        <f ca="1">'剩余法-待开发'!C15</f>
        <v>1660</v>
      </c>
      <c r="F34" s="3087">
        <f ca="1">E34/'数据-汇总表'!E29*10000</f>
        <v>30740.740740740741</v>
      </c>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226">
        <v>200</v>
      </c>
      <c r="C35" s="3102" t="s">
        <v>2955</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8" t="s">
        <v>277</v>
      </c>
      <c r="B36" s="231">
        <v>1.4999999999999999E-2</v>
      </c>
      <c r="C36" s="3102" t="s">
        <v>2956</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2" t="s">
        <v>280</v>
      </c>
      <c r="B37" s="233">
        <v>2.5000000000000001E-2</v>
      </c>
      <c r="C37" s="3102" t="s">
        <v>2957</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30">
        <v>2.5000000000000001E-2</v>
      </c>
      <c r="C38" s="3102" t="s">
        <v>2957</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8" t="s">
        <v>2436</v>
      </c>
      <c r="B39" s="789">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27.75" thickBot="1">
      <c r="A40" s="3272" t="s">
        <v>3127</v>
      </c>
      <c r="B40" s="2330">
        <f ca="1">IF(A40="利息：取LPR",存贷款利率!E2,存贷款利率!E2+C40)</f>
        <v>4.3499999999999997E-2</v>
      </c>
      <c r="C40" s="3273">
        <v>5.0000000000000001E-3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5">
        <f>B42+B43</f>
        <v>5.5000000000000007E-2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4" t="s">
        <v>283</v>
      </c>
      <c r="B42" s="237">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4" t="s">
        <v>284</v>
      </c>
      <c r="B43" s="238">
        <f>B42*(B44+B45+B46)+B47</f>
        <v>5.000000000000001E-3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6" t="s">
        <v>285</v>
      </c>
      <c r="B44" s="239">
        <v>0.05</v>
      </c>
      <c r="C44" s="3102" t="s">
        <v>2962</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6" t="s">
        <v>286</v>
      </c>
      <c r="B45" s="237">
        <v>0.03</v>
      </c>
      <c r="C45" s="3105" t="s">
        <v>2958</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6" t="s">
        <v>287</v>
      </c>
      <c r="B46" s="237">
        <v>0.02</v>
      </c>
      <c r="C46" s="3105" t="s">
        <v>2959</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40" t="s">
        <v>288</v>
      </c>
      <c r="B47" s="241"/>
      <c r="C47" s="3100" t="s">
        <v>2966</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2" t="s">
        <v>289</v>
      </c>
      <c r="B48" s="243">
        <v>0.03</v>
      </c>
      <c r="C48" s="3105" t="s">
        <v>2958</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4" t="s">
        <v>290</v>
      </c>
      <c r="B49" s="237">
        <v>5.0000000000000001E-4</v>
      </c>
      <c r="C49" s="3105" t="s">
        <v>2960</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4" t="s">
        <v>291</v>
      </c>
      <c r="B50" s="245">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8" t="s">
        <v>292</v>
      </c>
      <c r="B51" s="246">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4" t="s">
        <v>293</v>
      </c>
      <c r="B52" s="247">
        <f>SUMIF(A54:A63,B53,B54:B63)</f>
        <v>1.5</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8" t="s">
        <v>1399</v>
      </c>
      <c r="C53" s="3095" t="s">
        <v>2859</v>
      </c>
      <c r="D53" s="3106" t="s">
        <v>2963</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69" t="s">
        <v>2860</v>
      </c>
      <c r="B54" s="183"/>
      <c r="C54" s="3092">
        <v>30</v>
      </c>
      <c r="D54" s="3096"/>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69" t="s">
        <v>2861</v>
      </c>
      <c r="B55" s="183"/>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69" t="s">
        <v>2862</v>
      </c>
      <c r="B56" s="183"/>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69" t="s">
        <v>2863</v>
      </c>
      <c r="B57" s="183"/>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69" t="s">
        <v>2864</v>
      </c>
      <c r="B58" s="183"/>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69" t="s">
        <v>2865</v>
      </c>
      <c r="B59" s="183">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69" t="s">
        <v>2866</v>
      </c>
      <c r="B60" s="183"/>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69" t="s">
        <v>2867</v>
      </c>
      <c r="B61" s="183"/>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69" t="s">
        <v>2868</v>
      </c>
      <c r="B62" s="183"/>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0" t="s">
        <v>2869</v>
      </c>
      <c r="B63" s="249"/>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29"/>
  <sheetViews>
    <sheetView topLeftCell="B1" zoomScale="130" zoomScaleNormal="130" workbookViewId="0">
      <selection activeCell="B11" sqref="B11"/>
    </sheetView>
  </sheetViews>
  <sheetFormatPr defaultRowHeight="13.5"/>
  <cols>
    <col min="1" max="1" width="15.625" customWidth="1"/>
    <col min="2" max="2" width="30.875" style="3286" customWidth="1"/>
    <col min="3" max="3" width="8" customWidth="1"/>
    <col min="4" max="4" width="31.625" customWidth="1"/>
    <col min="5" max="5" width="5.625" customWidth="1"/>
    <col min="6" max="6" width="31.625" customWidth="1"/>
    <col min="7" max="7" width="5.625" customWidth="1"/>
    <col min="8" max="8" width="30.625" customWidth="1"/>
    <col min="9" max="9" width="5.625" customWidth="1"/>
    <col min="10" max="10" width="30.625" customWidth="1"/>
    <col min="11" max="11" width="5.625" customWidth="1"/>
    <col min="12" max="12" width="30.625" customWidth="1"/>
    <col min="13" max="13" width="5.625" customWidth="1"/>
    <col min="14" max="14" width="30.625" customWidth="1"/>
    <col min="15" max="15" width="11.625" bestFit="1" customWidth="1"/>
    <col min="17" max="17" width="10.5" bestFit="1" customWidth="1"/>
  </cols>
  <sheetData>
    <row r="1" spans="1:14" ht="18.75">
      <c r="A1" s="3525" t="s">
        <v>2989</v>
      </c>
      <c r="B1" s="3526"/>
    </row>
    <row r="2" spans="1:14">
      <c r="A2" s="3288" t="s">
        <v>2991</v>
      </c>
      <c r="B2" s="3290" t="s">
        <v>2992</v>
      </c>
      <c r="C2" s="3241"/>
    </row>
    <row r="3" spans="1:14">
      <c r="A3" s="3288" t="s">
        <v>2993</v>
      </c>
      <c r="B3" s="3290" t="s">
        <v>2994</v>
      </c>
    </row>
    <row r="4" spans="1:14">
      <c r="A4" s="3288" t="s">
        <v>2995</v>
      </c>
      <c r="B4" s="3289">
        <v>101025.72500000001</v>
      </c>
    </row>
    <row r="5" spans="1:14" ht="81">
      <c r="A5" s="3288" t="s">
        <v>2996</v>
      </c>
      <c r="B5" s="3291" t="s">
        <v>3050</v>
      </c>
    </row>
    <row r="6" spans="1:14">
      <c r="A6" s="3292" t="s">
        <v>2997</v>
      </c>
      <c r="B6" s="3289">
        <v>177256.92</v>
      </c>
    </row>
    <row r="7" spans="1:14">
      <c r="A7" s="3292" t="s">
        <v>2998</v>
      </c>
      <c r="B7" s="3289">
        <v>174094.06400000001</v>
      </c>
    </row>
    <row r="8" spans="1:14">
      <c r="A8" s="3292" t="s">
        <v>2999</v>
      </c>
      <c r="B8" s="3289">
        <v>170949.02499999999</v>
      </c>
    </row>
    <row r="9" spans="1:14">
      <c r="A9" s="3292" t="s">
        <v>3000</v>
      </c>
      <c r="B9" s="3289">
        <v>3145.0390000000002</v>
      </c>
    </row>
    <row r="10" spans="1:14">
      <c r="A10" s="3292" t="s">
        <v>3001</v>
      </c>
      <c r="B10" s="3289">
        <v>3162.8560000000002</v>
      </c>
      <c r="C10" s="3241" t="s">
        <v>3004</v>
      </c>
      <c r="D10" s="3241" t="s">
        <v>3005</v>
      </c>
    </row>
    <row r="11" spans="1:14">
      <c r="A11" s="3292" t="s">
        <v>3002</v>
      </c>
      <c r="B11" s="3289">
        <v>451600</v>
      </c>
      <c r="C11">
        <v>78191</v>
      </c>
      <c r="D11">
        <v>373409</v>
      </c>
      <c r="E11">
        <v>9844.3341</v>
      </c>
      <c r="F11">
        <f>E11+C11</f>
        <v>88035.334100000007</v>
      </c>
    </row>
    <row r="12" spans="1:14">
      <c r="A12" s="3292" t="s">
        <v>3003</v>
      </c>
      <c r="B12" s="3293">
        <v>25558</v>
      </c>
    </row>
    <row r="13" spans="1:14">
      <c r="A13" s="3292" t="s">
        <v>3006</v>
      </c>
      <c r="B13" s="3290" t="s">
        <v>3007</v>
      </c>
      <c r="F13">
        <f>E11+B11</f>
        <v>461444.33409999998</v>
      </c>
    </row>
    <row r="15" spans="1:14" ht="18.75">
      <c r="A15" s="3309" t="s">
        <v>3008</v>
      </c>
      <c r="B15" s="3307"/>
      <c r="C15" s="3307"/>
      <c r="D15" s="3307"/>
      <c r="E15" s="3307"/>
      <c r="F15" s="3307"/>
      <c r="G15" s="3307"/>
      <c r="H15" s="3307"/>
      <c r="I15" s="3307"/>
      <c r="J15" s="3307"/>
      <c r="K15" s="3307"/>
      <c r="L15" s="3307"/>
      <c r="M15" s="3307"/>
      <c r="N15" s="3308"/>
    </row>
    <row r="16" spans="1:14">
      <c r="A16" s="3294" t="s">
        <v>3010</v>
      </c>
      <c r="B16" s="3297" t="s">
        <v>3011</v>
      </c>
      <c r="C16" s="3286"/>
      <c r="D16" s="3416" t="s">
        <v>3022</v>
      </c>
      <c r="E16" s="3286"/>
      <c r="F16" s="3290" t="s">
        <v>3023</v>
      </c>
      <c r="G16" s="3286"/>
      <c r="H16" s="3296" t="s">
        <v>3024</v>
      </c>
      <c r="I16" s="3286"/>
      <c r="J16" s="3416" t="s">
        <v>3025</v>
      </c>
      <c r="K16" s="3286"/>
      <c r="L16" s="3290" t="s">
        <v>3026</v>
      </c>
      <c r="M16" s="3286"/>
      <c r="N16" s="3296" t="s">
        <v>3027</v>
      </c>
    </row>
    <row r="17" spans="1:17">
      <c r="A17" s="3294" t="s">
        <v>2990</v>
      </c>
      <c r="B17" s="3290" t="s">
        <v>3009</v>
      </c>
      <c r="C17" s="3286"/>
      <c r="D17" s="3290" t="s">
        <v>3034</v>
      </c>
      <c r="E17" s="3286"/>
      <c r="F17" s="3290" t="s">
        <v>3035</v>
      </c>
      <c r="G17" s="3286"/>
      <c r="H17" s="3290" t="s">
        <v>3038</v>
      </c>
      <c r="I17" s="3286"/>
      <c r="J17" s="3290" t="s">
        <v>3042</v>
      </c>
      <c r="K17" s="3286"/>
      <c r="L17" s="3290" t="s">
        <v>3045</v>
      </c>
      <c r="M17" s="3286"/>
      <c r="N17" s="3290" t="s">
        <v>3040</v>
      </c>
    </row>
    <row r="18" spans="1:17">
      <c r="A18" s="3294" t="s">
        <v>3012</v>
      </c>
      <c r="B18" s="3290" t="s">
        <v>3013</v>
      </c>
      <c r="C18" s="3286"/>
      <c r="D18" s="3290" t="s">
        <v>3013</v>
      </c>
      <c r="E18" s="3286"/>
      <c r="F18" s="3290" t="s">
        <v>3013</v>
      </c>
      <c r="G18" s="3286"/>
      <c r="H18" s="3290" t="s">
        <v>3013</v>
      </c>
      <c r="I18" s="3286"/>
      <c r="J18" s="3290" t="s">
        <v>3013</v>
      </c>
      <c r="K18" s="3286"/>
      <c r="L18" s="3290" t="s">
        <v>3013</v>
      </c>
      <c r="M18" s="3286"/>
      <c r="N18" s="3290" t="s">
        <v>3013</v>
      </c>
    </row>
    <row r="19" spans="1:17" ht="40.5">
      <c r="A19" s="3294" t="s">
        <v>2996</v>
      </c>
      <c r="B19" s="3291" t="s">
        <v>3014</v>
      </c>
      <c r="C19" s="3286"/>
      <c r="D19" s="3291" t="s">
        <v>3028</v>
      </c>
      <c r="E19" s="3286"/>
      <c r="F19" s="3291" t="s">
        <v>3029</v>
      </c>
      <c r="G19" s="3286"/>
      <c r="H19" s="3291" t="s">
        <v>3030</v>
      </c>
      <c r="I19" s="3286"/>
      <c r="J19" s="3291" t="s">
        <v>3031</v>
      </c>
      <c r="K19" s="3286"/>
      <c r="L19" s="3291" t="s">
        <v>3032</v>
      </c>
      <c r="M19" s="3286"/>
      <c r="N19" s="3291" t="s">
        <v>3033</v>
      </c>
    </row>
    <row r="20" spans="1:17">
      <c r="A20" s="3294" t="s">
        <v>3015</v>
      </c>
      <c r="B20" s="3290" t="s">
        <v>3016</v>
      </c>
      <c r="C20" s="3286"/>
      <c r="D20" s="3290" t="s">
        <v>3036</v>
      </c>
      <c r="E20" s="3286"/>
      <c r="F20" s="3290" t="s">
        <v>3037</v>
      </c>
      <c r="G20" s="3286"/>
      <c r="H20" s="3290" t="s">
        <v>3039</v>
      </c>
      <c r="I20" s="3286"/>
      <c r="J20" s="3290" t="s">
        <v>3043</v>
      </c>
      <c r="K20" s="3286"/>
      <c r="L20" s="3290" t="s">
        <v>3044</v>
      </c>
      <c r="M20" s="3286"/>
      <c r="N20" s="3290" t="s">
        <v>3041</v>
      </c>
    </row>
    <row r="21" spans="1:17">
      <c r="A21" s="3294" t="s">
        <v>3017</v>
      </c>
      <c r="B21" s="3290" t="s">
        <v>3018</v>
      </c>
      <c r="C21" s="3286"/>
      <c r="D21" s="3290" t="s">
        <v>3018</v>
      </c>
      <c r="E21" s="3286"/>
      <c r="F21" s="3290" t="s">
        <v>3018</v>
      </c>
      <c r="G21" s="3286"/>
      <c r="H21" s="3290" t="s">
        <v>3018</v>
      </c>
      <c r="I21" s="3286"/>
      <c r="J21" s="3290" t="s">
        <v>3018</v>
      </c>
      <c r="K21" s="3286"/>
      <c r="L21" s="3290" t="s">
        <v>3018</v>
      </c>
      <c r="M21" s="3286"/>
      <c r="N21" s="3290" t="s">
        <v>3018</v>
      </c>
    </row>
    <row r="22" spans="1:17">
      <c r="A22" s="3294" t="s">
        <v>3019</v>
      </c>
      <c r="B22" s="3289">
        <v>20970.98</v>
      </c>
      <c r="C22" s="3286"/>
      <c r="D22" s="3289">
        <v>23100.27</v>
      </c>
      <c r="E22" s="3286"/>
      <c r="F22" s="3289">
        <v>9491.26</v>
      </c>
      <c r="G22" s="3286"/>
      <c r="H22" s="3289">
        <v>16446.03</v>
      </c>
      <c r="I22" s="3286"/>
      <c r="J22" s="3289">
        <v>19440.55</v>
      </c>
      <c r="K22" s="3286"/>
      <c r="L22" s="3289">
        <v>9829.39</v>
      </c>
      <c r="M22" s="3286"/>
      <c r="N22" s="3289">
        <v>1747.24</v>
      </c>
      <c r="O22" s="3295">
        <f>N22+L22+J22+H22+F22+D22+B22</f>
        <v>101025.72</v>
      </c>
      <c r="Q22" s="3295">
        <f>O22-N22</f>
        <v>99278.48</v>
      </c>
    </row>
    <row r="23" spans="1:17" ht="27">
      <c r="A23" s="3294" t="s">
        <v>3020</v>
      </c>
      <c r="B23" s="3291" t="s">
        <v>3021</v>
      </c>
      <c r="C23" s="3286"/>
      <c r="D23" s="3291" t="s">
        <v>3021</v>
      </c>
      <c r="E23" s="3286"/>
      <c r="F23" s="3291" t="s">
        <v>3021</v>
      </c>
      <c r="G23" s="3286"/>
      <c r="H23" s="3291" t="s">
        <v>3021</v>
      </c>
      <c r="I23" s="3286"/>
      <c r="J23" s="3291" t="s">
        <v>3021</v>
      </c>
      <c r="K23" s="3286"/>
      <c r="L23" s="3291" t="s">
        <v>3021</v>
      </c>
      <c r="M23" s="3286"/>
      <c r="N23" s="3291" t="s">
        <v>3021</v>
      </c>
    </row>
    <row r="25" spans="1:17">
      <c r="C25" s="3241" t="s">
        <v>3117</v>
      </c>
    </row>
    <row r="26" spans="1:17">
      <c r="A26">
        <v>25558</v>
      </c>
      <c r="B26" s="3287" t="s">
        <v>3116</v>
      </c>
      <c r="C26">
        <f>ROUND(A26*0.2*0.25,0)</f>
        <v>1278</v>
      </c>
      <c r="D26">
        <v>27795</v>
      </c>
      <c r="E26">
        <f>C26*D26/10000</f>
        <v>3552.201</v>
      </c>
    </row>
    <row r="27" spans="1:17">
      <c r="B27" s="3287" t="s">
        <v>3118</v>
      </c>
      <c r="C27">
        <f>ROUND(A26*0.15*0.2,0)</f>
        <v>767</v>
      </c>
      <c r="D27">
        <v>53073.599999999999</v>
      </c>
      <c r="E27">
        <f>C27*D27/10000</f>
        <v>4070.7451199999996</v>
      </c>
    </row>
    <row r="28" spans="1:17">
      <c r="E28">
        <f>E26+E27</f>
        <v>7622.9461199999996</v>
      </c>
    </row>
    <row r="29" spans="1:17">
      <c r="E29">
        <f>E28</f>
        <v>7622.9461199999996</v>
      </c>
    </row>
  </sheetData>
  <mergeCells count="1">
    <mergeCell ref="A1:B1"/>
  </mergeCells>
  <phoneticPr fontId="229" type="noConversion"/>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Z27"/>
  <sheetViews>
    <sheetView topLeftCell="H1" workbookViewId="0">
      <selection activeCell="T5" sqref="T5"/>
    </sheetView>
  </sheetViews>
  <sheetFormatPr defaultRowHeight="13.5"/>
  <cols>
    <col min="2" max="2" width="9.5" bestFit="1" customWidth="1"/>
    <col min="3" max="3" width="10.125" customWidth="1"/>
    <col min="4" max="4" width="26.125" customWidth="1"/>
    <col min="5" max="5" width="10.5" customWidth="1"/>
    <col min="6" max="6" width="11.5" customWidth="1"/>
  </cols>
  <sheetData>
    <row r="2" spans="1:26" s="2" customFormat="1">
      <c r="A2" s="3527" t="s">
        <v>3053</v>
      </c>
      <c r="B2" s="3531">
        <f>权属信息!D22</f>
        <v>23100.27</v>
      </c>
      <c r="C2" s="3531">
        <f>ROUND((E5-J5)/B2,2)</f>
        <v>1.8</v>
      </c>
      <c r="D2" s="3528" t="s">
        <v>3107</v>
      </c>
      <c r="E2" s="3291" t="s">
        <v>3058</v>
      </c>
      <c r="F2" s="3291"/>
      <c r="G2" s="3291"/>
      <c r="H2" s="3291"/>
      <c r="I2" s="3291"/>
      <c r="J2" s="3291"/>
      <c r="K2" s="3291"/>
      <c r="L2" s="3291"/>
      <c r="M2" s="3291"/>
      <c r="N2" s="3291"/>
      <c r="O2" s="3291"/>
      <c r="P2" s="3291"/>
      <c r="Q2" s="3529" t="s">
        <v>3059</v>
      </c>
      <c r="R2" s="3530"/>
      <c r="S2" s="3528" t="s">
        <v>3061</v>
      </c>
      <c r="T2" s="3528"/>
      <c r="U2" s="3531" t="s">
        <v>3067</v>
      </c>
      <c r="V2" s="3302"/>
    </row>
    <row r="3" spans="1:26" s="2" customFormat="1">
      <c r="A3" s="3527"/>
      <c r="B3" s="3532"/>
      <c r="C3" s="3532"/>
      <c r="D3" s="3528"/>
      <c r="E3" s="3291" t="s">
        <v>3081</v>
      </c>
      <c r="F3" s="3291"/>
      <c r="G3" s="3291"/>
      <c r="H3" s="3291"/>
      <c r="I3" s="3291"/>
      <c r="J3" s="3291"/>
      <c r="K3" s="3291" t="s">
        <v>3057</v>
      </c>
      <c r="L3" s="3291"/>
      <c r="M3" s="3291"/>
      <c r="N3" s="3291"/>
      <c r="O3" s="3291"/>
      <c r="P3" s="3291"/>
      <c r="Q3" s="3305"/>
      <c r="R3" s="3300"/>
      <c r="S3" s="3291"/>
      <c r="T3" s="3291"/>
      <c r="U3" s="3532"/>
      <c r="V3" s="3302"/>
    </row>
    <row r="4" spans="1:26" s="2" customFormat="1" ht="27">
      <c r="A4" s="3527"/>
      <c r="B4" s="3533"/>
      <c r="C4" s="3533"/>
      <c r="D4" s="3528"/>
      <c r="E4" s="3291" t="s">
        <v>3084</v>
      </c>
      <c r="F4" s="3291" t="s">
        <v>3082</v>
      </c>
      <c r="G4" s="3291" t="s">
        <v>3098</v>
      </c>
      <c r="H4" s="3291" t="s">
        <v>3075</v>
      </c>
      <c r="I4" s="3291" t="s">
        <v>3097</v>
      </c>
      <c r="J4" s="3291" t="s">
        <v>3078</v>
      </c>
      <c r="K4" s="3291" t="s">
        <v>3083</v>
      </c>
      <c r="L4" s="3291" t="s">
        <v>3062</v>
      </c>
      <c r="M4" s="3291" t="s">
        <v>3076</v>
      </c>
      <c r="N4" s="3291" t="s">
        <v>3079</v>
      </c>
      <c r="O4" s="3291" t="s">
        <v>3063</v>
      </c>
      <c r="P4" s="3306" t="s">
        <v>3101</v>
      </c>
      <c r="Q4" s="3305" t="s">
        <v>3060</v>
      </c>
      <c r="R4" s="3291" t="s">
        <v>3057</v>
      </c>
      <c r="S4" s="3291" t="s">
        <v>3060</v>
      </c>
      <c r="T4" s="3291" t="s">
        <v>3057</v>
      </c>
      <c r="U4" s="3533"/>
      <c r="V4" s="3302"/>
      <c r="W4" s="3298" t="s">
        <v>3109</v>
      </c>
      <c r="X4" s="3298" t="s">
        <v>3110</v>
      </c>
    </row>
    <row r="5" spans="1:26">
      <c r="C5">
        <f>D5-J5-P5</f>
        <v>63115.493000000002</v>
      </c>
      <c r="D5">
        <f>E5+K5</f>
        <v>70500.493000000002</v>
      </c>
      <c r="E5">
        <f>SUM(F5:J5)</f>
        <v>41580.493000000002</v>
      </c>
      <c r="F5">
        <v>41490.493000000002</v>
      </c>
      <c r="J5">
        <v>90</v>
      </c>
      <c r="K5">
        <f>SUM(L5:P5)</f>
        <v>28920</v>
      </c>
      <c r="L5">
        <v>6701</v>
      </c>
      <c r="M5">
        <v>540</v>
      </c>
      <c r="N5">
        <v>12284</v>
      </c>
      <c r="O5">
        <v>2100</v>
      </c>
      <c r="P5">
        <v>7295</v>
      </c>
      <c r="Q5" s="3241" t="s">
        <v>3438</v>
      </c>
      <c r="R5" s="3241" t="s">
        <v>3439</v>
      </c>
      <c r="S5">
        <v>23.9</v>
      </c>
      <c r="T5">
        <v>9.1</v>
      </c>
      <c r="U5">
        <v>440</v>
      </c>
      <c r="V5">
        <f>F5/U5</f>
        <v>94.296575000000004</v>
      </c>
      <c r="W5">
        <v>529</v>
      </c>
      <c r="X5">
        <f>(N5+P5)/W5</f>
        <v>37.011342155009451</v>
      </c>
      <c r="Z5">
        <f>N5/F5</f>
        <v>0.29606782450138636</v>
      </c>
    </row>
    <row r="7" spans="1:26">
      <c r="A7" s="3527" t="s">
        <v>3053</v>
      </c>
      <c r="B7" s="3531">
        <f>权属信息!J22</f>
        <v>19440.55</v>
      </c>
      <c r="C7" s="3531">
        <f>ROUND((E10-J10)/B7,2)</f>
        <v>1.6</v>
      </c>
      <c r="D7" s="3528" t="s">
        <v>3108</v>
      </c>
      <c r="E7" s="3291" t="s">
        <v>3058</v>
      </c>
      <c r="F7" s="3291"/>
      <c r="G7" s="3291"/>
      <c r="H7" s="3291"/>
      <c r="I7" s="3291"/>
      <c r="J7" s="3291"/>
      <c r="K7" s="3291"/>
      <c r="L7" s="3291"/>
      <c r="M7" s="3291"/>
      <c r="N7" s="3291"/>
      <c r="O7" s="3291"/>
      <c r="P7" s="3291"/>
      <c r="Q7" s="3529" t="s">
        <v>3059</v>
      </c>
      <c r="R7" s="3530"/>
      <c r="S7" s="3528" t="s">
        <v>3061</v>
      </c>
      <c r="T7" s="3528"/>
      <c r="U7" s="3531" t="s">
        <v>3067</v>
      </c>
      <c r="V7" s="3302"/>
      <c r="W7" s="2"/>
      <c r="X7" s="2"/>
    </row>
    <row r="8" spans="1:26">
      <c r="A8" s="3527"/>
      <c r="B8" s="3532"/>
      <c r="C8" s="3532"/>
      <c r="D8" s="3528"/>
      <c r="E8" s="3291" t="s">
        <v>3081</v>
      </c>
      <c r="F8" s="3291"/>
      <c r="G8" s="3291"/>
      <c r="H8" s="3291"/>
      <c r="I8" s="3291"/>
      <c r="J8" s="3291"/>
      <c r="K8" s="3291" t="s">
        <v>3057</v>
      </c>
      <c r="L8" s="3291"/>
      <c r="M8" s="3291"/>
      <c r="N8" s="3291"/>
      <c r="O8" s="3291"/>
      <c r="P8" s="3291"/>
      <c r="Q8" s="3305"/>
      <c r="R8" s="3300"/>
      <c r="S8" s="3291"/>
      <c r="T8" s="3291"/>
      <c r="U8" s="3532"/>
      <c r="V8" s="3302"/>
      <c r="W8" s="2"/>
      <c r="X8" s="2"/>
    </row>
    <row r="9" spans="1:26" ht="27">
      <c r="A9" s="3527"/>
      <c r="B9" s="3533"/>
      <c r="C9" s="3533"/>
      <c r="D9" s="3528"/>
      <c r="E9" s="3291" t="s">
        <v>3084</v>
      </c>
      <c r="F9" s="3291" t="s">
        <v>3082</v>
      </c>
      <c r="G9" s="3291" t="s">
        <v>3098</v>
      </c>
      <c r="H9" s="3291" t="s">
        <v>3075</v>
      </c>
      <c r="I9" s="3291" t="s">
        <v>3097</v>
      </c>
      <c r="J9" s="3291" t="s">
        <v>3078</v>
      </c>
      <c r="K9" s="3291" t="s">
        <v>3083</v>
      </c>
      <c r="L9" s="3291" t="s">
        <v>3062</v>
      </c>
      <c r="M9" s="3291" t="s">
        <v>3076</v>
      </c>
      <c r="N9" s="3291" t="s">
        <v>3079</v>
      </c>
      <c r="O9" s="3291" t="s">
        <v>3063</v>
      </c>
      <c r="P9" s="3306" t="s">
        <v>3101</v>
      </c>
      <c r="Q9" s="3305" t="s">
        <v>3060</v>
      </c>
      <c r="R9" s="3291" t="s">
        <v>3057</v>
      </c>
      <c r="S9" s="3291" t="s">
        <v>3060</v>
      </c>
      <c r="T9" s="3291" t="s">
        <v>3057</v>
      </c>
      <c r="U9" s="3533"/>
      <c r="V9" s="3302"/>
      <c r="W9" s="3298" t="s">
        <v>3109</v>
      </c>
      <c r="X9" s="3298" t="s">
        <v>3110</v>
      </c>
    </row>
    <row r="10" spans="1:26">
      <c r="C10">
        <f>D10-J10-P10</f>
        <v>55214.883000000002</v>
      </c>
      <c r="D10">
        <f>E10+K10</f>
        <v>55214.883000000002</v>
      </c>
      <c r="E10">
        <f>SUM(F10:J10)</f>
        <v>31104.883000000002</v>
      </c>
      <c r="F10">
        <v>30939.883000000002</v>
      </c>
      <c r="H10" s="3313">
        <v>120</v>
      </c>
      <c r="I10">
        <f>7+38</f>
        <v>45</v>
      </c>
      <c r="J10">
        <v>0</v>
      </c>
      <c r="K10">
        <f>SUM(L10:P10)</f>
        <v>24110</v>
      </c>
      <c r="L10">
        <v>5704</v>
      </c>
      <c r="M10" s="3313">
        <v>3079</v>
      </c>
      <c r="N10">
        <v>12760</v>
      </c>
      <c r="O10">
        <v>2567</v>
      </c>
      <c r="S10">
        <v>23.9</v>
      </c>
      <c r="U10">
        <v>330</v>
      </c>
      <c r="V10">
        <f>F10/U10</f>
        <v>93.757221212121223</v>
      </c>
      <c r="W10">
        <v>399</v>
      </c>
      <c r="X10">
        <f>N10/W10</f>
        <v>31.979949874686717</v>
      </c>
      <c r="Z10">
        <f>N10/F10</f>
        <v>0.41241267783721092</v>
      </c>
    </row>
    <row r="12" spans="1:26">
      <c r="A12" s="3528" t="s">
        <v>3053</v>
      </c>
      <c r="B12" s="3531">
        <f>权属信息!L22</f>
        <v>9829.39</v>
      </c>
      <c r="C12" s="3531">
        <f>ROUND((E15-J15)/B12,2)</f>
        <v>1.6</v>
      </c>
      <c r="D12" s="3528" t="s">
        <v>3111</v>
      </c>
      <c r="E12" s="3291" t="s">
        <v>3058</v>
      </c>
      <c r="F12" s="3291"/>
      <c r="G12" s="3291"/>
      <c r="H12" s="3291"/>
      <c r="I12" s="3291"/>
      <c r="J12" s="3291"/>
      <c r="K12" s="3291"/>
      <c r="L12" s="3291"/>
      <c r="M12" s="3291"/>
      <c r="N12" s="3291"/>
      <c r="O12" s="3291"/>
      <c r="P12" s="3291"/>
      <c r="Q12" s="3529" t="s">
        <v>3059</v>
      </c>
      <c r="R12" s="3530"/>
      <c r="S12" s="3528" t="s">
        <v>3061</v>
      </c>
      <c r="T12" s="3528"/>
      <c r="U12" s="3531" t="s">
        <v>3067</v>
      </c>
      <c r="V12" s="3302"/>
      <c r="W12" s="2"/>
      <c r="X12" s="2"/>
    </row>
    <row r="13" spans="1:26">
      <c r="A13" s="3528"/>
      <c r="B13" s="3532"/>
      <c r="C13" s="3532"/>
      <c r="D13" s="3528"/>
      <c r="E13" s="3291" t="s">
        <v>3081</v>
      </c>
      <c r="F13" s="3291"/>
      <c r="G13" s="3291"/>
      <c r="H13" s="3291"/>
      <c r="I13" s="3291"/>
      <c r="J13" s="3291"/>
      <c r="K13" s="3291" t="s">
        <v>3057</v>
      </c>
      <c r="L13" s="3291"/>
      <c r="M13" s="3291"/>
      <c r="N13" s="3291"/>
      <c r="O13" s="3291"/>
      <c r="P13" s="3291"/>
      <c r="Q13" s="3305"/>
      <c r="R13" s="3300"/>
      <c r="S13" s="3291"/>
      <c r="T13" s="3291"/>
      <c r="U13" s="3532"/>
      <c r="V13" s="3302"/>
      <c r="W13" s="2"/>
      <c r="X13" s="2"/>
    </row>
    <row r="14" spans="1:26" ht="27">
      <c r="A14" s="3528"/>
      <c r="B14" s="3533"/>
      <c r="C14" s="3533"/>
      <c r="D14" s="3528"/>
      <c r="E14" s="3291" t="s">
        <v>3084</v>
      </c>
      <c r="F14" s="3291" t="s">
        <v>3082</v>
      </c>
      <c r="G14" s="3291" t="s">
        <v>3098</v>
      </c>
      <c r="H14" s="3291" t="s">
        <v>3075</v>
      </c>
      <c r="I14" s="3291" t="s">
        <v>3097</v>
      </c>
      <c r="J14" s="3291" t="s">
        <v>3078</v>
      </c>
      <c r="K14" s="3291" t="s">
        <v>3083</v>
      </c>
      <c r="L14" s="3291" t="s">
        <v>3062</v>
      </c>
      <c r="M14" s="3291" t="s">
        <v>3076</v>
      </c>
      <c r="N14" s="3291" t="s">
        <v>3079</v>
      </c>
      <c r="O14" s="3291" t="s">
        <v>3063</v>
      </c>
      <c r="P14" s="3306" t="s">
        <v>3101</v>
      </c>
      <c r="Q14" s="3305" t="s">
        <v>3060</v>
      </c>
      <c r="R14" s="3291" t="s">
        <v>3057</v>
      </c>
      <c r="S14" s="3291" t="s">
        <v>3060</v>
      </c>
      <c r="T14" s="3291" t="s">
        <v>3057</v>
      </c>
      <c r="U14" s="3533"/>
      <c r="V14" s="3302"/>
      <c r="W14" s="3298" t="s">
        <v>3109</v>
      </c>
      <c r="X14" s="3298" t="s">
        <v>3110</v>
      </c>
    </row>
    <row r="15" spans="1:26">
      <c r="D15">
        <f>E15+K15</f>
        <v>27022.017</v>
      </c>
      <c r="E15">
        <f>SUM(F15:J15)</f>
        <v>15727.017</v>
      </c>
      <c r="F15">
        <v>15557.017</v>
      </c>
      <c r="H15">
        <v>150</v>
      </c>
      <c r="J15">
        <v>20</v>
      </c>
      <c r="K15">
        <f>SUM(L15:P15)</f>
        <v>11295</v>
      </c>
      <c r="L15">
        <v>2589</v>
      </c>
      <c r="M15">
        <v>420</v>
      </c>
      <c r="N15">
        <v>3322.6</v>
      </c>
      <c r="O15">
        <v>736</v>
      </c>
      <c r="P15">
        <v>4227.3999999999996</v>
      </c>
      <c r="S15">
        <v>23.9</v>
      </c>
      <c r="U15">
        <v>156</v>
      </c>
      <c r="V15">
        <f>F15/U15</f>
        <v>99.724467948717944</v>
      </c>
      <c r="W15">
        <v>188</v>
      </c>
      <c r="X15">
        <f>(N15+P15)/W15</f>
        <v>40.159574468085104</v>
      </c>
      <c r="Z15">
        <f>N15/F15</f>
        <v>0.2135756488535045</v>
      </c>
    </row>
    <row r="17" spans="1:26">
      <c r="A17" s="3528" t="s">
        <v>3053</v>
      </c>
      <c r="B17" s="3531">
        <f>权属信息!F22</f>
        <v>9491.26</v>
      </c>
      <c r="C17" s="3531">
        <f>ROUND((E20-J20)/B17,2)</f>
        <v>1.6</v>
      </c>
      <c r="D17" s="3528" t="s">
        <v>3112</v>
      </c>
      <c r="E17" s="3291" t="s">
        <v>3058</v>
      </c>
      <c r="F17" s="3291"/>
      <c r="G17" s="3291"/>
      <c r="H17" s="3291"/>
      <c r="I17" s="3291"/>
      <c r="J17" s="3291"/>
      <c r="K17" s="3291"/>
      <c r="L17" s="3291"/>
      <c r="M17" s="3291"/>
      <c r="N17" s="3291"/>
      <c r="O17" s="3291"/>
      <c r="P17" s="3291"/>
      <c r="Q17" s="3529" t="s">
        <v>3059</v>
      </c>
      <c r="R17" s="3530"/>
      <c r="S17" s="3528" t="s">
        <v>3061</v>
      </c>
      <c r="T17" s="3528"/>
      <c r="U17" s="3531" t="s">
        <v>3067</v>
      </c>
      <c r="V17" s="3302"/>
      <c r="W17" s="2"/>
      <c r="X17" s="2"/>
    </row>
    <row r="18" spans="1:26">
      <c r="A18" s="3528"/>
      <c r="B18" s="3532"/>
      <c r="C18" s="3532"/>
      <c r="D18" s="3528"/>
      <c r="E18" s="3291" t="s">
        <v>3081</v>
      </c>
      <c r="F18" s="3291"/>
      <c r="G18" s="3291"/>
      <c r="H18" s="3291"/>
      <c r="I18" s="3291"/>
      <c r="J18" s="3291"/>
      <c r="K18" s="3291" t="s">
        <v>3057</v>
      </c>
      <c r="L18" s="3291"/>
      <c r="M18" s="3291"/>
      <c r="N18" s="3291"/>
      <c r="O18" s="3291"/>
      <c r="P18" s="3291"/>
      <c r="Q18" s="3305"/>
      <c r="R18" s="3300"/>
      <c r="S18" s="3291"/>
      <c r="T18" s="3291"/>
      <c r="U18" s="3532"/>
      <c r="V18" s="3302"/>
      <c r="W18" s="2"/>
      <c r="X18" s="2"/>
    </row>
    <row r="19" spans="1:26" ht="27">
      <c r="A19" s="3528"/>
      <c r="B19" s="3533"/>
      <c r="C19" s="3533"/>
      <c r="D19" s="3528"/>
      <c r="E19" s="3291" t="s">
        <v>3084</v>
      </c>
      <c r="F19" s="3291" t="s">
        <v>3082</v>
      </c>
      <c r="G19" s="3291" t="s">
        <v>3098</v>
      </c>
      <c r="H19" s="3291" t="s">
        <v>3075</v>
      </c>
      <c r="I19" s="3291" t="s">
        <v>3097</v>
      </c>
      <c r="J19" s="3291" t="s">
        <v>3078</v>
      </c>
      <c r="K19" s="3291" t="s">
        <v>3083</v>
      </c>
      <c r="L19" s="3291" t="s">
        <v>3062</v>
      </c>
      <c r="M19" s="3291" t="s">
        <v>3076</v>
      </c>
      <c r="N19" s="3291" t="s">
        <v>3079</v>
      </c>
      <c r="O19" s="3291" t="s">
        <v>3063</v>
      </c>
      <c r="P19" s="3306" t="s">
        <v>3101</v>
      </c>
      <c r="Q19" s="3305" t="s">
        <v>3060</v>
      </c>
      <c r="R19" s="3291" t="s">
        <v>3057</v>
      </c>
      <c r="S19" s="3291" t="s">
        <v>3060</v>
      </c>
      <c r="T19" s="3291" t="s">
        <v>3057</v>
      </c>
      <c r="U19" s="3533"/>
      <c r="V19" s="3302"/>
      <c r="W19" s="3298" t="s">
        <v>3109</v>
      </c>
      <c r="X19" s="3298" t="s">
        <v>3110</v>
      </c>
    </row>
    <row r="20" spans="1:26">
      <c r="D20">
        <f>E20+K20</f>
        <v>25431.017</v>
      </c>
      <c r="E20">
        <f>SUM(F20:J20)</f>
        <v>15186.017</v>
      </c>
      <c r="F20">
        <v>15186.017</v>
      </c>
      <c r="J20">
        <v>0</v>
      </c>
      <c r="K20">
        <f>SUM(L20:P20)</f>
        <v>10245</v>
      </c>
      <c r="L20">
        <v>3027</v>
      </c>
      <c r="M20">
        <v>270</v>
      </c>
      <c r="N20">
        <v>6048</v>
      </c>
      <c r="O20">
        <v>900</v>
      </c>
      <c r="S20">
        <v>23.9</v>
      </c>
      <c r="U20">
        <v>156</v>
      </c>
      <c r="V20">
        <f>F20/U20</f>
        <v>97.34626282051282</v>
      </c>
      <c r="W20">
        <v>190</v>
      </c>
      <c r="X20">
        <f>N20/W20</f>
        <v>31.831578947368421</v>
      </c>
      <c r="Z20">
        <f>N20/F20</f>
        <v>0.3982611108627101</v>
      </c>
    </row>
    <row r="23" spans="1:26">
      <c r="J23" s="3241" t="s">
        <v>3124</v>
      </c>
      <c r="K23" s="3241" t="s">
        <v>3125</v>
      </c>
      <c r="L23" s="3241" t="s">
        <v>3126</v>
      </c>
    </row>
    <row r="24" spans="1:26">
      <c r="J24">
        <f>J5+J15+'规证1、10、18'!H42</f>
        <v>130</v>
      </c>
      <c r="K24">
        <f>P5+P15+'规证1、10、18'!N42</f>
        <v>15577.4</v>
      </c>
      <c r="L24">
        <f>J24+K24</f>
        <v>15707.4</v>
      </c>
      <c r="N24">
        <f>W20+W15+W10+W5+'规证1、10、18'!R21+'规证1、10、18'!U41+'规证1、10、18'!T52</f>
        <v>2034</v>
      </c>
    </row>
    <row r="26" spans="1:26">
      <c r="F26">
        <f>D20+D15+D10+D5+'规证1、10、18'!B42+'规证1、10、18'!B22</f>
        <v>282599.02399999998</v>
      </c>
    </row>
    <row r="27" spans="1:26">
      <c r="F27">
        <f>F26-L24</f>
        <v>266891.62399999995</v>
      </c>
    </row>
  </sheetData>
  <mergeCells count="28">
    <mergeCell ref="A12:A14"/>
    <mergeCell ref="D12:D14"/>
    <mergeCell ref="Q12:R12"/>
    <mergeCell ref="S12:T12"/>
    <mergeCell ref="U12:U14"/>
    <mergeCell ref="B12:B14"/>
    <mergeCell ref="C12:C14"/>
    <mergeCell ref="A17:A19"/>
    <mergeCell ref="D17:D19"/>
    <mergeCell ref="Q17:R17"/>
    <mergeCell ref="S17:T17"/>
    <mergeCell ref="U17:U19"/>
    <mergeCell ref="C17:C19"/>
    <mergeCell ref="B17:B19"/>
    <mergeCell ref="A2:A4"/>
    <mergeCell ref="D2:D4"/>
    <mergeCell ref="Q2:R2"/>
    <mergeCell ref="S2:T2"/>
    <mergeCell ref="U2:U4"/>
    <mergeCell ref="C2:C4"/>
    <mergeCell ref="B2:B4"/>
    <mergeCell ref="A7:A9"/>
    <mergeCell ref="D7:D9"/>
    <mergeCell ref="Q7:R7"/>
    <mergeCell ref="S7:T7"/>
    <mergeCell ref="U7:U9"/>
    <mergeCell ref="B7:B9"/>
    <mergeCell ref="C7:C9"/>
  </mergeCells>
  <phoneticPr fontId="229"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U52"/>
  <sheetViews>
    <sheetView topLeftCell="A7" zoomScaleNormal="100" workbookViewId="0">
      <selection activeCell="E52" sqref="E52"/>
    </sheetView>
  </sheetViews>
  <sheetFormatPr defaultRowHeight="13.5"/>
  <cols>
    <col min="1" max="1" width="9" style="2"/>
    <col min="2" max="2" width="30" customWidth="1"/>
    <col min="3" max="3" width="9.625" customWidth="1"/>
    <col min="4" max="4" width="10.5" customWidth="1"/>
  </cols>
  <sheetData>
    <row r="2" spans="1:17">
      <c r="A2" s="3521" t="s">
        <v>3046</v>
      </c>
      <c r="B2" s="3521"/>
      <c r="C2" s="3301"/>
    </row>
    <row r="3" spans="1:17">
      <c r="A3" s="3291" t="s">
        <v>3047</v>
      </c>
      <c r="B3" s="3290" t="s">
        <v>3048</v>
      </c>
      <c r="C3" s="3301"/>
    </row>
    <row r="4" spans="1:17" ht="94.5">
      <c r="A4" s="3291" t="s">
        <v>3049</v>
      </c>
      <c r="B4" s="3291" t="s">
        <v>3051</v>
      </c>
      <c r="C4" s="3302"/>
    </row>
    <row r="5" spans="1:17">
      <c r="A5" s="3291" t="s">
        <v>3052</v>
      </c>
      <c r="B5" s="3289">
        <v>54147.769</v>
      </c>
      <c r="C5" s="3303">
        <f>权属信息!B22</f>
        <v>20970.98</v>
      </c>
      <c r="D5">
        <f>ROUND(C22/C5,2)</f>
        <v>1.8</v>
      </c>
    </row>
    <row r="7" spans="1:17">
      <c r="A7" s="3528" t="s">
        <v>3053</v>
      </c>
      <c r="B7" s="3521" t="s">
        <v>3085</v>
      </c>
      <c r="C7" s="3537" t="s">
        <v>3058</v>
      </c>
      <c r="D7" s="3538"/>
      <c r="E7" s="3538"/>
      <c r="F7" s="3538"/>
      <c r="G7" s="3538"/>
      <c r="H7" s="3538"/>
      <c r="I7" s="3538"/>
      <c r="J7" s="3538"/>
      <c r="K7" s="3539"/>
      <c r="L7" s="3521" t="s">
        <v>3059</v>
      </c>
      <c r="M7" s="3522"/>
      <c r="N7" s="3521" t="s">
        <v>3061</v>
      </c>
      <c r="O7" s="3521"/>
      <c r="P7" s="3534" t="s">
        <v>3067</v>
      </c>
    </row>
    <row r="8" spans="1:17">
      <c r="A8" s="3528"/>
      <c r="B8" s="3521"/>
      <c r="C8" s="3537" t="s">
        <v>3081</v>
      </c>
      <c r="D8" s="3538"/>
      <c r="E8" s="3538"/>
      <c r="F8" s="3539"/>
      <c r="G8" s="3537" t="s">
        <v>3057</v>
      </c>
      <c r="H8" s="3538"/>
      <c r="I8" s="3538"/>
      <c r="J8" s="3538"/>
      <c r="K8" s="3539"/>
      <c r="L8" s="3290"/>
      <c r="M8" s="3289"/>
      <c r="N8" s="3290"/>
      <c r="O8" s="3290"/>
      <c r="P8" s="3535"/>
    </row>
    <row r="9" spans="1:17" s="3299" customFormat="1" ht="27">
      <c r="A9" s="3528"/>
      <c r="B9" s="3521"/>
      <c r="C9" s="3290" t="s">
        <v>3084</v>
      </c>
      <c r="D9" s="3291" t="s">
        <v>3082</v>
      </c>
      <c r="E9" s="3291" t="s">
        <v>3075</v>
      </c>
      <c r="F9" s="3291" t="s">
        <v>3106</v>
      </c>
      <c r="G9" s="3291" t="s">
        <v>3083</v>
      </c>
      <c r="H9" s="3291" t="s">
        <v>3062</v>
      </c>
      <c r="I9" s="3291" t="s">
        <v>3076</v>
      </c>
      <c r="J9" s="3291" t="s">
        <v>3079</v>
      </c>
      <c r="K9" s="3291" t="s">
        <v>3063</v>
      </c>
      <c r="L9" s="3291" t="s">
        <v>3060</v>
      </c>
      <c r="M9" s="3291" t="s">
        <v>3057</v>
      </c>
      <c r="N9" s="3291" t="s">
        <v>3060</v>
      </c>
      <c r="O9" s="3291" t="s">
        <v>3057</v>
      </c>
      <c r="P9" s="3536"/>
    </row>
    <row r="10" spans="1:17">
      <c r="A10" s="3291" t="s">
        <v>3054</v>
      </c>
      <c r="B10" s="3290">
        <f>C10+G10</f>
        <v>6721.5</v>
      </c>
      <c r="C10" s="3290">
        <f>SUM(D10:F10)</f>
        <v>5831.5</v>
      </c>
      <c r="D10" s="3289">
        <v>5831.5</v>
      </c>
      <c r="E10" s="3289"/>
      <c r="F10" s="3289"/>
      <c r="G10" s="3289">
        <f>SUM(H10:K10)</f>
        <v>890</v>
      </c>
      <c r="H10" s="3289">
        <v>855</v>
      </c>
      <c r="I10" s="3289"/>
      <c r="J10" s="3289"/>
      <c r="K10" s="3289">
        <v>35</v>
      </c>
      <c r="L10" s="3289">
        <v>8</v>
      </c>
      <c r="M10" s="3289">
        <v>-1</v>
      </c>
      <c r="N10" s="3289">
        <v>23.9</v>
      </c>
      <c r="O10" s="3289">
        <v>-5.4</v>
      </c>
      <c r="P10" s="3289">
        <v>48</v>
      </c>
      <c r="Q10">
        <f t="shared" ref="Q10:Q20" si="0">D10/P10</f>
        <v>121.48958333333333</v>
      </c>
    </row>
    <row r="11" spans="1:17">
      <c r="A11" s="3291" t="s">
        <v>3064</v>
      </c>
      <c r="B11" s="3290">
        <f t="shared" ref="B11:B21" si="1">C11+G11</f>
        <v>3927.5</v>
      </c>
      <c r="C11" s="3290">
        <f t="shared" ref="C11:C21" si="2">SUM(D11:F11)</f>
        <v>3379.5</v>
      </c>
      <c r="D11" s="3289">
        <v>3379.5</v>
      </c>
      <c r="E11" s="3289"/>
      <c r="F11" s="3289"/>
      <c r="G11" s="3289">
        <f t="shared" ref="G11:G21" si="3">SUM(H11:K11)</f>
        <v>548</v>
      </c>
      <c r="H11" s="3289">
        <v>520</v>
      </c>
      <c r="I11" s="3289"/>
      <c r="J11" s="3289"/>
      <c r="K11" s="3289">
        <v>28</v>
      </c>
      <c r="L11" s="3289">
        <v>8</v>
      </c>
      <c r="M11" s="3289">
        <v>-1</v>
      </c>
      <c r="N11" s="3289">
        <v>23.9</v>
      </c>
      <c r="O11" s="3289">
        <v>-5.4</v>
      </c>
      <c r="P11" s="3289">
        <v>32</v>
      </c>
      <c r="Q11">
        <f t="shared" si="0"/>
        <v>105.609375</v>
      </c>
    </row>
    <row r="12" spans="1:17">
      <c r="A12" s="3291" t="s">
        <v>3065</v>
      </c>
      <c r="B12" s="3290">
        <f t="shared" si="1"/>
        <v>2622.5</v>
      </c>
      <c r="C12" s="3290">
        <f t="shared" si="2"/>
        <v>2242.5</v>
      </c>
      <c r="D12" s="3289">
        <v>2242.5</v>
      </c>
      <c r="E12" s="3289"/>
      <c r="F12" s="3289"/>
      <c r="G12" s="3289">
        <f t="shared" si="3"/>
        <v>380</v>
      </c>
      <c r="H12" s="3289">
        <v>311</v>
      </c>
      <c r="I12" s="3289"/>
      <c r="J12" s="3289"/>
      <c r="K12" s="3289">
        <v>69</v>
      </c>
      <c r="L12" s="3289">
        <v>8</v>
      </c>
      <c r="M12" s="3289">
        <v>-1</v>
      </c>
      <c r="N12" s="3289">
        <v>23.9</v>
      </c>
      <c r="O12" s="3289">
        <f>-5.4</f>
        <v>-5.4</v>
      </c>
      <c r="P12" s="3289">
        <v>16</v>
      </c>
      <c r="Q12">
        <f t="shared" si="0"/>
        <v>140.15625</v>
      </c>
    </row>
    <row r="13" spans="1:17">
      <c r="A13" s="3291" t="s">
        <v>3066</v>
      </c>
      <c r="B13" s="3290">
        <f t="shared" si="1"/>
        <v>6302</v>
      </c>
      <c r="C13" s="3290">
        <f t="shared" si="2"/>
        <v>5517</v>
      </c>
      <c r="D13" s="3289">
        <v>5517</v>
      </c>
      <c r="E13" s="3289"/>
      <c r="F13" s="3289"/>
      <c r="G13" s="3289">
        <f t="shared" si="3"/>
        <v>785</v>
      </c>
      <c r="H13" s="3289">
        <v>732</v>
      </c>
      <c r="I13" s="3289"/>
      <c r="J13" s="3289"/>
      <c r="K13" s="3289">
        <v>53</v>
      </c>
      <c r="L13" s="3289">
        <v>8</v>
      </c>
      <c r="M13" s="3289">
        <v>-1</v>
      </c>
      <c r="N13" s="3289">
        <v>23.9</v>
      </c>
      <c r="O13" s="3289">
        <f>-5.4</f>
        <v>-5.4</v>
      </c>
      <c r="P13" s="3289">
        <v>32</v>
      </c>
      <c r="Q13">
        <f t="shared" si="0"/>
        <v>172.40625</v>
      </c>
    </row>
    <row r="14" spans="1:17">
      <c r="A14" s="3291" t="s">
        <v>3068</v>
      </c>
      <c r="B14" s="3290">
        <f t="shared" si="1"/>
        <v>2629.5</v>
      </c>
      <c r="C14" s="3290">
        <f t="shared" si="2"/>
        <v>2242.5</v>
      </c>
      <c r="D14" s="3289">
        <v>2242.5</v>
      </c>
      <c r="E14" s="3289"/>
      <c r="F14" s="3289"/>
      <c r="G14" s="3289">
        <f t="shared" si="3"/>
        <v>387</v>
      </c>
      <c r="H14" s="3289">
        <v>312</v>
      </c>
      <c r="I14" s="3289"/>
      <c r="J14" s="3289"/>
      <c r="K14" s="3289">
        <v>75</v>
      </c>
      <c r="L14" s="3289">
        <v>8</v>
      </c>
      <c r="M14" s="3289">
        <v>-1</v>
      </c>
      <c r="N14" s="3289">
        <v>23.9</v>
      </c>
      <c r="O14" s="3289">
        <f>-5.4</f>
        <v>-5.4</v>
      </c>
      <c r="P14" s="3289">
        <v>16</v>
      </c>
      <c r="Q14">
        <f t="shared" si="0"/>
        <v>140.15625</v>
      </c>
    </row>
    <row r="15" spans="1:17">
      <c r="A15" s="3291" t="s">
        <v>3069</v>
      </c>
      <c r="B15" s="3290">
        <f t="shared" si="1"/>
        <v>2594.5</v>
      </c>
      <c r="C15" s="3290">
        <f t="shared" si="2"/>
        <v>2242.5</v>
      </c>
      <c r="D15" s="3289">
        <v>2242.5</v>
      </c>
      <c r="E15" s="3289"/>
      <c r="F15" s="3289"/>
      <c r="G15" s="3289">
        <f t="shared" si="3"/>
        <v>352</v>
      </c>
      <c r="H15" s="3289">
        <v>306</v>
      </c>
      <c r="I15" s="3289"/>
      <c r="J15" s="3289"/>
      <c r="K15" s="3289">
        <v>46</v>
      </c>
      <c r="L15" s="3289">
        <v>8</v>
      </c>
      <c r="M15" s="3289">
        <v>-1</v>
      </c>
      <c r="N15" s="3289">
        <v>23.9</v>
      </c>
      <c r="O15" s="3289">
        <f t="shared" ref="O15:O21" si="4">-5.4</f>
        <v>-5.4</v>
      </c>
      <c r="P15" s="3289">
        <v>16</v>
      </c>
      <c r="Q15">
        <f t="shared" si="0"/>
        <v>140.15625</v>
      </c>
    </row>
    <row r="16" spans="1:17">
      <c r="A16" s="3291" t="s">
        <v>3070</v>
      </c>
      <c r="B16" s="3290">
        <f t="shared" si="1"/>
        <v>6302</v>
      </c>
      <c r="C16" s="3290">
        <f t="shared" si="2"/>
        <v>5517</v>
      </c>
      <c r="D16" s="3289">
        <v>5517</v>
      </c>
      <c r="E16" s="3289"/>
      <c r="F16" s="3289"/>
      <c r="G16" s="3289">
        <f t="shared" si="3"/>
        <v>785</v>
      </c>
      <c r="H16" s="3289">
        <v>727</v>
      </c>
      <c r="I16" s="3289"/>
      <c r="J16" s="3289"/>
      <c r="K16" s="3289">
        <v>58</v>
      </c>
      <c r="L16" s="3289">
        <v>8</v>
      </c>
      <c r="M16" s="3289">
        <v>-1</v>
      </c>
      <c r="N16" s="3289">
        <v>23.9</v>
      </c>
      <c r="O16" s="3289">
        <f t="shared" si="4"/>
        <v>-5.4</v>
      </c>
      <c r="P16" s="3289">
        <v>32</v>
      </c>
      <c r="Q16">
        <f t="shared" si="0"/>
        <v>172.40625</v>
      </c>
    </row>
    <row r="17" spans="1:20">
      <c r="A17" s="3291" t="s">
        <v>3071</v>
      </c>
      <c r="B17" s="3290">
        <f t="shared" si="1"/>
        <v>2598.5</v>
      </c>
      <c r="C17" s="3290">
        <f t="shared" si="2"/>
        <v>2242.5</v>
      </c>
      <c r="D17" s="3289">
        <v>2242.5</v>
      </c>
      <c r="E17" s="3289"/>
      <c r="F17" s="3289"/>
      <c r="G17" s="3289">
        <f t="shared" si="3"/>
        <v>356</v>
      </c>
      <c r="H17" s="3289">
        <v>311</v>
      </c>
      <c r="I17" s="3289"/>
      <c r="J17" s="3289"/>
      <c r="K17" s="3289">
        <v>45</v>
      </c>
      <c r="L17" s="3289">
        <v>8</v>
      </c>
      <c r="M17" s="3289">
        <v>-1</v>
      </c>
      <c r="N17" s="3289">
        <v>23.9</v>
      </c>
      <c r="O17" s="3289">
        <f t="shared" si="4"/>
        <v>-5.4</v>
      </c>
      <c r="P17" s="3289">
        <v>16</v>
      </c>
      <c r="Q17">
        <f t="shared" si="0"/>
        <v>140.15625</v>
      </c>
    </row>
    <row r="18" spans="1:20">
      <c r="A18" s="3291" t="s">
        <v>3072</v>
      </c>
      <c r="B18" s="3290">
        <f t="shared" si="1"/>
        <v>2598.5</v>
      </c>
      <c r="C18" s="3290">
        <f t="shared" si="2"/>
        <v>2242.5</v>
      </c>
      <c r="D18" s="3289">
        <v>2242.5</v>
      </c>
      <c r="E18" s="3289"/>
      <c r="F18" s="3289"/>
      <c r="G18" s="3289">
        <f t="shared" si="3"/>
        <v>356</v>
      </c>
      <c r="H18" s="3289">
        <v>311</v>
      </c>
      <c r="I18" s="3289"/>
      <c r="J18" s="3289"/>
      <c r="K18" s="3289">
        <v>45</v>
      </c>
      <c r="L18" s="3289">
        <v>8</v>
      </c>
      <c r="M18" s="3289">
        <v>-1</v>
      </c>
      <c r="N18" s="3289">
        <v>23.9</v>
      </c>
      <c r="O18" s="3289">
        <f t="shared" si="4"/>
        <v>-5.4</v>
      </c>
      <c r="P18" s="3289">
        <v>16</v>
      </c>
      <c r="Q18">
        <f t="shared" si="0"/>
        <v>140.15625</v>
      </c>
    </row>
    <row r="19" spans="1:20">
      <c r="A19" s="3291" t="s">
        <v>3073</v>
      </c>
      <c r="B19" s="3290">
        <f t="shared" si="1"/>
        <v>4606</v>
      </c>
      <c r="C19" s="3290">
        <f t="shared" si="2"/>
        <v>3805</v>
      </c>
      <c r="D19" s="3289">
        <v>3805</v>
      </c>
      <c r="E19" s="3289"/>
      <c r="F19" s="3289"/>
      <c r="G19" s="3289">
        <f t="shared" si="3"/>
        <v>801</v>
      </c>
      <c r="H19" s="3289">
        <v>737</v>
      </c>
      <c r="I19" s="3289"/>
      <c r="J19" s="3289"/>
      <c r="K19" s="3289">
        <v>64</v>
      </c>
      <c r="L19" s="3289">
        <v>8</v>
      </c>
      <c r="M19" s="3289">
        <v>-1</v>
      </c>
      <c r="N19" s="3289">
        <v>23.9</v>
      </c>
      <c r="O19" s="3289">
        <f t="shared" si="4"/>
        <v>-5.4</v>
      </c>
      <c r="P19" s="3289">
        <v>36</v>
      </c>
      <c r="Q19">
        <f t="shared" si="0"/>
        <v>105.69444444444444</v>
      </c>
    </row>
    <row r="20" spans="1:20">
      <c r="A20" s="3291" t="s">
        <v>3074</v>
      </c>
      <c r="B20" s="3290">
        <f t="shared" si="1"/>
        <v>2872.2690000000002</v>
      </c>
      <c r="C20" s="3290">
        <f t="shared" si="2"/>
        <v>2450.2690000000002</v>
      </c>
      <c r="D20" s="3289">
        <v>1716.269</v>
      </c>
      <c r="E20" s="3289">
        <v>734</v>
      </c>
      <c r="F20" s="3289"/>
      <c r="G20" s="3289">
        <f t="shared" si="3"/>
        <v>422</v>
      </c>
      <c r="H20" s="3289"/>
      <c r="I20" s="3289">
        <v>266</v>
      </c>
      <c r="J20" s="3289"/>
      <c r="K20" s="3289">
        <v>156</v>
      </c>
      <c r="L20" s="3289">
        <v>7</v>
      </c>
      <c r="M20" s="3289">
        <v>-1</v>
      </c>
      <c r="N20" s="3289">
        <v>21</v>
      </c>
      <c r="O20" s="3289">
        <f t="shared" si="4"/>
        <v>-5.4</v>
      </c>
      <c r="P20" s="3289">
        <v>12</v>
      </c>
      <c r="Q20">
        <f t="shared" si="0"/>
        <v>143.02241666666666</v>
      </c>
    </row>
    <row r="21" spans="1:20" ht="27">
      <c r="A21" s="3291" t="s">
        <v>3077</v>
      </c>
      <c r="B21" s="3290">
        <f t="shared" si="1"/>
        <v>10373</v>
      </c>
      <c r="C21" s="3290">
        <f t="shared" si="2"/>
        <v>35</v>
      </c>
      <c r="D21" s="3289"/>
      <c r="E21" s="3289"/>
      <c r="F21" s="3289">
        <v>35</v>
      </c>
      <c r="G21" s="3289">
        <f t="shared" si="3"/>
        <v>10338</v>
      </c>
      <c r="H21" s="3289"/>
      <c r="I21" s="3289">
        <v>540</v>
      </c>
      <c r="J21" s="3289">
        <v>9165</v>
      </c>
      <c r="K21" s="3289">
        <f>633</f>
        <v>633</v>
      </c>
      <c r="L21" s="3289">
        <v>1</v>
      </c>
      <c r="M21" s="3289">
        <v>-1</v>
      </c>
      <c r="N21" s="3289">
        <v>3.85</v>
      </c>
      <c r="O21" s="3289">
        <f t="shared" si="4"/>
        <v>-5.4</v>
      </c>
      <c r="P21" s="3289"/>
      <c r="Q21">
        <f>J21/327</f>
        <v>28.027522935779817</v>
      </c>
      <c r="R21">
        <v>327</v>
      </c>
    </row>
    <row r="22" spans="1:20">
      <c r="A22" s="3291" t="s">
        <v>3080</v>
      </c>
      <c r="B22" s="3290">
        <f>SUM(B10:B21)</f>
        <v>54147.769</v>
      </c>
      <c r="C22" s="3290">
        <f>SUM(C10:C21)</f>
        <v>37747.769</v>
      </c>
      <c r="D22" s="3289">
        <f>SUM(D10:D21)</f>
        <v>36978.769</v>
      </c>
      <c r="E22" s="3289">
        <f>SUM(E10:E21)</f>
        <v>734</v>
      </c>
      <c r="F22" s="3289">
        <f t="shared" ref="F22:J22" si="5">SUM(F10:F21)</f>
        <v>35</v>
      </c>
      <c r="G22" s="3289">
        <f>SUM(G10:G21)</f>
        <v>16400</v>
      </c>
      <c r="H22" s="3289">
        <f t="shared" si="5"/>
        <v>5122</v>
      </c>
      <c r="I22" s="3289">
        <f t="shared" si="5"/>
        <v>806</v>
      </c>
      <c r="J22" s="3289">
        <f t="shared" si="5"/>
        <v>9165</v>
      </c>
      <c r="K22" s="3289">
        <f>SUM(K10:K21)</f>
        <v>1307</v>
      </c>
      <c r="L22" s="3289"/>
      <c r="M22" s="3289"/>
      <c r="N22" s="3289"/>
      <c r="O22" s="3289"/>
      <c r="P22" s="3289">
        <f>SUM(P10:P21)-P21</f>
        <v>272</v>
      </c>
      <c r="Q22">
        <f>D22/P22</f>
        <v>135.95135661764706</v>
      </c>
    </row>
    <row r="23" spans="1:20">
      <c r="B23" s="3241"/>
      <c r="C23" s="3241"/>
    </row>
    <row r="25" spans="1:20">
      <c r="A25" s="3291" t="s">
        <v>3047</v>
      </c>
      <c r="B25" s="3290" t="s">
        <v>3086</v>
      </c>
    </row>
    <row r="26" spans="1:20" ht="94.5">
      <c r="A26" s="3291" t="s">
        <v>3049</v>
      </c>
      <c r="B26" s="3291" t="s">
        <v>3087</v>
      </c>
    </row>
    <row r="27" spans="1:20">
      <c r="A27" s="3291" t="s">
        <v>3052</v>
      </c>
      <c r="B27" s="3289">
        <v>50282.845000000001</v>
      </c>
      <c r="C27">
        <f>权属信息!H22</f>
        <v>16446.03</v>
      </c>
      <c r="D27">
        <f>ROUND((C42-H42)/C27,2)</f>
        <v>1.8</v>
      </c>
    </row>
    <row r="29" spans="1:20">
      <c r="A29" s="3528" t="s">
        <v>3053</v>
      </c>
      <c r="B29" s="3521" t="s">
        <v>3088</v>
      </c>
      <c r="C29" s="3290" t="s">
        <v>3058</v>
      </c>
      <c r="D29" s="3290"/>
      <c r="E29" s="3290"/>
      <c r="F29" s="3290"/>
      <c r="G29" s="3290"/>
      <c r="H29" s="3290"/>
      <c r="I29" s="3290"/>
      <c r="J29" s="3290"/>
      <c r="K29" s="3290"/>
      <c r="L29" s="3290"/>
      <c r="M29" s="3290"/>
      <c r="N29" s="3290"/>
      <c r="O29" s="3539" t="s">
        <v>3059</v>
      </c>
      <c r="P29" s="3522"/>
      <c r="Q29" s="3521" t="s">
        <v>3061</v>
      </c>
      <c r="R29" s="3521"/>
      <c r="S29" s="3534" t="s">
        <v>3067</v>
      </c>
    </row>
    <row r="30" spans="1:20">
      <c r="A30" s="3528"/>
      <c r="B30" s="3521"/>
      <c r="C30" s="3290" t="s">
        <v>3081</v>
      </c>
      <c r="D30" s="3290"/>
      <c r="E30" s="3290"/>
      <c r="F30" s="3290"/>
      <c r="G30" s="3290"/>
      <c r="H30" s="3290"/>
      <c r="I30" s="3290" t="s">
        <v>3057</v>
      </c>
      <c r="J30" s="3290"/>
      <c r="K30" s="3290"/>
      <c r="L30" s="3290"/>
      <c r="M30" s="3290"/>
      <c r="N30" s="3290"/>
      <c r="O30" s="3304"/>
      <c r="P30" s="3289"/>
      <c r="Q30" s="3290"/>
      <c r="R30" s="3290"/>
      <c r="S30" s="3535"/>
    </row>
    <row r="31" spans="1:20" ht="27">
      <c r="A31" s="3528"/>
      <c r="B31" s="3521"/>
      <c r="C31" s="3290" t="s">
        <v>3084</v>
      </c>
      <c r="D31" s="3291" t="s">
        <v>3082</v>
      </c>
      <c r="E31" s="3291" t="s">
        <v>3098</v>
      </c>
      <c r="F31" s="3291" t="s">
        <v>3075</v>
      </c>
      <c r="G31" s="3291" t="s">
        <v>3097</v>
      </c>
      <c r="H31" s="3291" t="s">
        <v>3078</v>
      </c>
      <c r="I31" s="3291" t="s">
        <v>3083</v>
      </c>
      <c r="J31" s="3291" t="s">
        <v>3062</v>
      </c>
      <c r="K31" s="3291" t="s">
        <v>3076</v>
      </c>
      <c r="L31" s="3291" t="s">
        <v>3079</v>
      </c>
      <c r="M31" s="3291" t="s">
        <v>3063</v>
      </c>
      <c r="N31" s="3306" t="s">
        <v>3101</v>
      </c>
      <c r="O31" s="3305" t="s">
        <v>3060</v>
      </c>
      <c r="P31" s="3291" t="s">
        <v>3057</v>
      </c>
      <c r="Q31" s="3291" t="s">
        <v>3060</v>
      </c>
      <c r="R31" s="3291" t="s">
        <v>3057</v>
      </c>
      <c r="S31" s="3536"/>
    </row>
    <row r="32" spans="1:20">
      <c r="A32" s="3306" t="s">
        <v>3089</v>
      </c>
      <c r="B32" s="3289">
        <f t="shared" ref="B32:B41" si="6">C32+I32</f>
        <v>3123</v>
      </c>
      <c r="C32" s="3289">
        <f t="shared" ref="C32:C41" si="7">SUM(D32:H32)</f>
        <v>2654</v>
      </c>
      <c r="D32" s="3289">
        <v>2654</v>
      </c>
      <c r="E32" s="3289"/>
      <c r="F32" s="3289"/>
      <c r="G32" s="3289"/>
      <c r="H32" s="3289"/>
      <c r="I32" s="3289">
        <f>SUM(J32:N32)</f>
        <v>469</v>
      </c>
      <c r="J32" s="3289">
        <v>382</v>
      </c>
      <c r="K32" s="3289"/>
      <c r="L32" s="3289"/>
      <c r="M32" s="3289">
        <v>87</v>
      </c>
      <c r="N32" s="3289"/>
      <c r="O32">
        <v>8</v>
      </c>
      <c r="P32">
        <v>-1</v>
      </c>
      <c r="Q32">
        <v>23.9</v>
      </c>
      <c r="R32">
        <v>-5.4</v>
      </c>
      <c r="S32">
        <v>32</v>
      </c>
      <c r="T32">
        <f t="shared" ref="T32:T39" si="8">D32/S32</f>
        <v>82.9375</v>
      </c>
    </row>
    <row r="33" spans="1:21">
      <c r="A33" s="3306" t="s">
        <v>3090</v>
      </c>
      <c r="B33" s="3289">
        <f t="shared" si="6"/>
        <v>5391</v>
      </c>
      <c r="C33" s="3289">
        <f t="shared" si="7"/>
        <v>4509</v>
      </c>
      <c r="D33" s="3289">
        <v>4442</v>
      </c>
      <c r="E33" s="3289"/>
      <c r="F33" s="3289"/>
      <c r="G33" s="3289">
        <v>67</v>
      </c>
      <c r="H33" s="3289"/>
      <c r="I33" s="3289">
        <f t="shared" ref="I33:I41" si="9">SUM(J33:N33)</f>
        <v>882</v>
      </c>
      <c r="J33" s="3289">
        <v>819</v>
      </c>
      <c r="K33" s="3289"/>
      <c r="L33" s="3289"/>
      <c r="M33" s="3289">
        <v>63</v>
      </c>
      <c r="N33" s="3289"/>
      <c r="O33">
        <v>8</v>
      </c>
      <c r="P33">
        <v>-2</v>
      </c>
      <c r="Q33">
        <v>23.9</v>
      </c>
      <c r="R33">
        <v>-9.1</v>
      </c>
      <c r="S33">
        <v>48</v>
      </c>
      <c r="T33">
        <f t="shared" si="8"/>
        <v>92.541666666666671</v>
      </c>
    </row>
    <row r="34" spans="1:21">
      <c r="A34" s="3306" t="s">
        <v>3091</v>
      </c>
      <c r="B34" s="3289">
        <f t="shared" si="6"/>
        <v>3204</v>
      </c>
      <c r="C34" s="3289">
        <f t="shared" si="7"/>
        <v>2389</v>
      </c>
      <c r="D34" s="3289">
        <v>1889</v>
      </c>
      <c r="E34" s="3289"/>
      <c r="F34" s="3289">
        <v>500</v>
      </c>
      <c r="G34" s="3289"/>
      <c r="H34" s="3289"/>
      <c r="I34" s="3289">
        <f t="shared" si="9"/>
        <v>815</v>
      </c>
      <c r="J34" s="3289">
        <v>275</v>
      </c>
      <c r="K34" s="3289"/>
      <c r="L34" s="3289"/>
      <c r="M34" s="3289">
        <v>540</v>
      </c>
      <c r="N34" s="3289"/>
      <c r="O34">
        <v>6</v>
      </c>
      <c r="P34">
        <v>-1</v>
      </c>
      <c r="Q34">
        <v>18</v>
      </c>
      <c r="R34">
        <v>-5.4</v>
      </c>
      <c r="S34">
        <v>21</v>
      </c>
      <c r="T34">
        <f t="shared" si="8"/>
        <v>89.952380952380949</v>
      </c>
    </row>
    <row r="35" spans="1:21">
      <c r="A35" s="3306" t="s">
        <v>3092</v>
      </c>
      <c r="B35" s="3289">
        <f t="shared" si="6"/>
        <v>3516</v>
      </c>
      <c r="C35" s="3289">
        <f t="shared" si="7"/>
        <v>2983</v>
      </c>
      <c r="D35" s="3289">
        <v>2983</v>
      </c>
      <c r="E35" s="3289"/>
      <c r="F35" s="3289"/>
      <c r="G35" s="3289"/>
      <c r="H35" s="3289"/>
      <c r="I35" s="3289">
        <f t="shared" si="9"/>
        <v>533</v>
      </c>
      <c r="J35" s="3289">
        <v>470</v>
      </c>
      <c r="K35" s="3289"/>
      <c r="L35" s="3289"/>
      <c r="M35" s="3289">
        <v>63</v>
      </c>
      <c r="N35" s="3289"/>
      <c r="O35">
        <v>8</v>
      </c>
      <c r="P35">
        <v>-1</v>
      </c>
      <c r="Q35">
        <v>23.9</v>
      </c>
      <c r="R35">
        <v>-5.4</v>
      </c>
      <c r="S35">
        <v>32</v>
      </c>
      <c r="T35">
        <f t="shared" si="8"/>
        <v>93.21875</v>
      </c>
    </row>
    <row r="36" spans="1:21">
      <c r="A36" s="3306" t="s">
        <v>3093</v>
      </c>
      <c r="B36" s="3289">
        <f t="shared" si="6"/>
        <v>5912</v>
      </c>
      <c r="C36" s="3289">
        <f t="shared" si="7"/>
        <v>4840</v>
      </c>
      <c r="D36" s="3289">
        <v>4840</v>
      </c>
      <c r="E36" s="3289"/>
      <c r="F36" s="3289"/>
      <c r="G36" s="3289"/>
      <c r="H36" s="3289"/>
      <c r="I36" s="3289">
        <f t="shared" si="9"/>
        <v>1072</v>
      </c>
      <c r="J36" s="3289">
        <v>994</v>
      </c>
      <c r="K36" s="3289"/>
      <c r="L36" s="3289"/>
      <c r="M36" s="3289">
        <v>78</v>
      </c>
      <c r="N36" s="3289"/>
      <c r="O36">
        <v>7</v>
      </c>
      <c r="P36">
        <v>-2</v>
      </c>
      <c r="Q36">
        <v>20.95</v>
      </c>
      <c r="R36">
        <v>-9.1</v>
      </c>
      <c r="S36">
        <v>36</v>
      </c>
      <c r="T36">
        <f t="shared" si="8"/>
        <v>134.44444444444446</v>
      </c>
    </row>
    <row r="37" spans="1:21">
      <c r="A37" s="3306" t="s">
        <v>3094</v>
      </c>
      <c r="B37" s="3289">
        <f t="shared" si="6"/>
        <v>4195</v>
      </c>
      <c r="C37" s="3289">
        <f t="shared" si="7"/>
        <v>3311</v>
      </c>
      <c r="D37" s="3289">
        <v>3311</v>
      </c>
      <c r="E37" s="3289"/>
      <c r="F37" s="3289"/>
      <c r="G37" s="3289"/>
      <c r="H37" s="3289"/>
      <c r="I37" s="3289">
        <f t="shared" si="9"/>
        <v>884</v>
      </c>
      <c r="J37" s="3289">
        <v>387</v>
      </c>
      <c r="K37" s="3289">
        <v>400</v>
      </c>
      <c r="L37" s="3289"/>
      <c r="M37" s="3289">
        <v>97</v>
      </c>
      <c r="N37" s="3289"/>
      <c r="O37">
        <v>8</v>
      </c>
      <c r="P37">
        <v>-1</v>
      </c>
      <c r="Q37">
        <v>23.9</v>
      </c>
      <c r="R37">
        <v>-5.4</v>
      </c>
      <c r="S37">
        <v>42</v>
      </c>
      <c r="T37">
        <f t="shared" si="8"/>
        <v>78.833333333333329</v>
      </c>
    </row>
    <row r="38" spans="1:21">
      <c r="A38" s="3306" t="s">
        <v>3095</v>
      </c>
      <c r="B38" s="3289">
        <f t="shared" si="6"/>
        <v>6342</v>
      </c>
      <c r="C38" s="3289">
        <f t="shared" si="7"/>
        <v>5247</v>
      </c>
      <c r="D38" s="3289">
        <v>5247</v>
      </c>
      <c r="E38" s="3289"/>
      <c r="F38" s="3289"/>
      <c r="G38" s="3289"/>
      <c r="H38" s="3289"/>
      <c r="I38" s="3289">
        <f t="shared" si="9"/>
        <v>1095</v>
      </c>
      <c r="J38" s="3289">
        <v>1007</v>
      </c>
      <c r="K38" s="3289"/>
      <c r="L38" s="3289"/>
      <c r="M38" s="3289">
        <v>88</v>
      </c>
      <c r="N38" s="3289"/>
      <c r="O38">
        <v>8</v>
      </c>
      <c r="P38">
        <v>-1</v>
      </c>
      <c r="Q38">
        <v>23.9</v>
      </c>
      <c r="R38">
        <v>-5.4</v>
      </c>
      <c r="S38">
        <v>54</v>
      </c>
      <c r="T38">
        <f t="shared" si="8"/>
        <v>97.166666666666671</v>
      </c>
    </row>
    <row r="39" spans="1:21">
      <c r="A39" s="3306" t="s">
        <v>3096</v>
      </c>
      <c r="B39" s="3289">
        <f t="shared" si="6"/>
        <v>3889.8449999999998</v>
      </c>
      <c r="C39" s="3289">
        <f t="shared" si="7"/>
        <v>3310.8449999999998</v>
      </c>
      <c r="D39" s="3289">
        <v>3120.8449999999998</v>
      </c>
      <c r="E39" s="3289"/>
      <c r="F39" s="3289">
        <f>140+50</f>
        <v>190</v>
      </c>
      <c r="G39" s="3289"/>
      <c r="H39" s="3289"/>
      <c r="I39" s="3289">
        <f t="shared" si="9"/>
        <v>579</v>
      </c>
      <c r="J39" s="3289">
        <v>318</v>
      </c>
      <c r="K39" s="3289"/>
      <c r="L39" s="3289"/>
      <c r="M39" s="3289">
        <v>261</v>
      </c>
      <c r="N39" s="3289"/>
      <c r="O39">
        <v>8</v>
      </c>
      <c r="P39">
        <v>-1</v>
      </c>
      <c r="Q39">
        <v>23.9</v>
      </c>
      <c r="R39">
        <v>-5.4</v>
      </c>
      <c r="S39">
        <v>39</v>
      </c>
      <c r="T39">
        <f t="shared" si="8"/>
        <v>80.021666666666661</v>
      </c>
    </row>
    <row r="40" spans="1:21" ht="27">
      <c r="A40" s="3306" t="s">
        <v>3099</v>
      </c>
      <c r="B40" s="3289">
        <f t="shared" si="6"/>
        <v>421</v>
      </c>
      <c r="C40" s="3289">
        <f t="shared" si="7"/>
        <v>321</v>
      </c>
      <c r="D40" s="3289"/>
      <c r="E40" s="3289"/>
      <c r="F40" s="3289">
        <v>321</v>
      </c>
      <c r="G40" s="3289"/>
      <c r="H40" s="3289"/>
      <c r="I40" s="3289">
        <f>SUM(J40:N40)</f>
        <v>100</v>
      </c>
      <c r="J40" s="3289"/>
      <c r="K40" s="3289">
        <v>100</v>
      </c>
      <c r="L40" s="3289"/>
      <c r="M40" s="3289"/>
      <c r="N40" s="3289"/>
      <c r="O40">
        <v>2</v>
      </c>
      <c r="P40">
        <v>-1</v>
      </c>
      <c r="Q40">
        <v>7.35</v>
      </c>
      <c r="R40">
        <v>-1.25</v>
      </c>
    </row>
    <row r="41" spans="1:21" ht="27">
      <c r="A41" s="3306" t="s">
        <v>3100</v>
      </c>
      <c r="B41" s="3289">
        <f t="shared" si="6"/>
        <v>14289</v>
      </c>
      <c r="C41" s="3289">
        <f t="shared" si="7"/>
        <v>38</v>
      </c>
      <c r="D41" s="3289"/>
      <c r="E41" s="3289"/>
      <c r="F41" s="3289"/>
      <c r="G41" s="3289">
        <v>18</v>
      </c>
      <c r="H41" s="3289">
        <v>20</v>
      </c>
      <c r="I41" s="3289">
        <f t="shared" si="9"/>
        <v>14251</v>
      </c>
      <c r="J41" s="3289"/>
      <c r="K41" s="3289">
        <v>810</v>
      </c>
      <c r="L41" s="3289">
        <v>9044</v>
      </c>
      <c r="M41" s="3289">
        <v>342</v>
      </c>
      <c r="N41" s="3289">
        <v>4055</v>
      </c>
      <c r="O41">
        <v>1</v>
      </c>
      <c r="P41">
        <v>-2</v>
      </c>
      <c r="Q41">
        <v>3.85</v>
      </c>
      <c r="R41">
        <v>-9.1</v>
      </c>
      <c r="T41">
        <f>(L41+N41)/U41</f>
        <v>35.498644986449861</v>
      </c>
      <c r="U41">
        <v>369</v>
      </c>
    </row>
    <row r="42" spans="1:21">
      <c r="A42" s="3306" t="s">
        <v>3080</v>
      </c>
      <c r="B42" s="3289">
        <f>SUM(B32:B41)</f>
        <v>50282.845000000001</v>
      </c>
      <c r="C42" s="3289">
        <f t="shared" ref="C42:N42" si="10">SUM(C32:C41)</f>
        <v>29602.845000000001</v>
      </c>
      <c r="D42" s="3289">
        <f t="shared" si="10"/>
        <v>28486.845000000001</v>
      </c>
      <c r="E42" s="3289">
        <f t="shared" si="10"/>
        <v>0</v>
      </c>
      <c r="F42" s="3289">
        <f t="shared" si="10"/>
        <v>1011</v>
      </c>
      <c r="G42" s="3289">
        <f t="shared" si="10"/>
        <v>85</v>
      </c>
      <c r="H42" s="3289">
        <f t="shared" si="10"/>
        <v>20</v>
      </c>
      <c r="I42" s="3289">
        <f t="shared" si="10"/>
        <v>20680</v>
      </c>
      <c r="J42" s="3289">
        <f t="shared" si="10"/>
        <v>4652</v>
      </c>
      <c r="K42" s="3289">
        <f t="shared" si="10"/>
        <v>1310</v>
      </c>
      <c r="L42" s="3289">
        <f t="shared" si="10"/>
        <v>9044</v>
      </c>
      <c r="M42" s="3289">
        <f t="shared" si="10"/>
        <v>1619</v>
      </c>
      <c r="N42" s="3289">
        <f t="shared" si="10"/>
        <v>4055</v>
      </c>
      <c r="S42">
        <f>SUM(S32:S41)</f>
        <v>304</v>
      </c>
      <c r="T42">
        <f>D42/S42</f>
        <v>93.706726973684212</v>
      </c>
    </row>
    <row r="45" spans="1:21">
      <c r="A45" s="3291" t="s">
        <v>3047</v>
      </c>
      <c r="B45" s="3290" t="s">
        <v>3102</v>
      </c>
    </row>
    <row r="46" spans="1:21" ht="81">
      <c r="A46" s="3291" t="s">
        <v>3049</v>
      </c>
      <c r="B46" s="3291" t="s">
        <v>3103</v>
      </c>
    </row>
    <row r="47" spans="1:21">
      <c r="A47" s="3291" t="s">
        <v>3052</v>
      </c>
      <c r="B47" s="3289">
        <v>4295.04</v>
      </c>
      <c r="C47">
        <f>权属信息!N22</f>
        <v>1747.24</v>
      </c>
      <c r="D47">
        <f>ROUND(C52/C47,2)</f>
        <v>1.8</v>
      </c>
    </row>
    <row r="49" spans="1:21">
      <c r="A49" s="3528" t="s">
        <v>3053</v>
      </c>
      <c r="B49" s="3521" t="s">
        <v>3104</v>
      </c>
      <c r="C49" s="3290" t="s">
        <v>3058</v>
      </c>
      <c r="D49" s="3290"/>
      <c r="E49" s="3290"/>
      <c r="F49" s="3290"/>
      <c r="G49" s="3290"/>
      <c r="H49" s="3290"/>
      <c r="I49" s="3290"/>
      <c r="J49" s="3290"/>
      <c r="K49" s="3290"/>
      <c r="L49" s="3290"/>
      <c r="M49" s="3290"/>
      <c r="N49" s="3290"/>
      <c r="O49" s="3539" t="s">
        <v>3059</v>
      </c>
      <c r="P49" s="3522"/>
      <c r="Q49" s="3521" t="s">
        <v>3061</v>
      </c>
      <c r="R49" s="3521"/>
      <c r="S49" s="3534" t="s">
        <v>3067</v>
      </c>
    </row>
    <row r="50" spans="1:21">
      <c r="A50" s="3528"/>
      <c r="B50" s="3521"/>
      <c r="C50" s="3290" t="s">
        <v>3081</v>
      </c>
      <c r="D50" s="3290"/>
      <c r="E50" s="3290"/>
      <c r="F50" s="3290"/>
      <c r="G50" s="3290"/>
      <c r="H50" s="3290"/>
      <c r="I50" s="3290" t="s">
        <v>3057</v>
      </c>
      <c r="J50" s="3290"/>
      <c r="K50" s="3290"/>
      <c r="L50" s="3290"/>
      <c r="M50" s="3290"/>
      <c r="N50" s="3290"/>
      <c r="O50" s="3304"/>
      <c r="P50" s="3289"/>
      <c r="Q50" s="3290"/>
      <c r="R50" s="3290"/>
      <c r="S50" s="3535"/>
    </row>
    <row r="51" spans="1:21" ht="27">
      <c r="A51" s="3528"/>
      <c r="B51" s="3521"/>
      <c r="C51" s="3290" t="s">
        <v>3084</v>
      </c>
      <c r="D51" s="3291" t="s">
        <v>3082</v>
      </c>
      <c r="E51" s="3291" t="s">
        <v>3098</v>
      </c>
      <c r="F51" s="3291" t="s">
        <v>3075</v>
      </c>
      <c r="G51" s="3291" t="s">
        <v>3097</v>
      </c>
      <c r="H51" s="3291" t="s">
        <v>3078</v>
      </c>
      <c r="I51" s="3291" t="s">
        <v>3083</v>
      </c>
      <c r="J51" s="3291" t="s">
        <v>3062</v>
      </c>
      <c r="K51" s="3291" t="s">
        <v>3076</v>
      </c>
      <c r="L51" s="3291" t="s">
        <v>3079</v>
      </c>
      <c r="M51" s="3291" t="s">
        <v>3063</v>
      </c>
      <c r="N51" s="3306" t="s">
        <v>3101</v>
      </c>
      <c r="O51" s="3305" t="s">
        <v>3060</v>
      </c>
      <c r="P51" s="3291" t="s">
        <v>3057</v>
      </c>
      <c r="Q51" s="3291" t="s">
        <v>3060</v>
      </c>
      <c r="R51" s="3291" t="s">
        <v>3057</v>
      </c>
      <c r="S51" s="3536"/>
    </row>
    <row r="52" spans="1:21">
      <c r="A52" s="3298" t="s">
        <v>3105</v>
      </c>
      <c r="B52">
        <f>C52+I52</f>
        <v>4295.04</v>
      </c>
      <c r="C52">
        <f>SUM(D52:H52)</f>
        <v>3145.04</v>
      </c>
      <c r="E52">
        <v>3145.04</v>
      </c>
      <c r="I52">
        <f>SUM(J52:N52)</f>
        <v>1150</v>
      </c>
      <c r="L52">
        <v>450</v>
      </c>
      <c r="M52">
        <v>700</v>
      </c>
      <c r="O52">
        <v>4</v>
      </c>
      <c r="P52">
        <v>1</v>
      </c>
      <c r="Q52" s="3241">
        <v>22.05</v>
      </c>
      <c r="R52">
        <v>-5.85</v>
      </c>
      <c r="S52">
        <v>0</v>
      </c>
      <c r="T52">
        <v>32</v>
      </c>
      <c r="U52">
        <f>L52/T52</f>
        <v>14.0625</v>
      </c>
    </row>
  </sheetData>
  <mergeCells count="19">
    <mergeCell ref="O49:P49"/>
    <mergeCell ref="Q49:R49"/>
    <mergeCell ref="S49:S51"/>
    <mergeCell ref="A49:A51"/>
    <mergeCell ref="B49:B51"/>
    <mergeCell ref="Q29:R29"/>
    <mergeCell ref="S29:S31"/>
    <mergeCell ref="A2:B2"/>
    <mergeCell ref="B7:B9"/>
    <mergeCell ref="A7:A9"/>
    <mergeCell ref="L7:M7"/>
    <mergeCell ref="N7:O7"/>
    <mergeCell ref="P7:P9"/>
    <mergeCell ref="C8:F8"/>
    <mergeCell ref="G8:K8"/>
    <mergeCell ref="C7:K7"/>
    <mergeCell ref="A29:A31"/>
    <mergeCell ref="B29:B31"/>
    <mergeCell ref="O29:P29"/>
  </mergeCells>
  <phoneticPr fontId="229"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18" customWidth="1"/>
    <col min="2" max="2" width="23.5" style="3151" customWidth="1"/>
    <col min="3" max="3" width="32.25" style="3153" customWidth="1"/>
    <col min="4" max="4" width="2.625" style="3153" customWidth="1"/>
    <col min="5" max="5" width="5.875" style="3153" customWidth="1"/>
    <col min="6" max="6" width="23.625" style="3151" customWidth="1"/>
    <col min="7" max="7" width="33.375" style="3152" customWidth="1"/>
    <col min="8" max="8" width="11.875" style="3151" customWidth="1"/>
    <col min="9" max="9" width="16.75" style="3152" customWidth="1"/>
    <col min="10" max="10" width="2.625" style="3153" customWidth="1"/>
    <col min="11" max="11" width="11.875" style="3151" customWidth="1"/>
    <col min="12" max="12" width="16.75" style="3152" customWidth="1"/>
    <col min="13" max="13" width="2.625" style="3153" customWidth="1"/>
    <col min="14" max="14" width="11.875" style="3151" customWidth="1"/>
    <col min="15" max="15" width="16.75" style="3152" customWidth="1"/>
    <col min="16" max="16" width="2.625" style="3153" customWidth="1"/>
    <col min="17" max="17" width="11.875" style="3151" customWidth="1"/>
    <col min="18" max="18" width="16.75" style="3154" customWidth="1"/>
    <col min="19" max="16384" width="9" style="3118"/>
  </cols>
  <sheetData>
    <row r="1" spans="1:18" s="3112" customFormat="1" ht="19.5" thickBot="1">
      <c r="A1" s="3540" t="s">
        <v>1653</v>
      </c>
      <c r="B1" s="3541"/>
      <c r="C1" s="3541"/>
      <c r="D1" s="3541"/>
      <c r="E1" s="3541"/>
      <c r="F1" s="3541"/>
      <c r="G1" s="3541"/>
      <c r="H1" s="3107"/>
      <c r="I1" s="3108"/>
      <c r="J1" s="3109"/>
      <c r="K1" s="3107"/>
      <c r="L1" s="3108"/>
      <c r="M1" s="3109"/>
      <c r="N1" s="3107"/>
      <c r="O1" s="3108"/>
      <c r="P1" s="3109"/>
      <c r="Q1" s="3110"/>
      <c r="R1" s="3111"/>
    </row>
    <row r="2" spans="1:18" ht="14.25" thickBot="1">
      <c r="A2" s="3113"/>
      <c r="B2" s="3114"/>
      <c r="C2" s="3115" t="s">
        <v>1654</v>
      </c>
      <c r="D2" s="3116"/>
      <c r="E2" s="3113"/>
      <c r="F2" s="3117"/>
      <c r="G2" s="3115" t="s">
        <v>1655</v>
      </c>
      <c r="H2" s="3118"/>
      <c r="I2" s="3118"/>
      <c r="J2" s="3118"/>
      <c r="K2" s="3118"/>
      <c r="L2" s="3118"/>
      <c r="M2" s="3118"/>
      <c r="N2" s="3118"/>
      <c r="O2" s="3118"/>
      <c r="P2" s="3118"/>
      <c r="Q2" s="3118"/>
      <c r="R2" s="3118"/>
    </row>
    <row r="3" spans="1:18" ht="27">
      <c r="A3" s="3119" t="s">
        <v>1656</v>
      </c>
      <c r="B3" s="3120" t="s">
        <v>1643</v>
      </c>
      <c r="C3" s="3332" t="s">
        <v>3272</v>
      </c>
      <c r="D3" s="3121"/>
      <c r="E3" s="3122" t="s">
        <v>1656</v>
      </c>
      <c r="F3" s="3123" t="s">
        <v>1644</v>
      </c>
      <c r="G3" s="3124"/>
      <c r="H3" s="3118"/>
      <c r="I3" s="3118"/>
      <c r="J3" s="3118"/>
      <c r="K3" s="3118"/>
      <c r="L3" s="3118"/>
      <c r="M3" s="3118"/>
      <c r="N3" s="3118"/>
      <c r="O3" s="3118"/>
      <c r="P3" s="3118"/>
      <c r="Q3" s="3118"/>
      <c r="R3" s="3118"/>
    </row>
    <row r="4" spans="1:18" ht="14.25">
      <c r="A4" s="3122"/>
      <c r="B4" s="3125" t="s">
        <v>1657</v>
      </c>
      <c r="C4" s="3126"/>
      <c r="D4" s="3121"/>
      <c r="E4" s="3127"/>
      <c r="F4" s="3128" t="s">
        <v>1658</v>
      </c>
      <c r="G4" s="3129"/>
      <c r="H4" s="3118"/>
      <c r="I4" s="3118"/>
      <c r="J4" s="3118"/>
      <c r="K4" s="3118"/>
      <c r="L4" s="3118"/>
      <c r="M4" s="3118"/>
      <c r="N4" s="3118"/>
      <c r="O4" s="3118"/>
      <c r="P4" s="3118"/>
      <c r="Q4" s="3118"/>
      <c r="R4" s="3118"/>
    </row>
    <row r="5" spans="1:18" ht="14.25">
      <c r="A5" s="3122"/>
      <c r="B5" s="3125" t="s">
        <v>1659</v>
      </c>
      <c r="C5" s="3126"/>
      <c r="D5" s="3121"/>
      <c r="E5" s="3127"/>
      <c r="F5" s="3125" t="s">
        <v>2525</v>
      </c>
      <c r="G5" s="3129"/>
      <c r="H5" s="3118"/>
      <c r="I5" s="3118"/>
      <c r="J5" s="3118"/>
      <c r="K5" s="3118"/>
      <c r="L5" s="3118"/>
      <c r="M5" s="3118"/>
      <c r="N5" s="3118"/>
      <c r="O5" s="3118"/>
      <c r="P5" s="3118"/>
      <c r="Q5" s="3118"/>
      <c r="R5" s="3118"/>
    </row>
    <row r="6" spans="1:18" ht="14.25">
      <c r="A6" s="3122"/>
      <c r="B6" s="3125" t="s">
        <v>1645</v>
      </c>
      <c r="C6" s="3333" t="s">
        <v>3269</v>
      </c>
      <c r="D6" s="3121"/>
      <c r="E6" s="3127"/>
      <c r="F6" s="3125" t="s">
        <v>2526</v>
      </c>
      <c r="G6" s="3129"/>
      <c r="H6" s="3118"/>
      <c r="I6" s="3118"/>
      <c r="J6" s="3118"/>
      <c r="K6" s="3118"/>
      <c r="L6" s="3118"/>
      <c r="M6" s="3118"/>
      <c r="N6" s="3118"/>
      <c r="O6" s="3118"/>
      <c r="P6" s="3118"/>
      <c r="Q6" s="3118"/>
      <c r="R6" s="3118"/>
    </row>
    <row r="7" spans="1:18" ht="15" thickBot="1">
      <c r="A7" s="3122"/>
      <c r="B7" s="3125" t="s">
        <v>2525</v>
      </c>
      <c r="C7" s="3333" t="s">
        <v>3317</v>
      </c>
      <c r="D7" s="3130"/>
      <c r="E7" s="3131"/>
      <c r="F7" s="3132" t="s">
        <v>1660</v>
      </c>
      <c r="G7" s="3133"/>
      <c r="H7" s="3118"/>
      <c r="I7" s="3118"/>
      <c r="J7" s="3118"/>
      <c r="K7" s="3118"/>
      <c r="L7" s="3118"/>
      <c r="M7" s="3118"/>
      <c r="N7" s="3118"/>
      <c r="O7" s="3118"/>
      <c r="P7" s="3118"/>
      <c r="Q7" s="3118"/>
      <c r="R7" s="3118"/>
    </row>
    <row r="8" spans="1:18">
      <c r="A8" s="3122"/>
      <c r="B8" s="3125" t="s">
        <v>2526</v>
      </c>
      <c r="C8" s="3333" t="s">
        <v>3270</v>
      </c>
      <c r="D8" s="3130"/>
      <c r="E8" s="3130"/>
      <c r="F8" s="3134"/>
      <c r="G8" s="3134"/>
      <c r="H8" s="3118"/>
      <c r="I8" s="3118"/>
      <c r="J8" s="3118"/>
      <c r="K8" s="3118"/>
      <c r="L8" s="3118"/>
      <c r="M8" s="3118"/>
      <c r="N8" s="3118"/>
      <c r="O8" s="3118"/>
      <c r="P8" s="3118"/>
      <c r="Q8" s="3118"/>
      <c r="R8" s="3118"/>
    </row>
    <row r="9" spans="1:18">
      <c r="A9" s="3122"/>
      <c r="B9" s="3125" t="s">
        <v>1646</v>
      </c>
      <c r="C9" s="3334" t="s">
        <v>3269</v>
      </c>
      <c r="D9" s="3121"/>
      <c r="E9" s="3130"/>
      <c r="F9" s="3134"/>
      <c r="G9" s="3134"/>
      <c r="H9" s="3118"/>
      <c r="I9" s="3118"/>
      <c r="J9" s="3118"/>
      <c r="K9" s="3118"/>
      <c r="L9" s="3118"/>
      <c r="M9" s="3118"/>
      <c r="N9" s="3118"/>
      <c r="O9" s="3118"/>
      <c r="P9" s="3118"/>
      <c r="Q9" s="3118"/>
      <c r="R9" s="3118"/>
    </row>
    <row r="10" spans="1:18" s="3140" customFormat="1" ht="14.25" thickBot="1">
      <c r="A10" s="3135"/>
      <c r="B10" s="3136" t="s">
        <v>1661</v>
      </c>
      <c r="C10" s="3335" t="s">
        <v>3274</v>
      </c>
      <c r="D10" s="3121"/>
      <c r="E10" s="3121"/>
      <c r="F10" s="3134"/>
      <c r="G10" s="3134"/>
      <c r="H10" s="3137"/>
      <c r="I10" s="3138"/>
      <c r="J10" s="3139"/>
      <c r="K10" s="3137"/>
      <c r="L10" s="3138"/>
      <c r="M10" s="3139"/>
      <c r="N10" s="3137"/>
      <c r="O10" s="3138"/>
      <c r="P10" s="3139"/>
      <c r="Q10" s="3137"/>
      <c r="R10" s="3138"/>
    </row>
    <row r="11" spans="1:18" s="3140" customFormat="1">
      <c r="A11" s="3141"/>
      <c r="B11" s="3130"/>
      <c r="C11" s="3121"/>
      <c r="D11" s="3121"/>
      <c r="E11" s="3121"/>
      <c r="F11" s="3130"/>
      <c r="G11" s="3142"/>
      <c r="H11" s="3137"/>
      <c r="I11" s="3138"/>
      <c r="J11" s="3139"/>
      <c r="K11" s="3137"/>
      <c r="L11" s="3138"/>
      <c r="M11" s="3139"/>
      <c r="N11" s="3137"/>
      <c r="O11" s="3138"/>
      <c r="P11" s="3139"/>
      <c r="Q11" s="3137"/>
      <c r="R11" s="3138"/>
    </row>
    <row r="12" spans="1:18" s="3112" customFormat="1" ht="18.75">
      <c r="A12" s="3141"/>
      <c r="B12" s="3130"/>
      <c r="C12" s="3121"/>
      <c r="D12" s="3143"/>
      <c r="E12" s="3121"/>
      <c r="F12" s="3130"/>
      <c r="G12" s="3142"/>
      <c r="H12" s="3144"/>
      <c r="I12" s="3145"/>
      <c r="J12" s="3144"/>
      <c r="K12" s="3144"/>
      <c r="L12" s="3146"/>
      <c r="M12" s="3144"/>
      <c r="N12" s="3147"/>
      <c r="O12" s="3148"/>
      <c r="P12" s="3149"/>
      <c r="Q12" s="3147"/>
      <c r="R12" s="3111"/>
    </row>
    <row r="13" spans="1:18" ht="19.5" thickBot="1">
      <c r="A13" s="3150" t="s">
        <v>1662</v>
      </c>
      <c r="B13" s="3143"/>
      <c r="C13" s="3143"/>
      <c r="D13" s="3116"/>
      <c r="E13" s="3143"/>
      <c r="F13" s="3143"/>
      <c r="G13" s="3143"/>
    </row>
    <row r="14" spans="1:18" ht="14.25" thickBot="1">
      <c r="A14" s="3155"/>
      <c r="B14" s="3155"/>
      <c r="C14" s="3156" t="s">
        <v>1654</v>
      </c>
      <c r="D14" s="3121"/>
      <c r="E14" s="3157"/>
      <c r="F14" s="3157"/>
      <c r="G14" s="3115" t="s">
        <v>1655</v>
      </c>
    </row>
    <row r="15" spans="1:18" ht="27">
      <c r="A15" s="3158" t="s">
        <v>1647</v>
      </c>
      <c r="B15" s="3159" t="s">
        <v>1643</v>
      </c>
      <c r="C15" s="3160" t="str">
        <f>C3</f>
        <v>较差</v>
      </c>
      <c r="D15" s="3121"/>
      <c r="E15" s="3161" t="s">
        <v>1648</v>
      </c>
      <c r="F15" s="3159" t="s">
        <v>1663</v>
      </c>
      <c r="G15" s="3162">
        <f>G3</f>
        <v>0</v>
      </c>
    </row>
    <row r="16" spans="1:18">
      <c r="A16" s="3163"/>
      <c r="B16" s="3164" t="s">
        <v>1657</v>
      </c>
      <c r="C16" s="3165">
        <f>C4</f>
        <v>0</v>
      </c>
      <c r="D16" s="3121"/>
      <c r="E16" s="3166"/>
      <c r="F16" s="3167" t="s">
        <v>1658</v>
      </c>
      <c r="G16" s="3168">
        <f>G4</f>
        <v>0</v>
      </c>
    </row>
    <row r="17" spans="1:7" ht="14.25">
      <c r="A17" s="3163"/>
      <c r="B17" s="3164" t="s">
        <v>1659</v>
      </c>
      <c r="C17" s="3165">
        <f>C5</f>
        <v>0</v>
      </c>
      <c r="D17" s="3130"/>
      <c r="E17" s="3166"/>
      <c r="F17" s="3167" t="s">
        <v>1664</v>
      </c>
      <c r="G17" s="3169"/>
    </row>
    <row r="18" spans="1:7">
      <c r="A18" s="3163"/>
      <c r="B18" s="3167" t="s">
        <v>1645</v>
      </c>
      <c r="C18" s="3168" t="str">
        <f>C6</f>
        <v>一般</v>
      </c>
      <c r="D18" s="3130"/>
      <c r="E18" s="3166"/>
      <c r="F18" s="3167" t="s">
        <v>1660</v>
      </c>
      <c r="G18" s="3168">
        <f>G7</f>
        <v>0</v>
      </c>
    </row>
    <row r="19" spans="1:7">
      <c r="A19" s="3163"/>
      <c r="B19" s="3167" t="s">
        <v>1649</v>
      </c>
      <c r="C19" s="3336" t="s">
        <v>3275</v>
      </c>
      <c r="D19" s="3121"/>
      <c r="E19" s="3166"/>
      <c r="F19" s="3125" t="s">
        <v>2525</v>
      </c>
      <c r="G19" s="3168">
        <f>G5</f>
        <v>0</v>
      </c>
    </row>
    <row r="20" spans="1:7">
      <c r="A20" s="3163"/>
      <c r="B20" s="3167" t="s">
        <v>1650</v>
      </c>
      <c r="C20" s="3165" t="str">
        <f>C9</f>
        <v>一般</v>
      </c>
      <c r="D20" s="3130"/>
      <c r="E20" s="3166"/>
      <c r="F20" s="3125" t="s">
        <v>2526</v>
      </c>
      <c r="G20" s="3168">
        <f>G6</f>
        <v>0</v>
      </c>
    </row>
    <row r="21" spans="1:7" ht="14.25">
      <c r="A21" s="3163"/>
      <c r="B21" s="3125" t="s">
        <v>2525</v>
      </c>
      <c r="C21" s="3168" t="str">
        <f>C7</f>
        <v>较差</v>
      </c>
      <c r="D21" s="3121"/>
      <c r="E21" s="3166"/>
      <c r="F21" s="3167" t="s">
        <v>1651</v>
      </c>
      <c r="G21" s="3170"/>
    </row>
    <row r="22" spans="1:7" ht="14.25">
      <c r="A22" s="3163"/>
      <c r="B22" s="3125" t="s">
        <v>2526</v>
      </c>
      <c r="C22" s="3168" t="str">
        <f>C8</f>
        <v>七通</v>
      </c>
      <c r="D22" s="3121"/>
      <c r="E22" s="3166"/>
      <c r="F22" s="3167" t="s">
        <v>1661</v>
      </c>
      <c r="G22" s="3169"/>
    </row>
    <row r="23" spans="1:7" ht="15" thickBot="1">
      <c r="A23" s="3163"/>
      <c r="B23" s="3167" t="s">
        <v>1651</v>
      </c>
      <c r="C23" s="3170" t="s">
        <v>3276</v>
      </c>
      <c r="E23" s="3171"/>
      <c r="F23" s="3172" t="s">
        <v>1665</v>
      </c>
      <c r="G23" s="3173"/>
    </row>
    <row r="24" spans="1:7" ht="14.25" thickBot="1">
      <c r="A24" s="3174"/>
      <c r="B24" s="3172" t="s">
        <v>1652</v>
      </c>
      <c r="C24" s="3175" t="str">
        <f>C10</f>
        <v>城市次干道——通怀路</v>
      </c>
      <c r="E24" s="3176"/>
      <c r="F24" s="3176"/>
      <c r="G24" s="3177"/>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421" t="str">
        <f>项目基本情况!B1</f>
        <v>北京市宋庄镇6004地块出让国有建设用地使用权抵押价格预评估</v>
      </c>
      <c r="C37" s="3421"/>
      <c r="D37" s="3421"/>
      <c r="E37" s="3421"/>
      <c r="F37" s="3421"/>
      <c r="G37" s="3421"/>
      <c r="H37" s="3421"/>
      <c r="I37" s="3421"/>
    </row>
    <row r="38" spans="1:9">
      <c r="A38" s="1582"/>
      <c r="B38" s="1582"/>
    </row>
    <row r="39" spans="1:9">
      <c r="A39" s="1580" t="s">
        <v>1891</v>
      </c>
      <c r="B39" s="1580" t="s">
        <v>2033</v>
      </c>
    </row>
    <row r="40" spans="1:9">
      <c r="A40" s="1580"/>
      <c r="B40" s="1580">
        <f>项目基本情况!B5</f>
        <v>0</v>
      </c>
    </row>
    <row r="41" spans="1:9">
      <c r="A41" s="1580"/>
      <c r="B41" s="1580"/>
    </row>
    <row r="42" spans="1:9">
      <c r="A42" s="1580" t="s">
        <v>1891</v>
      </c>
      <c r="B42" s="1580" t="s">
        <v>2034</v>
      </c>
    </row>
    <row r="43" spans="1:9">
      <c r="A43" s="1580"/>
      <c r="B43" s="1580" t="s">
        <v>1893</v>
      </c>
    </row>
    <row r="44" spans="1:9">
      <c r="A44" s="1580"/>
      <c r="B44" s="1580"/>
    </row>
    <row r="45" spans="1:9">
      <c r="A45" s="1580" t="s">
        <v>1891</v>
      </c>
      <c r="B45" s="1580" t="s">
        <v>2032</v>
      </c>
    </row>
    <row r="46" spans="1:9" s="1580" customFormat="1" ht="12.75">
      <c r="B46" s="1580" t="str">
        <f>项目基本情况!K4</f>
        <v>吴薇、郑燚</v>
      </c>
    </row>
    <row r="47" spans="1:9">
      <c r="A47" s="1580"/>
      <c r="B47" s="1580"/>
    </row>
    <row r="48" spans="1:9">
      <c r="A48" s="1580" t="s">
        <v>1891</v>
      </c>
      <c r="B48" s="1580" t="s">
        <v>2035</v>
      </c>
    </row>
    <row r="49" spans="2:2">
      <c r="B49" s="158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M32"/>
  <sheetViews>
    <sheetView view="pageBreakPreview" zoomScaleNormal="80" zoomScaleSheetLayoutView="100" workbookViewId="0">
      <selection activeCell="B1" sqref="B1"/>
    </sheetView>
  </sheetViews>
  <sheetFormatPr defaultColWidth="14.625" defaultRowHeight="13.5"/>
  <cols>
    <col min="1" max="1" width="24.375" style="3179" customWidth="1"/>
    <col min="2" max="3" width="14.625" style="3179"/>
    <col min="4" max="4" width="23.5" style="3179" bestFit="1" customWidth="1"/>
    <col min="5" max="16384" width="14.625" style="3179"/>
  </cols>
  <sheetData>
    <row r="1" spans="1:13" ht="16.5">
      <c r="A1" s="3178" t="s">
        <v>2820</v>
      </c>
      <c r="B1" s="3178">
        <f>SUM(B14:B23)</f>
        <v>118330.376</v>
      </c>
      <c r="C1" s="3187"/>
      <c r="D1" s="3187"/>
      <c r="E1" s="3187"/>
      <c r="F1" s="3187"/>
      <c r="G1" s="3188"/>
      <c r="H1" s="3188"/>
      <c r="I1" s="3188"/>
      <c r="J1" s="3188"/>
    </row>
    <row r="2" spans="1:13" ht="16.5">
      <c r="A2" s="3178" t="s">
        <v>2821</v>
      </c>
      <c r="B2" s="3178">
        <f>SUM(C14:C23)</f>
        <v>42540.82</v>
      </c>
      <c r="C2" s="3187"/>
      <c r="D2" s="3187"/>
      <c r="E2" s="3187"/>
      <c r="F2" s="3187"/>
      <c r="G2" s="3188"/>
      <c r="H2" s="3188"/>
      <c r="I2" s="3188"/>
      <c r="J2" s="3188"/>
    </row>
    <row r="3" spans="1:13" ht="16.5">
      <c r="A3" s="3178" t="s">
        <v>2822</v>
      </c>
      <c r="B3" s="3180">
        <f>项目基本情况!D3</f>
        <v>44532</v>
      </c>
      <c r="C3" s="3187"/>
      <c r="D3" s="3187"/>
      <c r="E3" s="3187"/>
      <c r="F3" s="3187"/>
      <c r="G3" s="3188"/>
      <c r="H3" s="3188"/>
      <c r="I3" s="3188"/>
      <c r="J3" s="3188"/>
    </row>
    <row r="4" spans="1:13" ht="33">
      <c r="A4" s="3178" t="s">
        <v>2823</v>
      </c>
      <c r="B4" s="3178" t="s">
        <v>2824</v>
      </c>
      <c r="C4" s="3178" t="s">
        <v>2825</v>
      </c>
      <c r="D4" s="3178" t="s">
        <v>2826</v>
      </c>
      <c r="E4" s="3187"/>
      <c r="F4" s="3187"/>
      <c r="G4" s="3188"/>
      <c r="H4" s="3188"/>
      <c r="I4" s="3188"/>
      <c r="J4" s="3188"/>
    </row>
    <row r="5" spans="1:13" ht="16.5">
      <c r="A5" s="3178" t="s">
        <v>2827</v>
      </c>
      <c r="B5" s="3178">
        <f ca="1">SUM(D14:D23)</f>
        <v>193660</v>
      </c>
      <c r="C5" s="3178">
        <f ca="1">ROUND(B5*10000/$B$1,0)</f>
        <v>16366</v>
      </c>
      <c r="D5" s="3178">
        <f ca="1">ROUND(B5*10000/$B$2,0)</f>
        <v>45523</v>
      </c>
      <c r="E5" s="3187"/>
      <c r="F5" s="3187"/>
      <c r="G5" s="3188"/>
      <c r="H5" s="3188"/>
      <c r="I5" s="3188"/>
      <c r="J5" s="3188"/>
    </row>
    <row r="6" spans="1:13" ht="16.5">
      <c r="A6" s="3178" t="s">
        <v>2828</v>
      </c>
      <c r="B6" s="3178">
        <f ca="1">SUM(G14:G23)</f>
        <v>193660</v>
      </c>
      <c r="C6" s="3178">
        <f t="shared" ref="C6:C8" ca="1" si="0">ROUND(B6*10000/$B$1,0)</f>
        <v>16366</v>
      </c>
      <c r="D6" s="3178">
        <f t="shared" ref="D6:D8" ca="1" si="1">ROUND(B6*10000/$B$2,0)</f>
        <v>45523</v>
      </c>
      <c r="E6" s="3187"/>
      <c r="F6" s="3187"/>
      <c r="G6" s="3188"/>
      <c r="H6" s="3188"/>
      <c r="I6" s="3188"/>
      <c r="J6" s="3188"/>
    </row>
    <row r="7" spans="1:13" ht="16.5">
      <c r="A7" s="3178" t="s">
        <v>2829</v>
      </c>
      <c r="B7" s="3178">
        <f>SUM(H14:H23)</f>
        <v>0</v>
      </c>
      <c r="C7" s="3178">
        <f t="shared" si="0"/>
        <v>0</v>
      </c>
      <c r="D7" s="3178">
        <f t="shared" si="1"/>
        <v>0</v>
      </c>
      <c r="E7" s="3187"/>
      <c r="F7" s="3187"/>
      <c r="G7" s="3188"/>
      <c r="H7" s="3188"/>
      <c r="I7" s="3188"/>
      <c r="J7" s="3188"/>
    </row>
    <row r="8" spans="1:13" ht="16.5">
      <c r="A8" s="3178" t="s">
        <v>2830</v>
      </c>
      <c r="B8" s="3178">
        <f>SUM(I14:I23)</f>
        <v>0</v>
      </c>
      <c r="C8" s="3178">
        <f t="shared" si="0"/>
        <v>0</v>
      </c>
      <c r="D8" s="3178">
        <f t="shared" si="1"/>
        <v>0</v>
      </c>
      <c r="E8" s="3187"/>
      <c r="F8" s="3187"/>
      <c r="G8" s="3188"/>
      <c r="H8" s="3188"/>
      <c r="I8" s="3188"/>
      <c r="J8" s="3188"/>
    </row>
    <row r="9" spans="1:13" ht="16.5">
      <c r="A9" s="3178" t="s">
        <v>2831</v>
      </c>
      <c r="B9" s="3186"/>
      <c r="C9" s="3187"/>
      <c r="D9" s="3187"/>
      <c r="E9" s="3187"/>
      <c r="F9" s="3187"/>
      <c r="G9" s="3188"/>
      <c r="H9" s="3188"/>
      <c r="I9" s="3188"/>
      <c r="J9" s="3188"/>
    </row>
    <row r="10" spans="1:13" ht="16.5">
      <c r="A10" s="3178" t="s">
        <v>2832</v>
      </c>
      <c r="B10" s="3186"/>
      <c r="C10" s="3187"/>
      <c r="D10" s="3187"/>
      <c r="E10" s="3187"/>
      <c r="F10" s="3187"/>
      <c r="G10" s="3188"/>
      <c r="H10" s="3188"/>
      <c r="I10" s="3188"/>
      <c r="J10" s="3188"/>
    </row>
    <row r="11" spans="1:13" ht="16.5">
      <c r="A11" s="3178" t="s">
        <v>2843</v>
      </c>
      <c r="B11" s="3186"/>
      <c r="C11" s="3187"/>
      <c r="D11" s="3187"/>
      <c r="E11" s="3187"/>
      <c r="F11" s="3187"/>
      <c r="G11" s="3188"/>
      <c r="H11" s="3188"/>
      <c r="I11" s="3188"/>
      <c r="J11" s="3188"/>
    </row>
    <row r="12" spans="1:13" ht="16.5">
      <c r="A12" s="3187"/>
      <c r="B12" s="3187"/>
      <c r="C12" s="3187"/>
      <c r="D12" s="3187"/>
      <c r="E12" s="3187"/>
      <c r="F12" s="3187"/>
      <c r="G12" s="3188"/>
      <c r="H12" s="3188"/>
      <c r="I12" s="3188"/>
      <c r="J12" s="3188"/>
    </row>
    <row r="13" spans="1:13" ht="33">
      <c r="A13" s="3181" t="s">
        <v>2842</v>
      </c>
      <c r="B13" s="3182" t="s">
        <v>2820</v>
      </c>
      <c r="C13" s="3182" t="s">
        <v>2821</v>
      </c>
      <c r="D13" s="3182" t="s">
        <v>2833</v>
      </c>
      <c r="E13" s="3178" t="s">
        <v>2841</v>
      </c>
      <c r="F13" s="3178" t="s">
        <v>2826</v>
      </c>
      <c r="G13" s="3182" t="s">
        <v>2834</v>
      </c>
      <c r="H13" s="3182" t="s">
        <v>2835</v>
      </c>
      <c r="I13" s="3182" t="s">
        <v>2836</v>
      </c>
      <c r="J13" s="3188"/>
    </row>
    <row r="14" spans="1:13" ht="16.5">
      <c r="A14" s="3183" t="s">
        <v>2840</v>
      </c>
      <c r="B14" s="3184">
        <f>结果表!L38</f>
        <v>63115.493000000002</v>
      </c>
      <c r="C14" s="3184">
        <f>结果表!K38</f>
        <v>23100.27</v>
      </c>
      <c r="D14" s="3184">
        <f ca="1">结果表!C42</f>
        <v>110751</v>
      </c>
      <c r="E14" s="3184">
        <f ca="1">ROUND(D14*10000/B14,0)</f>
        <v>17547</v>
      </c>
      <c r="F14" s="3184">
        <f ca="1">ROUND(D14*10000/C14,0)</f>
        <v>47944</v>
      </c>
      <c r="G14" s="3184">
        <f ca="1">结果表!C44</f>
        <v>110751</v>
      </c>
      <c r="H14" s="3184" t="str">
        <f>结果表!C45</f>
        <v>——</v>
      </c>
      <c r="I14" s="3184" t="str">
        <f>结果表!C46</f>
        <v>——</v>
      </c>
      <c r="J14" s="3188"/>
      <c r="K14" s="3179">
        <f>权属信息!B22</f>
        <v>20970.98</v>
      </c>
      <c r="L14" s="3179">
        <v>98789</v>
      </c>
      <c r="M14" s="3179">
        <f ca="1">L14-D14</f>
        <v>-11962</v>
      </c>
    </row>
    <row r="15" spans="1:13" ht="16.5">
      <c r="A15" s="3183"/>
      <c r="B15" s="3185"/>
      <c r="C15" s="3185"/>
      <c r="D15" s="3185"/>
      <c r="E15" s="3184" t="e">
        <f t="shared" ref="E15:E23" si="2">ROUND(D15*10000/B15,0)</f>
        <v>#DIV/0!</v>
      </c>
      <c r="F15" s="3184" t="e">
        <f t="shared" ref="F15:F23" si="3">ROUND(D15*10000/C15,0)</f>
        <v>#DIV/0!</v>
      </c>
      <c r="G15" s="2752"/>
      <c r="H15" s="2752"/>
      <c r="I15" s="3185"/>
      <c r="J15" s="3188"/>
      <c r="K15" s="3356">
        <f>权属信息!D22</f>
        <v>23100.27</v>
      </c>
      <c r="L15" s="3179">
        <v>111900</v>
      </c>
      <c r="M15" s="3179">
        <f t="shared" ref="M15:M20" si="4">L15-D15</f>
        <v>111900</v>
      </c>
    </row>
    <row r="16" spans="1:13" ht="16.5">
      <c r="A16" s="3357"/>
      <c r="B16" s="3185"/>
      <c r="C16" s="3185"/>
      <c r="D16" s="3185"/>
      <c r="E16" s="3184" t="e">
        <f t="shared" si="2"/>
        <v>#DIV/0!</v>
      </c>
      <c r="F16" s="3184" t="e">
        <f t="shared" si="3"/>
        <v>#DIV/0!</v>
      </c>
      <c r="G16" s="2752"/>
      <c r="H16" s="2752"/>
      <c r="I16" s="3185"/>
      <c r="J16" s="3188"/>
      <c r="K16" s="3179">
        <f>权属信息!F22</f>
        <v>9491.26</v>
      </c>
      <c r="L16" s="3179">
        <v>41263</v>
      </c>
      <c r="M16" s="3179">
        <f t="shared" si="4"/>
        <v>41263</v>
      </c>
    </row>
    <row r="17" spans="1:13" ht="16.5">
      <c r="A17" s="3183"/>
      <c r="B17" s="3185"/>
      <c r="C17" s="3185"/>
      <c r="D17" s="3185"/>
      <c r="E17" s="3184" t="e">
        <f t="shared" si="2"/>
        <v>#DIV/0!</v>
      </c>
      <c r="F17" s="3184" t="e">
        <f t="shared" si="3"/>
        <v>#DIV/0!</v>
      </c>
      <c r="G17" s="2752"/>
      <c r="H17" s="2752"/>
      <c r="I17" s="3185"/>
      <c r="J17" s="3188"/>
      <c r="K17" s="3356">
        <f>权属信息!H22</f>
        <v>16446.03</v>
      </c>
      <c r="L17" s="3179">
        <v>76815</v>
      </c>
      <c r="M17" s="3179">
        <f t="shared" si="4"/>
        <v>76815</v>
      </c>
    </row>
    <row r="18" spans="1:13" ht="16.5">
      <c r="A18" s="3357">
        <v>6021</v>
      </c>
      <c r="B18" s="3185">
        <f>[3]系统读取表!$B$14</f>
        <v>55214.883000000002</v>
      </c>
      <c r="C18" s="3185">
        <f>[3]系统读取表!$C$14</f>
        <v>19440.55</v>
      </c>
      <c r="D18" s="3185">
        <f>[3]系统读取表!$D$14</f>
        <v>82909</v>
      </c>
      <c r="E18" s="3184">
        <f t="shared" si="2"/>
        <v>15016</v>
      </c>
      <c r="F18" s="3184">
        <f t="shared" si="3"/>
        <v>42647</v>
      </c>
      <c r="G18" s="3185">
        <f>[3]系统读取表!$G$14</f>
        <v>82909</v>
      </c>
      <c r="H18" s="3185"/>
      <c r="I18" s="3185"/>
      <c r="J18" s="3188"/>
      <c r="K18" s="3179">
        <f>权属信息!J22</f>
        <v>19440.55</v>
      </c>
      <c r="L18" s="3179">
        <v>83767</v>
      </c>
      <c r="M18" s="3179">
        <f t="shared" si="4"/>
        <v>858</v>
      </c>
    </row>
    <row r="19" spans="1:13" ht="16.5">
      <c r="A19" s="3357"/>
      <c r="B19" s="3185"/>
      <c r="C19" s="3185"/>
      <c r="D19" s="3185"/>
      <c r="E19" s="3184" t="e">
        <f t="shared" si="2"/>
        <v>#DIV/0!</v>
      </c>
      <c r="F19" s="3184" t="e">
        <f t="shared" si="3"/>
        <v>#DIV/0!</v>
      </c>
      <c r="G19" s="3185"/>
      <c r="H19" s="3185"/>
      <c r="I19" s="3185"/>
      <c r="J19" s="3188"/>
      <c r="K19" s="3356">
        <f>权属信息!L22</f>
        <v>9829.39</v>
      </c>
      <c r="L19" s="3179">
        <v>41442</v>
      </c>
      <c r="M19" s="3179">
        <f t="shared" si="4"/>
        <v>41442</v>
      </c>
    </row>
    <row r="20" spans="1:13" ht="16.5">
      <c r="A20" s="3183"/>
      <c r="B20" s="3381"/>
      <c r="C20" s="3185"/>
      <c r="D20" s="3185"/>
      <c r="E20" s="3184" t="e">
        <f t="shared" si="2"/>
        <v>#DIV/0!</v>
      </c>
      <c r="F20" s="3184" t="e">
        <f>ROUND(D20*10000/C20,0)</f>
        <v>#DIV/0!</v>
      </c>
      <c r="G20" s="3185"/>
      <c r="H20" s="3185"/>
      <c r="I20" s="3185"/>
      <c r="J20" s="3188"/>
      <c r="K20" s="3179">
        <f>权属信息!N22</f>
        <v>1747.24</v>
      </c>
      <c r="L20" s="3179">
        <v>3084</v>
      </c>
      <c r="M20" s="3179">
        <f t="shared" si="4"/>
        <v>3084</v>
      </c>
    </row>
    <row r="21" spans="1:13" ht="16.5">
      <c r="A21" s="3183" t="s">
        <v>2837</v>
      </c>
      <c r="B21" s="3185"/>
      <c r="C21" s="3185"/>
      <c r="D21" s="3185"/>
      <c r="E21" s="3184" t="e">
        <f t="shared" si="2"/>
        <v>#DIV/0!</v>
      </c>
      <c r="F21" s="3184" t="e">
        <f t="shared" si="3"/>
        <v>#DIV/0!</v>
      </c>
      <c r="G21" s="3185"/>
      <c r="H21" s="3185"/>
      <c r="I21" s="3185"/>
      <c r="J21" s="3188"/>
      <c r="K21" s="3179">
        <f>K14+K15+K16+K17+K18+K19+K20</f>
        <v>101025.72000000002</v>
      </c>
    </row>
    <row r="22" spans="1:13" ht="16.5">
      <c r="A22" s="3183" t="s">
        <v>2838</v>
      </c>
      <c r="B22" s="3185"/>
      <c r="C22" s="3185"/>
      <c r="D22" s="3185"/>
      <c r="E22" s="3184" t="e">
        <f t="shared" si="2"/>
        <v>#DIV/0!</v>
      </c>
      <c r="F22" s="3184" t="e">
        <f t="shared" si="3"/>
        <v>#DIV/0!</v>
      </c>
      <c r="G22" s="3185"/>
      <c r="H22" s="3185"/>
      <c r="I22" s="3185"/>
      <c r="J22" s="3188"/>
    </row>
    <row r="23" spans="1:13" ht="16.5">
      <c r="A23" s="3183" t="s">
        <v>2839</v>
      </c>
      <c r="B23" s="3185"/>
      <c r="C23" s="3185"/>
      <c r="D23" s="3185"/>
      <c r="E23" s="3186" t="e">
        <f t="shared" si="2"/>
        <v>#DIV/0!</v>
      </c>
      <c r="F23" s="3186" t="e">
        <f t="shared" si="3"/>
        <v>#DIV/0!</v>
      </c>
      <c r="G23" s="3185"/>
      <c r="H23" s="3185"/>
      <c r="I23" s="3185"/>
      <c r="J23" s="3188"/>
    </row>
    <row r="24" spans="1:13">
      <c r="A24" s="3188"/>
      <c r="B24" s="3188"/>
      <c r="C24" s="3188"/>
      <c r="D24" s="3188"/>
      <c r="E24" s="3188"/>
      <c r="F24" s="3188"/>
      <c r="G24" s="3188"/>
      <c r="H24" s="3188"/>
      <c r="I24" s="3188"/>
      <c r="J24" s="3188"/>
    </row>
    <row r="25" spans="1:13">
      <c r="A25" s="3188"/>
      <c r="B25" s="3188"/>
      <c r="C25" s="3188"/>
      <c r="D25" s="3188"/>
      <c r="E25" s="3188"/>
      <c r="F25" s="3188"/>
      <c r="G25" s="3188"/>
      <c r="H25" s="3188"/>
      <c r="I25" s="3188"/>
      <c r="J25" s="3188"/>
    </row>
    <row r="26" spans="1:13">
      <c r="A26" s="3188"/>
      <c r="B26" s="3188"/>
      <c r="C26" s="3188"/>
      <c r="D26" s="3188"/>
      <c r="E26" s="3188"/>
      <c r="F26" s="3188"/>
      <c r="G26" s="3188"/>
      <c r="H26" s="3188"/>
      <c r="I26" s="3188"/>
      <c r="J26" s="3188"/>
    </row>
    <row r="28" spans="1:13">
      <c r="E28" s="3179">
        <f>97765+351539+ 2964</f>
        <v>452268</v>
      </c>
    </row>
    <row r="30" spans="1:13">
      <c r="D30" s="3419">
        <f ca="1">D14*10000</f>
        <v>1107510000</v>
      </c>
    </row>
    <row r="31" spans="1:13">
      <c r="D31" s="3419">
        <f>D18*10000</f>
        <v>829090000</v>
      </c>
    </row>
    <row r="32" spans="1:13">
      <c r="D32" s="3419">
        <f ca="1">B5*10000</f>
        <v>1936600000</v>
      </c>
    </row>
  </sheetData>
  <sheetProtection password="CEE9" sheet="1" objects="1" scenarios="1" formatCells="0" formatColumns="0" formatRows="0"/>
  <phoneticPr fontId="229" type="noConversion"/>
  <pageMargins left="0.7" right="0.7" top="0.75" bottom="0.75" header="0.3" footer="0.3"/>
  <pageSetup paperSize="9" scale="78"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90" zoomScaleNormal="100" zoomScaleSheetLayoutView="90" zoomScalePageLayoutView="80" workbookViewId="0">
      <selection activeCell="E23" sqref="E23"/>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1"/>
  </cols>
  <sheetData>
    <row r="1" spans="1:22" ht="21.75" customHeight="1" thickBot="1">
      <c r="A1" s="1687" t="s">
        <v>2042</v>
      </c>
      <c r="B1" s="1688"/>
      <c r="C1" s="1716" t="s">
        <v>2043</v>
      </c>
      <c r="D1" s="1717" t="s">
        <v>3279</v>
      </c>
      <c r="E1" s="1716" t="s">
        <v>2044</v>
      </c>
      <c r="F1" s="1718" t="s">
        <v>3280</v>
      </c>
      <c r="G1" s="308"/>
      <c r="H1" s="308"/>
      <c r="I1" s="308"/>
      <c r="J1" s="1908"/>
      <c r="K1" s="1908"/>
      <c r="L1" s="1908"/>
      <c r="M1" s="1908"/>
      <c r="N1" s="1908"/>
      <c r="O1" s="1908"/>
      <c r="P1" s="1908"/>
      <c r="Q1" s="1908"/>
      <c r="R1" s="1908"/>
      <c r="S1" s="1908"/>
      <c r="T1" s="1908"/>
      <c r="U1" s="1908"/>
      <c r="V1" s="1908"/>
    </row>
    <row r="2" spans="1:22" ht="21.75" customHeight="1" thickBot="1">
      <c r="A2" s="3586" t="str">
        <f>项目基本情况!K2</f>
        <v>北京市宋庄镇6004地块出让国有建设用地使用权</v>
      </c>
      <c r="B2" s="3587"/>
      <c r="C2" s="3588"/>
      <c r="D2" s="3588"/>
      <c r="E2" s="3588"/>
      <c r="F2" s="3588"/>
      <c r="G2" s="3587"/>
      <c r="H2" s="3587"/>
      <c r="I2" s="3589"/>
      <c r="J2" s="1909"/>
      <c r="K2" s="1908"/>
      <c r="L2" s="1908"/>
      <c r="M2" s="1908"/>
      <c r="N2" s="1908"/>
      <c r="O2" s="1908"/>
      <c r="P2" s="1908"/>
      <c r="Q2" s="1908"/>
      <c r="R2" s="1908"/>
      <c r="S2" s="1908"/>
      <c r="T2" s="1908"/>
      <c r="U2" s="1908"/>
      <c r="V2" s="1908"/>
    </row>
    <row r="3" spans="1:22" ht="14.25">
      <c r="A3" s="3579" t="s">
        <v>298</v>
      </c>
      <c r="B3" s="3580"/>
      <c r="C3" s="3580"/>
      <c r="D3" s="3580"/>
      <c r="E3" s="3580"/>
      <c r="F3" s="3580"/>
      <c r="G3" s="3580"/>
      <c r="H3" s="3580"/>
      <c r="I3" s="3580"/>
      <c r="J3" s="1909"/>
      <c r="K3" s="1908"/>
      <c r="L3" s="1908"/>
      <c r="M3" s="1908"/>
      <c r="N3" s="1908"/>
      <c r="O3" s="1908"/>
      <c r="P3" s="1908"/>
      <c r="Q3" s="1908"/>
      <c r="R3" s="1908"/>
      <c r="S3" s="1908"/>
      <c r="T3" s="1908"/>
      <c r="U3" s="1908"/>
      <c r="V3" s="1908"/>
    </row>
    <row r="4" spans="1:22" ht="14.25">
      <c r="A4" s="255" t="s">
        <v>299</v>
      </c>
      <c r="B4" s="256" t="s">
        <v>300</v>
      </c>
      <c r="C4" s="257" t="s">
        <v>3277</v>
      </c>
      <c r="D4" s="257" t="s">
        <v>3278</v>
      </c>
      <c r="E4" s="3545" t="s">
        <v>301</v>
      </c>
      <c r="F4" s="3546"/>
      <c r="G4" s="3546"/>
      <c r="H4" s="3546"/>
      <c r="I4" s="3581"/>
      <c r="J4" s="1909"/>
      <c r="K4" s="1908"/>
      <c r="L4" s="3189"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544" t="s">
        <v>302</v>
      </c>
      <c r="B5" s="3573">
        <v>25</v>
      </c>
      <c r="C5" s="3571"/>
      <c r="D5" s="3575"/>
      <c r="E5" s="258" t="s">
        <v>303</v>
      </c>
      <c r="F5" s="259"/>
      <c r="G5" s="259"/>
      <c r="H5" s="259"/>
      <c r="I5" s="260"/>
      <c r="J5" s="1909"/>
      <c r="K5" s="1908"/>
      <c r="L5" s="1908"/>
      <c r="M5" s="1908"/>
      <c r="N5" s="1908"/>
      <c r="O5" s="1908"/>
      <c r="P5" s="1908"/>
      <c r="Q5" s="1908"/>
      <c r="R5" s="1908"/>
      <c r="S5" s="1908"/>
      <c r="T5" s="1908"/>
      <c r="U5" s="1908"/>
      <c r="V5" s="1908"/>
    </row>
    <row r="6" spans="1:22" ht="14.25">
      <c r="A6" s="3544"/>
      <c r="B6" s="3573"/>
      <c r="C6" s="3574"/>
      <c r="D6" s="3575"/>
      <c r="E6" s="258" t="s">
        <v>304</v>
      </c>
      <c r="F6" s="259"/>
      <c r="G6" s="259"/>
      <c r="H6" s="259"/>
      <c r="I6" s="260"/>
      <c r="J6" s="1909"/>
      <c r="K6" s="1908"/>
      <c r="L6" s="1908"/>
      <c r="M6" s="1908"/>
      <c r="N6" s="1908"/>
      <c r="O6" s="1908"/>
      <c r="P6" s="1908"/>
      <c r="Q6" s="1908"/>
      <c r="R6" s="1908"/>
      <c r="S6" s="1908"/>
      <c r="T6" s="1908"/>
      <c r="U6" s="1908"/>
      <c r="V6" s="1908"/>
    </row>
    <row r="7" spans="1:22" ht="14.25">
      <c r="A7" s="3544"/>
      <c r="B7" s="3573"/>
      <c r="C7" s="3572"/>
      <c r="D7" s="3575"/>
      <c r="E7" s="258" t="s">
        <v>305</v>
      </c>
      <c r="F7" s="259"/>
      <c r="G7" s="259"/>
      <c r="H7" s="259"/>
      <c r="I7" s="260"/>
      <c r="J7" s="1909"/>
      <c r="K7" s="1908"/>
      <c r="L7" s="1908"/>
      <c r="M7" s="1908"/>
      <c r="N7" s="1908"/>
      <c r="O7" s="1908"/>
      <c r="P7" s="1908"/>
      <c r="Q7" s="1908"/>
      <c r="R7" s="1908"/>
      <c r="S7" s="1908"/>
      <c r="T7" s="1908"/>
      <c r="U7" s="1908"/>
      <c r="V7" s="1908"/>
    </row>
    <row r="8" spans="1:22" ht="14.25">
      <c r="A8" s="3544" t="s">
        <v>306</v>
      </c>
      <c r="B8" s="3573">
        <v>15</v>
      </c>
      <c r="C8" s="3571"/>
      <c r="D8" s="3575"/>
      <c r="E8" s="258" t="s">
        <v>307</v>
      </c>
      <c r="F8" s="259"/>
      <c r="G8" s="259"/>
      <c r="H8" s="259"/>
      <c r="I8" s="260"/>
      <c r="J8" s="1909"/>
      <c r="K8" s="1908"/>
      <c r="L8" s="1908"/>
      <c r="M8" s="1908"/>
      <c r="N8" s="1908"/>
      <c r="O8" s="1908"/>
      <c r="P8" s="1908"/>
      <c r="Q8" s="1908"/>
      <c r="R8" s="1908"/>
      <c r="S8" s="1908"/>
      <c r="T8" s="1908"/>
      <c r="U8" s="1908"/>
      <c r="V8" s="1908"/>
    </row>
    <row r="9" spans="1:22" ht="14.25">
      <c r="A9" s="3544"/>
      <c r="B9" s="3573"/>
      <c r="C9" s="3572"/>
      <c r="D9" s="3575"/>
      <c r="E9" s="258" t="s">
        <v>308</v>
      </c>
      <c r="F9" s="259"/>
      <c r="G9" s="259"/>
      <c r="H9" s="259"/>
      <c r="I9" s="260"/>
      <c r="J9" s="1909"/>
      <c r="K9" s="1908"/>
      <c r="L9" s="1908"/>
      <c r="M9" s="1908"/>
      <c r="N9" s="1908"/>
      <c r="O9" s="1908"/>
      <c r="P9" s="1908"/>
      <c r="Q9" s="1908"/>
      <c r="R9" s="1908"/>
      <c r="S9" s="1908"/>
      <c r="T9" s="1908"/>
      <c r="U9" s="1908"/>
      <c r="V9" s="1908"/>
    </row>
    <row r="10" spans="1:22" ht="14.25">
      <c r="A10" s="3544" t="s">
        <v>309</v>
      </c>
      <c r="B10" s="3573">
        <v>15</v>
      </c>
      <c r="C10" s="3571"/>
      <c r="D10" s="3575"/>
      <c r="E10" s="258" t="s">
        <v>310</v>
      </c>
      <c r="F10" s="259"/>
      <c r="G10" s="259"/>
      <c r="H10" s="259"/>
      <c r="I10" s="260"/>
      <c r="J10" s="1909"/>
      <c r="K10" s="1908"/>
      <c r="L10" s="1908"/>
      <c r="M10" s="1908"/>
      <c r="N10" s="1908"/>
      <c r="O10" s="1908"/>
      <c r="P10" s="1908"/>
      <c r="Q10" s="1908"/>
      <c r="R10" s="1908"/>
      <c r="S10" s="1908"/>
      <c r="T10" s="1908"/>
      <c r="U10" s="1908"/>
      <c r="V10" s="1908"/>
    </row>
    <row r="11" spans="1:22" ht="14.25">
      <c r="A11" s="3544"/>
      <c r="B11" s="3573"/>
      <c r="C11" s="3572"/>
      <c r="D11" s="3575"/>
      <c r="E11" s="258" t="s">
        <v>311</v>
      </c>
      <c r="F11" s="259"/>
      <c r="G11" s="259"/>
      <c r="H11" s="259"/>
      <c r="I11" s="260"/>
      <c r="J11" s="1909"/>
      <c r="K11" s="1908"/>
      <c r="L11" s="1908"/>
      <c r="M11" s="1908"/>
      <c r="N11" s="1908"/>
      <c r="O11" s="1908"/>
      <c r="P11" s="1908"/>
      <c r="Q11" s="1908"/>
      <c r="R11" s="1908"/>
      <c r="S11" s="1908"/>
      <c r="T11" s="1908"/>
      <c r="U11" s="1908"/>
      <c r="V11" s="1908"/>
    </row>
    <row r="12" spans="1:22" ht="14.25">
      <c r="A12" s="3544" t="s">
        <v>312</v>
      </c>
      <c r="B12" s="3573">
        <v>15</v>
      </c>
      <c r="C12" s="3571"/>
      <c r="D12" s="3575"/>
      <c r="E12" s="258" t="s">
        <v>313</v>
      </c>
      <c r="F12" s="259"/>
      <c r="G12" s="259"/>
      <c r="H12" s="259"/>
      <c r="I12" s="260"/>
      <c r="J12" s="1909"/>
      <c r="K12" s="1908"/>
      <c r="L12" s="1908"/>
      <c r="M12" s="1908"/>
      <c r="N12" s="1908"/>
      <c r="O12" s="1908"/>
      <c r="P12" s="1908"/>
      <c r="Q12" s="1908"/>
      <c r="R12" s="1908"/>
      <c r="S12" s="1908"/>
      <c r="T12" s="1908"/>
      <c r="U12" s="1908"/>
      <c r="V12" s="1908"/>
    </row>
    <row r="13" spans="1:22" ht="14.25">
      <c r="A13" s="3544"/>
      <c r="B13" s="3573"/>
      <c r="C13" s="3572"/>
      <c r="D13" s="3575"/>
      <c r="E13" s="258" t="s">
        <v>314</v>
      </c>
      <c r="F13" s="259"/>
      <c r="G13" s="259"/>
      <c r="H13" s="259"/>
      <c r="I13" s="260"/>
      <c r="J13" s="1909"/>
      <c r="K13" s="1908"/>
      <c r="L13" s="1908"/>
      <c r="M13" s="1908"/>
      <c r="N13" s="1908"/>
      <c r="O13" s="1908"/>
      <c r="P13" s="1908"/>
      <c r="Q13" s="1908"/>
      <c r="R13" s="1908"/>
      <c r="S13" s="1908"/>
      <c r="T13" s="1908"/>
      <c r="U13" s="1908"/>
      <c r="V13" s="1908"/>
    </row>
    <row r="14" spans="1:22" ht="14.25">
      <c r="A14" s="3544" t="s">
        <v>315</v>
      </c>
      <c r="B14" s="3573">
        <v>30</v>
      </c>
      <c r="C14" s="3571">
        <v>5</v>
      </c>
      <c r="D14" s="3575">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544"/>
      <c r="B15" s="3573"/>
      <c r="C15" s="3574"/>
      <c r="D15" s="3575"/>
      <c r="E15" s="258" t="s">
        <v>317</v>
      </c>
      <c r="F15" s="259"/>
      <c r="G15" s="259"/>
      <c r="H15" s="259"/>
      <c r="I15" s="260"/>
      <c r="J15" s="1909"/>
      <c r="K15" s="1908"/>
      <c r="L15" s="1908"/>
      <c r="M15" s="1908"/>
      <c r="N15" s="1908"/>
      <c r="O15" s="1908"/>
      <c r="P15" s="1908"/>
      <c r="Q15" s="1908"/>
      <c r="R15" s="1908"/>
      <c r="S15" s="1908"/>
      <c r="T15" s="1908"/>
      <c r="U15" s="1908"/>
      <c r="V15" s="1908"/>
    </row>
    <row r="16" spans="1:22" ht="14.25">
      <c r="A16" s="3544"/>
      <c r="B16" s="3573"/>
      <c r="C16" s="3572"/>
      <c r="D16" s="3575"/>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1"/>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4"/>
      <c r="C18" s="264">
        <f>ROUND(C17/SUM(C17:D17),2)</f>
        <v>0.5</v>
      </c>
      <c r="D18" s="264">
        <f>1-C18</f>
        <v>0.5</v>
      </c>
      <c r="E18" s="3576" t="s">
        <v>2942</v>
      </c>
      <c r="F18" s="3577"/>
      <c r="G18" s="3577"/>
      <c r="H18" s="3577"/>
      <c r="I18" s="3577"/>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104467</v>
      </c>
      <c r="D19" s="268">
        <f ca="1">SUMIF(INDIRECT("'"&amp;D4&amp;"'"&amp;"!A:A"),结果表!B19,INDIRECT("'"&amp;D4&amp;"'"&amp;"!B:B"))</f>
        <v>117035</v>
      </c>
      <c r="E19" s="265" t="s">
        <v>323</v>
      </c>
      <c r="F19" s="266" t="s">
        <v>322</v>
      </c>
      <c r="G19" s="269">
        <f ca="1">ROUND(C19*$C$18+D19*$D$18,0)</f>
        <v>110751</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16552</v>
      </c>
      <c r="D20" s="274">
        <f ca="1">SUMIF(INDIRECT("'"&amp;D4&amp;"'"&amp;"!A:A"),结果表!B20,INDIRECT("'"&amp;D4&amp;"'"&amp;"!B:B"))</f>
        <v>18543</v>
      </c>
      <c r="E20" s="271"/>
      <c r="F20" s="272" t="s">
        <v>325</v>
      </c>
      <c r="G20" s="275">
        <f ca="1">ROUND(C20*$C$18+D20*$D$18,0)</f>
        <v>17548</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45223</v>
      </c>
      <c r="D21" s="148">
        <f ca="1">SUMIF(INDIRECT("'"&amp;D4&amp;"'"&amp;"!A:A"),结果表!B21,INDIRECT("'"&amp;D4&amp;"'"&amp;"!B:B"))</f>
        <v>50664</v>
      </c>
      <c r="E21" s="271"/>
      <c r="F21" s="277" t="s">
        <v>327</v>
      </c>
      <c r="G21" s="279">
        <f ca="1">ROUND(C21*$C$18+D21*$D$18,0)</f>
        <v>47944</v>
      </c>
      <c r="H21" s="1202" t="s">
        <v>326</v>
      </c>
      <c r="I21" s="308"/>
      <c r="J21" s="1908"/>
      <c r="K21" s="1908"/>
      <c r="L21" s="1908"/>
      <c r="M21" s="1908"/>
      <c r="N21" s="1908"/>
      <c r="O21" s="1908"/>
      <c r="P21" s="1908"/>
      <c r="Q21" s="1908"/>
      <c r="R21" s="1908"/>
      <c r="S21" s="1908"/>
      <c r="T21" s="1908"/>
      <c r="U21" s="1908"/>
      <c r="V21" s="1908"/>
    </row>
    <row r="22" spans="1:26" ht="15.75" thickBot="1">
      <c r="A22" s="125" t="s">
        <v>328</v>
      </c>
      <c r="B22" s="1203"/>
      <c r="C22" s="1204"/>
      <c r="D22" s="280">
        <f ca="1">IF(C19&lt;D19,D19/C19-1,C19/D19-1)</f>
        <v>0.1203059339312893</v>
      </c>
      <c r="E22" s="281"/>
      <c r="F22" s="282"/>
      <c r="G22" s="283">
        <f ca="1">ROUND(G19/('数据-汇总表'!D3/666.67),0)</f>
        <v>3196</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550"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551"/>
      <c r="B25" s="1272" t="s">
        <v>331</v>
      </c>
      <c r="C25" s="287">
        <f>IF(B30=0,0,C30)</f>
        <v>0</v>
      </c>
      <c r="D25" s="288"/>
      <c r="E25" s="308"/>
      <c r="F25" s="308"/>
      <c r="G25" s="308"/>
      <c r="H25" s="308"/>
      <c r="I25" s="308"/>
      <c r="J25" s="1908"/>
      <c r="K25" s="1206" t="str">
        <f ca="1">项目基本情况!B16&amp;"国有建设用地使用权价格："&amp;O38&amp;"万元"</f>
        <v>出让国有建设用地使用权价格：110751万元</v>
      </c>
      <c r="L25" s="1207"/>
      <c r="M25" s="1207"/>
      <c r="N25" s="1207"/>
      <c r="O25" s="1208"/>
      <c r="P25" s="1908"/>
      <c r="Q25" s="1908"/>
      <c r="R25" s="1908"/>
      <c r="S25" s="1908"/>
      <c r="T25" s="1908"/>
      <c r="U25" s="1908"/>
      <c r="V25" s="1908"/>
    </row>
    <row r="26" spans="1:26" s="1205" customFormat="1" ht="18">
      <c r="A26" s="290" t="s">
        <v>332</v>
      </c>
      <c r="B26" s="291" t="s">
        <v>333</v>
      </c>
      <c r="C26" s="291" t="s">
        <v>334</v>
      </c>
      <c r="D26" s="292" t="s">
        <v>335</v>
      </c>
      <c r="E26" s="308"/>
      <c r="F26" s="308"/>
      <c r="G26" s="308"/>
      <c r="H26" s="308"/>
      <c r="I26" s="308"/>
      <c r="J26" s="1908"/>
      <c r="K26" s="1209" t="str">
        <f ca="1">"大写金额：人民币"&amp;NUMBERSTRING(INT(O38*10000),2)&amp;"元整"</f>
        <v>大写金额：人民币壹拾壹亿零柒佰伍拾壹万元整</v>
      </c>
      <c r="L26" s="1203"/>
      <c r="M26" s="1203"/>
      <c r="N26" s="1203"/>
      <c r="O26" s="1202"/>
      <c r="P26" s="1908"/>
      <c r="Q26" s="1908"/>
      <c r="R26" s="1908"/>
      <c r="S26" s="1908"/>
      <c r="T26" s="1908"/>
      <c r="U26" s="1908"/>
      <c r="V26" s="1908"/>
      <c r="W26" s="289"/>
      <c r="X26" s="289"/>
      <c r="Y26" s="289"/>
      <c r="Z26" s="289"/>
    </row>
    <row r="27" spans="1:26" ht="18">
      <c r="A27" s="3339"/>
      <c r="B27" s="291"/>
      <c r="C27" s="291"/>
      <c r="D27" s="292"/>
      <c r="E27" s="308"/>
      <c r="F27" s="308"/>
      <c r="G27" s="308"/>
      <c r="H27" s="308"/>
      <c r="I27" s="308"/>
      <c r="J27" s="1908"/>
      <c r="K27" s="1209" t="str">
        <f ca="1">"单位面积地价："&amp;M38&amp;"元/平方米"</f>
        <v>单位面积地价：47944元/平方米</v>
      </c>
      <c r="L27" s="1203"/>
      <c r="M27" s="1203"/>
      <c r="N27" s="1203"/>
      <c r="O27" s="1202"/>
      <c r="P27" s="1908"/>
      <c r="Q27" s="1908"/>
      <c r="R27" s="1908"/>
      <c r="S27" s="1908"/>
      <c r="T27" s="1908"/>
      <c r="U27" s="1908"/>
      <c r="V27" s="1908"/>
    </row>
    <row r="28" spans="1:26" ht="18.75" customHeight="1">
      <c r="A28" s="3339"/>
      <c r="B28" s="291"/>
      <c r="C28" s="291"/>
      <c r="D28" s="292"/>
      <c r="E28" s="308"/>
      <c r="F28" s="308"/>
      <c r="G28" s="308"/>
      <c r="H28" s="308"/>
      <c r="I28" s="308"/>
      <c r="J28" s="1908"/>
      <c r="K28" s="1209" t="str">
        <f ca="1">"楼面地价："&amp;N38&amp;"元/平方米"</f>
        <v>楼面地价：17547元/平方米</v>
      </c>
      <c r="L28" s="1203"/>
      <c r="M28" s="1203"/>
      <c r="N28" s="1203"/>
      <c r="O28" s="1202"/>
      <c r="P28" s="1908"/>
      <c r="V28" s="1908"/>
    </row>
    <row r="29" spans="1:26" ht="18">
      <c r="A29" s="290"/>
      <c r="B29" s="291"/>
      <c r="C29" s="291"/>
      <c r="D29" s="292"/>
      <c r="E29" s="308"/>
      <c r="F29" s="308"/>
      <c r="G29" s="308"/>
      <c r="H29" s="308"/>
      <c r="I29" s="308"/>
      <c r="J29" s="1908"/>
      <c r="K29" s="1209" t="str">
        <f ca="1">IF(OR(项目基本情况!E8="抵押价格",项目基本情况!E8="已注销及未注销"),"抵押价格："&amp;O39&amp;"万元","——")</f>
        <v>抵押价格：110751万元</v>
      </c>
      <c r="L29" s="1203"/>
      <c r="M29" s="1203"/>
      <c r="N29" s="1203"/>
      <c r="O29" s="1202"/>
      <c r="P29" s="1908"/>
      <c r="V29" s="1908"/>
    </row>
    <row r="30" spans="1:26" ht="18.75" thickBot="1">
      <c r="A30" s="2795" t="s">
        <v>336</v>
      </c>
      <c r="B30" s="306"/>
      <c r="C30" s="306"/>
      <c r="D30" s="307"/>
      <c r="E30" s="2998" t="s">
        <v>2943</v>
      </c>
      <c r="F30" s="308"/>
      <c r="G30" s="308"/>
      <c r="H30" s="308"/>
      <c r="I30" s="308"/>
      <c r="J30" s="1908"/>
      <c r="K30" s="1209" t="str">
        <f ca="1">IF(K29="——","——","大写金额：人民币"&amp;NUMBERSTRING(INT(O39*10000),2)&amp;"元整")</f>
        <v>大写金额：人民币壹拾壹亿零柒佰伍拾壹万元整</v>
      </c>
      <c r="L30" s="1203"/>
      <c r="M30" s="1203"/>
      <c r="N30" s="1203"/>
      <c r="O30" s="1202"/>
      <c r="P30" s="1908"/>
      <c r="V30" s="1908"/>
    </row>
    <row r="31" spans="1:26" ht="24" customHeight="1" thickBot="1">
      <c r="A31" s="3578" t="s">
        <v>2944</v>
      </c>
      <c r="B31" s="3578"/>
      <c r="C31" s="3578"/>
      <c r="D31" s="3578"/>
      <c r="E31" s="3578"/>
      <c r="F31" s="3578"/>
      <c r="G31" s="3578"/>
      <c r="H31" s="3578"/>
      <c r="I31" s="3578"/>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2999" t="s">
        <v>1678</v>
      </c>
      <c r="C32" s="263">
        <f ca="1">G19-C24</f>
        <v>110751</v>
      </c>
      <c r="D32" s="3000" t="s">
        <v>1679</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1680</v>
      </c>
      <c r="C33" s="261">
        <f ca="1">ROUND(C32*10000/'数据-汇总表'!E3,0)</f>
        <v>17547</v>
      </c>
      <c r="D33" s="1331" t="s">
        <v>1681</v>
      </c>
      <c r="E33" s="3550" t="s">
        <v>338</v>
      </c>
      <c r="F33" s="293" t="s">
        <v>339</v>
      </c>
      <c r="G33" s="294"/>
      <c r="H33" s="965"/>
      <c r="I33" s="1210"/>
      <c r="J33" s="1908"/>
      <c r="K33" s="1209" t="str">
        <f>IF(项目基本情况!E9="——","——","抵押净值："&amp;C46&amp;"万元")</f>
        <v>——</v>
      </c>
      <c r="L33" s="1203"/>
      <c r="M33" s="1203"/>
      <c r="N33" s="1203"/>
      <c r="O33" s="1202"/>
      <c r="P33" s="1908"/>
      <c r="V33" s="1908"/>
    </row>
    <row r="34" spans="1:26" s="1205" customFormat="1" ht="18.75" thickBot="1">
      <c r="A34" s="297"/>
      <c r="B34" s="1332" t="s">
        <v>1682</v>
      </c>
      <c r="C34" s="261">
        <f ca="1">ROUND(C32*10000/'数据-汇总表'!D3,0)</f>
        <v>47944</v>
      </c>
      <c r="D34" s="1333" t="s">
        <v>1681</v>
      </c>
      <c r="E34" s="3594"/>
      <c r="F34" s="126" t="s">
        <v>341</v>
      </c>
      <c r="G34" s="296"/>
      <c r="H34" s="104"/>
      <c r="I34" s="308"/>
      <c r="J34" s="1908"/>
      <c r="K34" s="1212" t="str">
        <f>IF(K33="——","——","大写金额：人民币"&amp;NUMBERSTRING(INT(O41*10000),2)&amp;"元整")</f>
        <v>——</v>
      </c>
      <c r="L34" s="1213"/>
      <c r="M34" s="1213"/>
      <c r="N34" s="1213"/>
      <c r="O34" s="1214"/>
      <c r="P34" s="1908"/>
      <c r="Q34" s="289"/>
      <c r="R34" s="289"/>
      <c r="S34" s="289"/>
      <c r="T34" s="289"/>
      <c r="U34" s="289"/>
      <c r="V34" s="1908"/>
      <c r="W34" s="289"/>
      <c r="X34" s="289"/>
      <c r="Y34" s="289"/>
      <c r="Z34" s="289"/>
    </row>
    <row r="35" spans="1:26" ht="15.75" thickBot="1">
      <c r="A35" s="281"/>
      <c r="B35" s="1334"/>
      <c r="C35" s="1335">
        <f ca="1">ROUND(C32/('数据-汇总表'!D3/666.67),0)</f>
        <v>3196</v>
      </c>
      <c r="D35" s="1336" t="s">
        <v>1683</v>
      </c>
      <c r="E35" s="3595"/>
      <c r="F35" s="298" t="s">
        <v>342</v>
      </c>
      <c r="G35" s="967">
        <f>E39</f>
        <v>0</v>
      </c>
      <c r="H35" s="966" t="s">
        <v>343</v>
      </c>
      <c r="I35" s="308"/>
      <c r="J35" s="1908"/>
      <c r="K35" s="3568" t="s">
        <v>350</v>
      </c>
      <c r="L35" s="3568" t="s">
        <v>351</v>
      </c>
      <c r="M35" s="1215" t="s">
        <v>352</v>
      </c>
      <c r="N35" s="3568" t="s">
        <v>353</v>
      </c>
      <c r="O35" s="3568" t="s">
        <v>354</v>
      </c>
      <c r="P35" s="1908"/>
      <c r="V35" s="1908"/>
    </row>
    <row r="36" spans="1:26" ht="16.5" customHeight="1">
      <c r="A36" s="300" t="s">
        <v>344</v>
      </c>
      <c r="B36" s="301" t="s">
        <v>333</v>
      </c>
      <c r="C36" s="302" t="s">
        <v>345</v>
      </c>
      <c r="D36" s="302" t="s">
        <v>346</v>
      </c>
      <c r="E36" s="303" t="s">
        <v>347</v>
      </c>
      <c r="F36" s="308"/>
      <c r="G36" s="308"/>
      <c r="H36" s="308"/>
      <c r="I36" s="308"/>
      <c r="J36" s="1910"/>
      <c r="K36" s="3569"/>
      <c r="L36" s="3569"/>
      <c r="M36" s="1217" t="s">
        <v>355</v>
      </c>
      <c r="N36" s="3569"/>
      <c r="O36" s="3569"/>
      <c r="P36" s="1908"/>
      <c r="V36" s="1908"/>
    </row>
    <row r="37" spans="1:26" ht="16.5" customHeight="1" thickBot="1">
      <c r="A37" s="1211" t="s">
        <v>348</v>
      </c>
      <c r="B37" s="304"/>
      <c r="C37" s="291"/>
      <c r="D37" s="3340"/>
      <c r="E37" s="292"/>
      <c r="F37" s="308"/>
      <c r="G37" s="308"/>
      <c r="H37" s="308"/>
      <c r="I37" s="308"/>
      <c r="J37" s="1910"/>
      <c r="K37" s="3570"/>
      <c r="L37" s="3570"/>
      <c r="M37" s="1218"/>
      <c r="N37" s="3570"/>
      <c r="O37" s="3570"/>
      <c r="P37" s="1908"/>
      <c r="V37" s="1908"/>
    </row>
    <row r="38" spans="1:26" ht="16.5" customHeight="1" thickBot="1">
      <c r="A38" s="1211" t="s">
        <v>349</v>
      </c>
      <c r="B38" s="304"/>
      <c r="C38" s="291"/>
      <c r="D38" s="3340"/>
      <c r="E38" s="292"/>
      <c r="F38" s="308"/>
      <c r="G38" s="308"/>
      <c r="H38" s="308"/>
      <c r="I38" s="308"/>
      <c r="J38" s="1910"/>
      <c r="K38" s="1219">
        <f>'数据-汇总表'!D3</f>
        <v>23100.27</v>
      </c>
      <c r="L38" s="1220">
        <f>'数据-汇总表'!E3</f>
        <v>63115.493000000002</v>
      </c>
      <c r="M38" s="1220">
        <f ca="1">C34</f>
        <v>47944</v>
      </c>
      <c r="N38" s="1220">
        <f ca="1">C33</f>
        <v>17547</v>
      </c>
      <c r="O38" s="1221">
        <f ca="1">C32</f>
        <v>110751</v>
      </c>
      <c r="P38" s="1908"/>
      <c r="V38" s="1908"/>
    </row>
    <row r="39" spans="1:26" ht="16.5" customHeight="1" thickBot="1">
      <c r="A39" s="1216"/>
      <c r="B39" s="305"/>
      <c r="C39" s="306"/>
      <c r="D39" s="306"/>
      <c r="E39" s="307"/>
      <c r="F39" s="308"/>
      <c r="G39" s="308"/>
      <c r="H39" s="308"/>
      <c r="I39" s="308"/>
      <c r="J39" s="1910"/>
      <c r="K39" s="3608" t="str">
        <f>MID(A44,3,LEN(A44)-2)</f>
        <v>抵押价格</v>
      </c>
      <c r="L39" s="3609"/>
      <c r="M39" s="3609"/>
      <c r="N39" s="3610"/>
      <c r="O39" s="1338">
        <f ca="1">C44</f>
        <v>110751</v>
      </c>
      <c r="P39" s="1908"/>
      <c r="V39" s="1908"/>
    </row>
    <row r="40" spans="1:26" ht="19.5" thickBot="1">
      <c r="A40" s="103" t="s">
        <v>863</v>
      </c>
      <c r="B40" s="308"/>
      <c r="C40" s="308"/>
      <c r="D40" s="308"/>
      <c r="E40" s="308"/>
      <c r="F40" s="308"/>
      <c r="G40" s="308"/>
      <c r="H40" s="308"/>
      <c r="I40" s="308"/>
      <c r="J40" s="1910"/>
      <c r="K40" s="3608" t="str">
        <f t="shared" ref="K40:K41" si="0">MID(A45,3,LEN(A45)-2)</f>
        <v/>
      </c>
      <c r="L40" s="3609"/>
      <c r="M40" s="3609"/>
      <c r="N40" s="3610"/>
      <c r="O40" s="1338" t="str">
        <f>C45</f>
        <v>——</v>
      </c>
      <c r="P40" s="1908"/>
      <c r="V40" s="1908"/>
    </row>
    <row r="41" spans="1:26" ht="16.5" thickBot="1">
      <c r="A41" s="309" t="s">
        <v>356</v>
      </c>
      <c r="B41" s="310"/>
      <c r="C41" s="311" t="s">
        <v>357</v>
      </c>
      <c r="D41" s="312" t="s">
        <v>358</v>
      </c>
      <c r="E41" s="312" t="s">
        <v>359</v>
      </c>
      <c r="F41" s="313" t="s">
        <v>360</v>
      </c>
      <c r="G41" s="308"/>
      <c r="H41" s="308"/>
      <c r="I41" s="308"/>
      <c r="J41" s="1910"/>
      <c r="K41" s="3608" t="str">
        <f t="shared" si="0"/>
        <v/>
      </c>
      <c r="L41" s="3609"/>
      <c r="M41" s="3609"/>
      <c r="N41" s="3610"/>
      <c r="O41" s="1338" t="str">
        <f>C46</f>
        <v>——</v>
      </c>
      <c r="P41" s="1908"/>
      <c r="V41" s="1908"/>
    </row>
    <row r="42" spans="1:26" ht="29.25">
      <c r="A42" s="3552" t="s">
        <v>2054</v>
      </c>
      <c r="B42" s="3553"/>
      <c r="C42" s="261">
        <f ca="1">C32</f>
        <v>110751</v>
      </c>
      <c r="D42" s="314">
        <f ca="1">C33</f>
        <v>17547</v>
      </c>
      <c r="E42" s="314">
        <f ca="1">C34</f>
        <v>47944</v>
      </c>
      <c r="F42" s="315">
        <f ca="1">C35</f>
        <v>3196</v>
      </c>
      <c r="G42" s="308"/>
      <c r="H42" s="308"/>
      <c r="I42" s="316"/>
      <c r="J42" s="1910"/>
      <c r="K42" s="1222" t="s">
        <v>361</v>
      </c>
      <c r="L42" s="1927" t="s">
        <v>362</v>
      </c>
      <c r="M42" s="1223" t="s">
        <v>363</v>
      </c>
      <c r="N42" s="1928" t="s">
        <v>364</v>
      </c>
      <c r="O42" s="1929" t="s">
        <v>365</v>
      </c>
      <c r="P42" s="1908"/>
      <c r="V42" s="1908"/>
    </row>
    <row r="43" spans="1:26" ht="30">
      <c r="A43" s="3563" t="s">
        <v>2707</v>
      </c>
      <c r="B43" s="3564"/>
      <c r="C43" s="261">
        <f>IF(H33="正常操作",G33+G34+G35,G34+G35)</f>
        <v>0</v>
      </c>
      <c r="D43" s="314" t="s">
        <v>43</v>
      </c>
      <c r="E43" s="314" t="s">
        <v>44</v>
      </c>
      <c r="F43" s="315" t="s">
        <v>44</v>
      </c>
      <c r="G43" s="2580" t="s">
        <v>942</v>
      </c>
      <c r="H43" s="308"/>
      <c r="I43" s="316"/>
      <c r="J43" s="1910"/>
      <c r="K43" s="1224" t="str">
        <f>C4</f>
        <v>比较法-住宅、综合</v>
      </c>
      <c r="L43" s="1225">
        <f ca="1">IF(L42="估价结果/万元",C19,C20)</f>
        <v>104467</v>
      </c>
      <c r="M43" s="1226">
        <f>C18</f>
        <v>0.5</v>
      </c>
      <c r="N43" s="1227">
        <f ca="1">IF(N42="测算结果/万元",G19,G20)</f>
        <v>110751</v>
      </c>
      <c r="O43" s="1228">
        <f ca="1">IF(O42="最终结果/万元",C32,C33)</f>
        <v>110751</v>
      </c>
      <c r="P43" s="1908"/>
      <c r="V43" s="1908"/>
    </row>
    <row r="44" spans="1:26" ht="30.75" thickBot="1">
      <c r="A44" s="3552" t="str">
        <f>IF(OR(项目基本情况!E8="抵押价格",项目基本情况!E8="已注销及未注销"),"3.抵押价格","——")</f>
        <v>3.抵押价格</v>
      </c>
      <c r="B44" s="3553"/>
      <c r="C44" s="261">
        <f ca="1">IF(A44="——","——",C42-C43)</f>
        <v>110751</v>
      </c>
      <c r="D44" s="314">
        <f ca="1">ROUND(C44*10000/'数据-汇总表'!E3,0)</f>
        <v>17547</v>
      </c>
      <c r="E44" s="314">
        <f ca="1">ROUND(C44*10000/'数据-汇总表'!D3,0)</f>
        <v>47944</v>
      </c>
      <c r="F44" s="315">
        <f ca="1">ROUND(C44/('数据-汇总表'!D3/666.67),0)</f>
        <v>3196</v>
      </c>
      <c r="G44" s="308"/>
      <c r="H44" s="308"/>
      <c r="I44" s="316"/>
      <c r="J44" s="1910"/>
      <c r="K44" s="1229" t="str">
        <f>D4</f>
        <v>剩余法-待开发</v>
      </c>
      <c r="L44" s="1230">
        <f ca="1">IF(L42="估价结果/万元",D19,D20)</f>
        <v>117035</v>
      </c>
      <c r="M44" s="1231">
        <f>D18</f>
        <v>0.5</v>
      </c>
      <c r="N44" s="1232"/>
      <c r="O44" s="1233"/>
      <c r="P44" s="1908"/>
      <c r="V44" s="1908"/>
    </row>
    <row r="45" spans="1:26" ht="15">
      <c r="A45" s="3558" t="str">
        <f>IF(项目基本情况!E8="已注销及未注销","4.抵押担保权已注销时的抵押价格",IF(项目基本情况!E8="已注销","3.抵押担保权已注销时的抵押价格","——"))</f>
        <v>——</v>
      </c>
      <c r="B45" s="3559"/>
      <c r="C45" s="171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554" t="str">
        <f>IF(项目基本情况!E9="抵押净值",IF(A45="——","4.抵押净值","5.抵押净值"),"——")</f>
        <v>——</v>
      </c>
      <c r="B46" s="3555"/>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4"/>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602" t="s">
        <v>374</v>
      </c>
      <c r="B63" s="3603"/>
      <c r="C63" s="3604"/>
      <c r="D63" s="338">
        <f ca="1">ROUND(C42*F63,0)</f>
        <v>110751</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560" t="s">
        <v>378</v>
      </c>
      <c r="B64" s="3561"/>
      <c r="C64" s="3561"/>
      <c r="D64" s="3561"/>
      <c r="E64" s="3561"/>
      <c r="F64" s="3561"/>
      <c r="G64" s="3562"/>
      <c r="H64" s="1239"/>
      <c r="I64" s="934"/>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2" t="s">
        <v>382</v>
      </c>
      <c r="F65" s="345" t="s">
        <v>383</v>
      </c>
      <c r="G65" s="346" t="s">
        <v>384</v>
      </c>
      <c r="H65" s="1239"/>
      <c r="I65" s="934"/>
      <c r="J65" s="1899"/>
      <c r="K65" s="1240"/>
      <c r="L65" s="1241"/>
      <c r="M65" s="1241"/>
      <c r="N65" s="1273" t="s">
        <v>379</v>
      </c>
      <c r="O65" s="1274"/>
      <c r="P65" s="1275"/>
      <c r="Q65" s="1908"/>
      <c r="R65" s="1908"/>
      <c r="S65" s="1908"/>
      <c r="T65" s="1908"/>
      <c r="U65" s="1908"/>
      <c r="V65" s="1908"/>
    </row>
    <row r="66" spans="1:22" ht="25.5">
      <c r="A66" s="3556" t="s">
        <v>386</v>
      </c>
      <c r="B66" s="3557"/>
      <c r="C66" s="3557"/>
      <c r="D66" s="258" t="b">
        <f>IF(H66="情况1",0,IF(H66="情况2",D70,IF(H66="情况3",D71,IF(H66="情况4",D72))))</f>
        <v>0</v>
      </c>
      <c r="E66" s="978" t="str">
        <f>IF(H66="情况4","(销售额-原购置价)×税（费）率","销售额×税（费）率")</f>
        <v>销售额×税（费）率</v>
      </c>
      <c r="F66" s="347">
        <f>IF(H66="情况1","免征",'数据-取费表'!B41)</f>
        <v>5.5000000000000007E-2</v>
      </c>
      <c r="G66" s="348" t="s">
        <v>387</v>
      </c>
      <c r="H66" s="188"/>
      <c r="I66" s="1239"/>
      <c r="J66" s="1914"/>
      <c r="K66" s="1242">
        <v>1</v>
      </c>
      <c r="L66" s="3617" t="s">
        <v>385</v>
      </c>
      <c r="M66" s="3618"/>
      <c r="N66" s="2309"/>
      <c r="O66" s="2310"/>
      <c r="P66" s="2311"/>
      <c r="Q66" s="1908"/>
      <c r="R66" s="1908"/>
      <c r="S66" s="1908"/>
      <c r="T66" s="1908"/>
      <c r="U66" s="1908"/>
      <c r="V66" s="1908"/>
    </row>
    <row r="67" spans="1:22" ht="25.5" customHeight="1">
      <c r="A67" s="349" t="s">
        <v>389</v>
      </c>
      <c r="B67" s="3547" t="s">
        <v>390</v>
      </c>
      <c r="C67" s="3547"/>
      <c r="D67" s="350">
        <v>0</v>
      </c>
      <c r="E67" s="40" t="s">
        <v>391</v>
      </c>
      <c r="F67" s="61" t="s">
        <v>21</v>
      </c>
      <c r="G67" s="3605"/>
      <c r="H67" s="3001" t="s">
        <v>2945</v>
      </c>
      <c r="I67" s="3003"/>
      <c r="J67" s="1915"/>
      <c r="K67" s="1887">
        <v>2</v>
      </c>
      <c r="L67" s="3611" t="s">
        <v>388</v>
      </c>
      <c r="M67" s="3611"/>
      <c r="N67" s="1276">
        <f>'数据-取费表'!B2</f>
        <v>44532</v>
      </c>
      <c r="O67" s="1276"/>
      <c r="P67" s="1276"/>
      <c r="Q67" s="1908"/>
      <c r="R67" s="1908"/>
      <c r="S67" s="1908"/>
      <c r="T67" s="1908"/>
      <c r="U67" s="1908"/>
      <c r="V67" s="1908"/>
    </row>
    <row r="68" spans="1:22" ht="25.5" customHeight="1">
      <c r="A68" s="351"/>
      <c r="B68" s="3547" t="s">
        <v>393</v>
      </c>
      <c r="C68" s="3547"/>
      <c r="D68" s="352"/>
      <c r="E68" s="76"/>
      <c r="F68" s="353"/>
      <c r="G68" s="3606"/>
      <c r="H68" s="3002" t="s">
        <v>2946</v>
      </c>
      <c r="I68" s="3003"/>
      <c r="J68" s="1915"/>
      <c r="K68" s="1887">
        <v>3</v>
      </c>
      <c r="L68" s="3611" t="s">
        <v>392</v>
      </c>
      <c r="M68" s="3611"/>
      <c r="N68" s="1244">
        <f ca="1">C42</f>
        <v>110751</v>
      </c>
      <c r="O68" s="1244"/>
      <c r="P68" s="1244"/>
      <c r="Q68" s="1908"/>
      <c r="R68" s="1908"/>
      <c r="S68" s="1908"/>
      <c r="T68" s="1908"/>
      <c r="U68" s="1908"/>
      <c r="V68" s="1908"/>
    </row>
    <row r="69" spans="1:22" ht="23.45" customHeight="1">
      <c r="A69" s="354"/>
      <c r="B69" s="3547" t="s">
        <v>394</v>
      </c>
      <c r="C69" s="3547"/>
      <c r="D69" s="355"/>
      <c r="E69" s="72"/>
      <c r="F69" s="353"/>
      <c r="G69" s="3607"/>
      <c r="H69" s="3002" t="s">
        <v>2947</v>
      </c>
      <c r="I69" s="3003"/>
      <c r="J69" s="1915"/>
      <c r="K69" s="1245">
        <v>4</v>
      </c>
      <c r="L69" s="3621" t="s">
        <v>2853</v>
      </c>
      <c r="M69" s="3622"/>
      <c r="N69" s="1246">
        <f ca="1">C44</f>
        <v>110751</v>
      </c>
      <c r="O69" s="1246"/>
      <c r="P69" s="1246"/>
      <c r="Q69" s="1908"/>
      <c r="R69" s="1908"/>
      <c r="S69" s="1908"/>
      <c r="T69" s="1908"/>
      <c r="U69" s="1908"/>
      <c r="V69" s="1908"/>
    </row>
    <row r="70" spans="1:22" ht="24" customHeight="1">
      <c r="A70" s="356" t="s">
        <v>395</v>
      </c>
      <c r="B70" s="3547" t="s">
        <v>396</v>
      </c>
      <c r="C70" s="3547"/>
      <c r="D70" s="355">
        <f ca="1">ROUND(D63*'数据-取费表'!B41/(1+'数据-取费表'!C42),0)</f>
        <v>5801</v>
      </c>
      <c r="E70" s="17" t="s">
        <v>397</v>
      </c>
      <c r="F70" s="357">
        <f>'数据-取费表'!B41</f>
        <v>5.5000000000000007E-2</v>
      </c>
      <c r="G70" s="358"/>
      <c r="H70" s="308"/>
      <c r="I70" s="1243"/>
      <c r="J70" s="1915"/>
      <c r="K70" s="2760"/>
      <c r="L70" s="2761"/>
      <c r="M70" s="2761"/>
      <c r="N70" s="2762" t="s">
        <v>2857</v>
      </c>
      <c r="O70" s="2761"/>
      <c r="P70" s="2763"/>
      <c r="Q70" s="1908"/>
      <c r="R70" s="1908"/>
      <c r="S70" s="1908"/>
      <c r="T70" s="1908"/>
      <c r="U70" s="1908"/>
      <c r="V70" s="1908"/>
    </row>
    <row r="71" spans="1:22" ht="12" customHeight="1">
      <c r="A71" s="356" t="s">
        <v>403</v>
      </c>
      <c r="B71" s="3548" t="s">
        <v>2975</v>
      </c>
      <c r="C71" s="3549"/>
      <c r="D71" s="355">
        <f ca="1">ROUND(D63*'数据-取费表'!B41/(1+'数据-取费表'!C42),0)</f>
        <v>5801</v>
      </c>
      <c r="E71" s="17" t="s">
        <v>397</v>
      </c>
      <c r="F71" s="357">
        <f>'数据-取费表'!B41</f>
        <v>5.5000000000000007E-2</v>
      </c>
      <c r="G71" s="358"/>
      <c r="H71" s="308"/>
      <c r="I71" s="1243"/>
      <c r="J71" s="1915"/>
      <c r="K71" s="2759" t="s">
        <v>398</v>
      </c>
      <c r="L71" s="3623" t="s">
        <v>399</v>
      </c>
      <c r="M71" s="3623"/>
      <c r="N71" s="2759" t="s">
        <v>400</v>
      </c>
      <c r="O71" s="2759" t="s">
        <v>401</v>
      </c>
      <c r="P71" s="2759" t="s">
        <v>402</v>
      </c>
      <c r="Q71" s="1908"/>
      <c r="R71" s="1908"/>
      <c r="S71" s="1908"/>
      <c r="T71" s="1908"/>
      <c r="U71" s="1908"/>
      <c r="V71" s="1908"/>
    </row>
    <row r="72" spans="1:22" ht="12" customHeight="1">
      <c r="A72" s="356" t="s">
        <v>405</v>
      </c>
      <c r="B72" s="3548" t="s">
        <v>2976</v>
      </c>
      <c r="C72" s="3549"/>
      <c r="D72" s="355">
        <f ca="1">C86</f>
        <v>5801</v>
      </c>
      <c r="E72" s="72" t="s">
        <v>406</v>
      </c>
      <c r="F72" s="357">
        <f>'数据-取费表'!B41</f>
        <v>5.5000000000000007E-2</v>
      </c>
      <c r="G72" s="358"/>
      <c r="H72" s="1249"/>
      <c r="I72" s="1243"/>
      <c r="J72" s="1915"/>
      <c r="K72" s="1887">
        <v>1</v>
      </c>
      <c r="L72" s="3598" t="s">
        <v>404</v>
      </c>
      <c r="M72" s="3598"/>
      <c r="N72" s="1247" t="b">
        <f>D66</f>
        <v>0</v>
      </c>
      <c r="O72" s="1770" t="str">
        <f>E66</f>
        <v>销售额×税（费）率</v>
      </c>
      <c r="P72" s="1248">
        <f>F66</f>
        <v>5.5000000000000007E-2</v>
      </c>
      <c r="Q72" s="1908"/>
      <c r="R72" s="1908"/>
      <c r="S72" s="1908"/>
      <c r="T72" s="1908"/>
      <c r="U72" s="1908"/>
      <c r="V72" s="1908"/>
    </row>
    <row r="73" spans="1:22" ht="24" customHeight="1">
      <c r="A73" s="3593" t="s">
        <v>408</v>
      </c>
      <c r="B73" s="3557"/>
      <c r="C73" s="3557"/>
      <c r="D73" s="359">
        <f ca="1">IF(H73="个人住宅",0,ROUND(D63*I73,0))</f>
        <v>55</v>
      </c>
      <c r="E73" s="17" t="s">
        <v>409</v>
      </c>
      <c r="F73" s="357" t="str">
        <f>IF(H73="正常",I73,"免征")</f>
        <v>免征</v>
      </c>
      <c r="G73" s="358"/>
      <c r="H73" s="188"/>
      <c r="I73" s="357">
        <f>'数据-取费表'!B49</f>
        <v>5.0000000000000001E-4</v>
      </c>
      <c r="J73" s="1915"/>
      <c r="K73" s="1887">
        <v>2</v>
      </c>
      <c r="L73" s="3598" t="s">
        <v>407</v>
      </c>
      <c r="M73" s="3598"/>
      <c r="N73" s="1247">
        <f t="shared" ref="N73:P74" ca="1" si="1">D73</f>
        <v>55</v>
      </c>
      <c r="O73" s="1770" t="str">
        <f t="shared" si="1"/>
        <v>销售额×税（费）率</v>
      </c>
      <c r="P73" s="1248" t="str">
        <f t="shared" si="1"/>
        <v>免征</v>
      </c>
      <c r="Q73" s="1908"/>
      <c r="R73" s="1908"/>
      <c r="S73" s="1908"/>
      <c r="T73" s="1908"/>
      <c r="U73" s="1908"/>
      <c r="V73" s="1908"/>
    </row>
    <row r="74" spans="1:22" ht="24.75">
      <c r="A74" s="3593" t="s">
        <v>411</v>
      </c>
      <c r="B74" s="3557"/>
      <c r="C74" s="3557"/>
      <c r="D74" s="359">
        <f ca="1">IF(H74="个人住宅",D75,D76)</f>
        <v>62786</v>
      </c>
      <c r="E74" s="17" t="s">
        <v>412</v>
      </c>
      <c r="F74" s="357" t="str">
        <f>IF(H74="正常",F76,"免征")</f>
        <v>免征</v>
      </c>
      <c r="G74" s="968" t="s">
        <v>413</v>
      </c>
      <c r="H74" s="360"/>
      <c r="I74" s="41"/>
      <c r="J74" s="1915"/>
      <c r="K74" s="1887">
        <v>3</v>
      </c>
      <c r="L74" s="3598" t="s">
        <v>410</v>
      </c>
      <c r="M74" s="3598"/>
      <c r="N74" s="1247">
        <f t="shared" ca="1" si="1"/>
        <v>62786</v>
      </c>
      <c r="O74" s="1770" t="str">
        <f t="shared" si="1"/>
        <v>增值额×税（费）率</v>
      </c>
      <c r="P74" s="1250" t="str">
        <f t="shared" si="1"/>
        <v>免征</v>
      </c>
      <c r="Q74" s="1908"/>
      <c r="R74" s="1908"/>
      <c r="S74" s="1908"/>
      <c r="T74" s="1908"/>
      <c r="U74" s="1908"/>
      <c r="V74" s="1908"/>
    </row>
    <row r="75" spans="1:22" ht="12.75">
      <c r="A75" s="356" t="s">
        <v>414</v>
      </c>
      <c r="B75" s="3545" t="s">
        <v>415</v>
      </c>
      <c r="C75" s="3581"/>
      <c r="D75" s="361">
        <v>0</v>
      </c>
      <c r="E75" s="40" t="s">
        <v>416</v>
      </c>
      <c r="F75" s="362"/>
      <c r="G75" s="358"/>
      <c r="H75" s="41"/>
      <c r="I75" s="41"/>
      <c r="J75" s="1915"/>
      <c r="K75" s="2753">
        <f>IF(H77="非个人房产","",4)</f>
        <v>4</v>
      </c>
      <c r="L75" s="3598" t="str">
        <f>IF(H77="非个人房产","——","个人所得税")</f>
        <v>个人所得税</v>
      </c>
      <c r="M75" s="3598"/>
      <c r="N75" s="1251">
        <f>D77</f>
        <v>0</v>
      </c>
      <c r="O75" s="1783" t="str">
        <f>E77</f>
        <v>差额计税</v>
      </c>
      <c r="P75" s="1252">
        <f>F77</f>
        <v>0.01</v>
      </c>
      <c r="Q75" s="1908"/>
      <c r="R75" s="1908"/>
      <c r="S75" s="1908"/>
      <c r="T75" s="1908"/>
      <c r="U75" s="1908"/>
      <c r="V75" s="1908"/>
    </row>
    <row r="76" spans="1:22" ht="24.75">
      <c r="A76" s="356" t="s">
        <v>395</v>
      </c>
      <c r="B76" s="3545" t="s">
        <v>418</v>
      </c>
      <c r="C76" s="3546"/>
      <c r="D76" s="359">
        <f ca="1">IF(H76="转让取得",C99,C115)</f>
        <v>62786</v>
      </c>
      <c r="E76" s="17" t="s">
        <v>419</v>
      </c>
      <c r="F76" s="52" t="s">
        <v>21</v>
      </c>
      <c r="G76" s="358"/>
      <c r="H76" s="360"/>
      <c r="I76" s="41"/>
      <c r="J76" s="1915"/>
      <c r="K76" s="2753" t="str">
        <f>IF(项目基本情况!K6="上海银行",IF(K75="",4,K75+1),"")</f>
        <v/>
      </c>
      <c r="L76" s="3613" t="str">
        <f>IF(项目基本情况!K6="上海银行","其他处置费用","")</f>
        <v/>
      </c>
      <c r="M76" s="3614"/>
      <c r="N76" s="1247" t="str">
        <f>IF(项目基本情况!K6="上海银行",N89,"")</f>
        <v/>
      </c>
      <c r="O76" s="3615" t="str">
        <f>IF(项目基本情况!K6="上海银行","包含处置中涉及的律师、诉讼、拍卖、评估等费用","")</f>
        <v/>
      </c>
      <c r="P76" s="3616"/>
      <c r="Q76" s="1908"/>
      <c r="R76" s="1908"/>
      <c r="S76" s="1908"/>
      <c r="T76" s="1908"/>
      <c r="U76" s="1908"/>
      <c r="V76" s="1908"/>
    </row>
    <row r="77" spans="1:22" ht="24.75" thickBot="1">
      <c r="A77" s="3600" t="s">
        <v>421</v>
      </c>
      <c r="B77" s="3601"/>
      <c r="C77" s="3601"/>
      <c r="D77" s="3006">
        <f>IF(H77="非个人房产","——",IF(H77="个人住宅（满五唯一有凭证）",0,IF(H77="个人其他（无凭证）",ROUND(D63*F77,0),ROUND(C84*F77,0))))</f>
        <v>0</v>
      </c>
      <c r="E77" s="3007" t="str">
        <f>IF(H77="非个人房产","——",IF(H77="个人其他（无凭证）","销售额×税（费）率",IF(H77="个人住宅（满五唯一有凭证）","免征","差额计税")))</f>
        <v>差额计税</v>
      </c>
      <c r="F77" s="3008">
        <f>IF(OR(H77="非个人房产",H77="个人住宅（满五唯一有凭证）"),"——",IF(H77="个人其他（有凭证）",20%,1%))</f>
        <v>0.01</v>
      </c>
      <c r="G77" s="969" t="s">
        <v>413</v>
      </c>
      <c r="H77" s="3005"/>
      <c r="I77" s="3004" t="s">
        <v>2948</v>
      </c>
      <c r="J77" s="1915"/>
      <c r="K77" s="3599">
        <f>IF(AND(K75="",K76=""),4,IF(项目基本情况!K6="上海银行",K76+1,K75+1))</f>
        <v>5</v>
      </c>
      <c r="L77" s="3598" t="s">
        <v>2854</v>
      </c>
      <c r="M77" s="2758" t="s">
        <v>417</v>
      </c>
      <c r="N77" s="1253"/>
      <c r="O77" s="1254">
        <f ca="1">SUMIF(N72:N76,"&lt;9e307")</f>
        <v>62841</v>
      </c>
      <c r="P77" s="1255"/>
      <c r="Q77" s="2756">
        <f ca="1">O77/N69</f>
        <v>0.56740796922826886</v>
      </c>
      <c r="R77" s="1908"/>
      <c r="S77" s="1908"/>
      <c r="T77" s="1908"/>
      <c r="U77" s="1908"/>
      <c r="V77" s="1908"/>
    </row>
    <row r="78" spans="1:22" ht="12" customHeight="1">
      <c r="A78" s="1256"/>
      <c r="B78" s="308"/>
      <c r="C78" s="308"/>
      <c r="D78" s="308"/>
      <c r="E78" s="41"/>
      <c r="F78" s="41"/>
      <c r="G78" s="41"/>
      <c r="H78" s="988"/>
      <c r="I78" s="308"/>
      <c r="J78" s="1915"/>
      <c r="K78" s="3599"/>
      <c r="L78" s="3598"/>
      <c r="M78" s="2758" t="s">
        <v>420</v>
      </c>
      <c r="N78" s="1253"/>
      <c r="O78" s="1254" t="str">
        <f ca="1">NUMBERSTRING(INT(O77*10000),2)&amp;"元整"</f>
        <v>陆亿贰仟捌佰肆拾壹万元整</v>
      </c>
      <c r="P78" s="1255"/>
      <c r="Q78" s="1908"/>
      <c r="R78" s="1908"/>
      <c r="S78" s="1908"/>
      <c r="T78" s="1908"/>
      <c r="U78" s="1908"/>
      <c r="V78" s="1908"/>
    </row>
    <row r="79" spans="1:22" ht="13.5" thickBot="1">
      <c r="A79" s="3565" t="s">
        <v>422</v>
      </c>
      <c r="B79" s="3565"/>
      <c r="C79" s="3565"/>
      <c r="D79" s="3565"/>
      <c r="E79" s="3565"/>
      <c r="F79" s="41"/>
      <c r="G79" s="41"/>
      <c r="H79" s="988"/>
      <c r="I79" s="308"/>
      <c r="J79" s="1915"/>
      <c r="K79" s="3619">
        <f>K77+1</f>
        <v>6</v>
      </c>
      <c r="L79" s="3598" t="s">
        <v>2855</v>
      </c>
      <c r="M79" s="2758" t="s">
        <v>417</v>
      </c>
      <c r="N79" s="1253"/>
      <c r="O79" s="1254">
        <f ca="1">N69-O77</f>
        <v>47910</v>
      </c>
      <c r="P79" s="1255"/>
      <c r="Q79" s="1908"/>
      <c r="R79" s="1908"/>
      <c r="S79" s="1908"/>
      <c r="T79" s="1908"/>
      <c r="U79" s="1908"/>
      <c r="V79" s="1908"/>
    </row>
    <row r="80" spans="1:22" ht="25.5">
      <c r="A80" s="3566" t="s">
        <v>423</v>
      </c>
      <c r="B80" s="3567"/>
      <c r="C80" s="979"/>
      <c r="D80" s="979" t="s">
        <v>424</v>
      </c>
      <c r="E80" s="363" t="s">
        <v>425</v>
      </c>
      <c r="F80" s="41"/>
      <c r="G80" s="41"/>
      <c r="H80" s="988"/>
      <c r="I80" s="308"/>
      <c r="J80" s="1908"/>
      <c r="K80" s="3620"/>
      <c r="L80" s="3598"/>
      <c r="M80" s="2758" t="s">
        <v>420</v>
      </c>
      <c r="N80" s="1253"/>
      <c r="O80" s="1254" t="str">
        <f ca="1">NUMBERSTRING(INT(O79*10000),2)&amp;"元整"</f>
        <v>肆亿柒仟玖佰壹拾万元整</v>
      </c>
      <c r="P80" s="1255"/>
      <c r="Q80" s="1908"/>
      <c r="R80" s="1908"/>
      <c r="S80" s="1908"/>
      <c r="T80" s="1908"/>
      <c r="U80" s="1908"/>
      <c r="V80" s="1908"/>
    </row>
    <row r="81" spans="1:26" ht="13.5" thickBot="1">
      <c r="A81" s="374" t="s">
        <v>1813</v>
      </c>
      <c r="B81" s="364" t="s">
        <v>426</v>
      </c>
      <c r="C81" s="365">
        <f ca="1">ROUND((C82+C83)/(1+'数据-取费表'!C42),0)</f>
        <v>105477</v>
      </c>
      <c r="D81" s="366"/>
      <c r="E81" s="367"/>
      <c r="F81" s="41"/>
      <c r="G81" s="41"/>
      <c r="H81" s="988"/>
      <c r="I81" s="308"/>
      <c r="J81" s="1908"/>
      <c r="K81" s="2753">
        <f>K79+1</f>
        <v>7</v>
      </c>
      <c r="L81" s="3596" t="s">
        <v>2856</v>
      </c>
      <c r="M81" s="3597"/>
      <c r="N81" s="1257"/>
      <c r="O81" s="1258">
        <f ca="1">ROUND(O79*10000/'数据-汇总表'!E3,0)</f>
        <v>7591</v>
      </c>
      <c r="P81" s="1259"/>
      <c r="Q81" s="1908"/>
      <c r="R81" s="1908"/>
      <c r="S81" s="1908"/>
      <c r="T81" s="1908"/>
      <c r="U81" s="1908"/>
      <c r="V81" s="1908"/>
    </row>
    <row r="82" spans="1:26" ht="13.5" thickTop="1">
      <c r="A82" s="368" t="s">
        <v>1814</v>
      </c>
      <c r="B82" s="369" t="s">
        <v>427</v>
      </c>
      <c r="C82" s="370">
        <f ca="1">D63</f>
        <v>110751</v>
      </c>
      <c r="D82" s="371" t="s">
        <v>19</v>
      </c>
      <c r="E82" s="372"/>
      <c r="F82" s="41"/>
      <c r="G82" s="41"/>
      <c r="H82" s="988"/>
      <c r="I82" s="308"/>
      <c r="J82" s="1908"/>
      <c r="K82" s="1908"/>
      <c r="L82" s="1908"/>
      <c r="M82" s="1908"/>
      <c r="N82" s="1908"/>
      <c r="O82" s="1908"/>
      <c r="P82" s="1908"/>
      <c r="Q82" s="1908"/>
      <c r="R82" s="1908"/>
      <c r="S82" s="1908"/>
      <c r="T82" s="1908"/>
      <c r="U82" s="1908"/>
      <c r="V82" s="1908"/>
    </row>
    <row r="83" spans="1:26" ht="12.75">
      <c r="A83" s="368" t="s">
        <v>1815</v>
      </c>
      <c r="B83" s="369" t="s">
        <v>428</v>
      </c>
      <c r="C83" s="373"/>
      <c r="D83" s="371"/>
      <c r="E83" s="372"/>
      <c r="F83" s="41"/>
      <c r="G83" s="41"/>
      <c r="H83" s="988"/>
      <c r="I83" s="308"/>
      <c r="J83" s="1908"/>
      <c r="K83" s="3612" t="s">
        <v>2844</v>
      </c>
      <c r="L83" s="2764" t="s">
        <v>2845</v>
      </c>
      <c r="M83" s="2754">
        <f ca="1">IF(N69&gt;10000,N69*0.5%,IF(AND(N69&gt;1000,N69&lt;=10000),N69*1%,IF(AND(N69&gt;100,N69&lt;=1000),N69*3%,IF(AND(N69&gt;10,N69&lt;=100),N69*5%,N69*8%))))</f>
        <v>553.755</v>
      </c>
      <c r="N83" s="52">
        <f ca="1">ROUND(M83,1)</f>
        <v>553.79999999999995</v>
      </c>
      <c r="O83" s="2757"/>
      <c r="P83" s="1908"/>
      <c r="Q83" s="1908"/>
      <c r="R83" s="1908"/>
      <c r="S83" s="1908"/>
      <c r="T83" s="1908"/>
      <c r="U83" s="1908"/>
      <c r="V83" s="1908"/>
    </row>
    <row r="84" spans="1:26" ht="12.75">
      <c r="A84" s="374" t="s">
        <v>1816</v>
      </c>
      <c r="B84" s="375" t="s">
        <v>429</v>
      </c>
      <c r="C84" s="376"/>
      <c r="D84" s="377" t="s">
        <v>19</v>
      </c>
      <c r="E84" s="2782" t="s">
        <v>2886</v>
      </c>
      <c r="F84" s="41"/>
      <c r="G84" s="41"/>
      <c r="H84" s="988"/>
      <c r="I84" s="308"/>
      <c r="J84" s="1908"/>
      <c r="K84" s="3612"/>
      <c r="L84" s="2764" t="s">
        <v>2846</v>
      </c>
      <c r="M84" s="2754">
        <f ca="1">IF(N69&gt;2000,N69*0.5%,IF(AND(N69&gt;1000,N69&lt;=2000),N69*0.6%,IF(AND(N69&gt;500,N69&lt;=1000),N69*0.7%,IF(AND(N69&gt;200,N69&lt;=500),N69*0.8%,IF(AND(N69&gt;100,N69&lt;=200),N69*0.9%,IF(AND(N69&gt;50,N69&lt;=100),N69*1%,IF(AND(N69&gt;20,N69&lt;=50),N69*1.5%,IF(AND(N69&gt;10,N69&lt;=20),N69*2%,IF(AND(N69&gt;1,N69&lt;=10),N69*2.5%)))))))))</f>
        <v>553.755</v>
      </c>
      <c r="N84" s="52">
        <f t="shared" ref="N84:N85" ca="1" si="2">ROUND(M84,1)</f>
        <v>553.79999999999995</v>
      </c>
      <c r="O84" s="1908" t="s">
        <v>2847</v>
      </c>
      <c r="P84" s="1908"/>
      <c r="Q84" s="1908"/>
      <c r="R84" s="1908"/>
      <c r="S84" s="1908"/>
      <c r="T84" s="1908"/>
      <c r="U84" s="1908"/>
      <c r="V84" s="1908"/>
    </row>
    <row r="85" spans="1:26" ht="12.75">
      <c r="A85" s="374" t="s">
        <v>1817</v>
      </c>
      <c r="B85" s="375" t="s">
        <v>430</v>
      </c>
      <c r="C85" s="378">
        <f ca="1">C81-C84</f>
        <v>105477</v>
      </c>
      <c r="D85" s="371" t="s">
        <v>19</v>
      </c>
      <c r="E85" s="372"/>
      <c r="F85" s="41"/>
      <c r="G85" s="41"/>
      <c r="H85" s="988"/>
      <c r="I85" s="308"/>
      <c r="J85" s="1908"/>
      <c r="K85" s="3612"/>
      <c r="L85" s="2764" t="s">
        <v>2848</v>
      </c>
      <c r="M85" s="2754">
        <f ca="1">IF(N69&gt;1000,N69*0.1%,IF(AND(N69&gt;500,N69&lt;=1000),N69*0.5%,IF(AND(N69&gt;50,N69&lt;=500),N69*1%,IF(AND(N69&gt;1,N69&lt;=50),N69*1.5%))))</f>
        <v>110.751</v>
      </c>
      <c r="N85" s="52">
        <f t="shared" ca="1" si="2"/>
        <v>110.8</v>
      </c>
      <c r="O85" s="1908" t="s">
        <v>2847</v>
      </c>
      <c r="P85" s="1908"/>
      <c r="Q85" s="1908"/>
      <c r="R85" s="1908"/>
      <c r="S85" s="1908"/>
      <c r="T85" s="1908"/>
      <c r="U85" s="1908"/>
      <c r="V85" s="1908"/>
    </row>
    <row r="86" spans="1:26" ht="13.5" thickBot="1">
      <c r="A86" s="379" t="s">
        <v>1818</v>
      </c>
      <c r="B86" s="380" t="s">
        <v>431</v>
      </c>
      <c r="C86" s="381">
        <f ca="1">IF(C85&lt;=0,0,ROUND(C85*D86,0))</f>
        <v>5801</v>
      </c>
      <c r="D86" s="382">
        <f>'数据-取费表'!B41</f>
        <v>5.5000000000000007E-2</v>
      </c>
      <c r="E86" s="383"/>
      <c r="F86" s="41"/>
      <c r="G86" s="41"/>
      <c r="H86" s="988"/>
      <c r="I86" s="308"/>
      <c r="J86" s="1908"/>
      <c r="K86" s="3612"/>
      <c r="L86" s="2764" t="s">
        <v>2849</v>
      </c>
      <c r="M86" s="2754">
        <f ca="1">N69*0.5%</f>
        <v>553.755</v>
      </c>
      <c r="N86" s="52">
        <f ca="1">IF(M86&gt;0.5,0.5,ROUND(M86,0))</f>
        <v>0.5</v>
      </c>
      <c r="O86" s="1908" t="s">
        <v>2850</v>
      </c>
      <c r="P86" s="1908"/>
      <c r="Q86" s="1908"/>
      <c r="R86" s="1908"/>
      <c r="S86" s="1908"/>
      <c r="T86" s="1908"/>
      <c r="U86" s="1908"/>
      <c r="V86" s="1908"/>
    </row>
    <row r="87" spans="1:26" s="1205" customFormat="1" ht="14.25" customHeight="1">
      <c r="A87" s="1260"/>
      <c r="B87" s="1261"/>
      <c r="C87" s="1262"/>
      <c r="D87" s="1263"/>
      <c r="E87" s="1264"/>
      <c r="F87" s="41"/>
      <c r="G87" s="41"/>
      <c r="H87" s="988"/>
      <c r="I87" s="308"/>
      <c r="J87" s="1908"/>
      <c r="K87" s="3612"/>
      <c r="L87" s="2764" t="s">
        <v>2851</v>
      </c>
      <c r="M87" s="2754">
        <f ca="1">IF(N69&gt;=10000,(8.25+(N69-10000)*0.01%),IF(AND(N69&gt;=8000,N69&lt;10000),(7.85+(N69-8000)*0.02%),IF(AND(N69&gt;=5000,N69&lt;8000),(6.65+(N69-5000)*0.04%),IF(AND(N69&gt;=2000,N69&lt;5000),(4.25+(PN69-2000)*0.08%),IF(AND(N69&gt;=1000,N69&lt;2000),(2.75+(N69-1000)*0.15%),IF(AND(N69&gt;=100,N69&lt;1000),(0.5+(N69-100)*0.25%),IF(AND(N69&gt;0,N69&lt;100),N69*0.5%)))))))</f>
        <v>18.325099999999999</v>
      </c>
      <c r="N87" s="52">
        <f ca="1">ROUND(M87*0.9,1)</f>
        <v>16.5</v>
      </c>
      <c r="O87" s="2757"/>
      <c r="P87" s="1908"/>
      <c r="Q87" s="1908"/>
      <c r="R87" s="1908"/>
      <c r="S87" s="1908"/>
      <c r="T87" s="1908"/>
      <c r="U87" s="1908"/>
      <c r="V87" s="1908"/>
      <c r="W87" s="289"/>
      <c r="X87" s="289"/>
      <c r="Y87" s="289"/>
      <c r="Z87" s="289"/>
    </row>
    <row r="88" spans="1:26" s="1265" customFormat="1" ht="15" thickBot="1">
      <c r="A88" s="3591" t="s">
        <v>432</v>
      </c>
      <c r="B88" s="3592"/>
      <c r="C88" s="3592"/>
      <c r="D88" s="3592"/>
      <c r="E88" s="3592"/>
      <c r="F88" s="3592"/>
      <c r="G88" s="3592"/>
      <c r="H88" s="3592"/>
      <c r="I88" s="1266"/>
      <c r="J88" s="1916"/>
      <c r="K88" s="3612"/>
      <c r="L88" s="2764" t="s">
        <v>2852</v>
      </c>
      <c r="M88" s="2754">
        <f ca="1">IF(N69&gt;10000,N69*0.5%,IF(AND(N69&gt;5000,N69&lt;=10000),N69*1%,IF(AND(N69&gt;1000,N69&lt;=5000),N69*2%,IF(AND(N69&gt;200,N69&lt;=1000),N69*3%,N69*5%))))</f>
        <v>553.755</v>
      </c>
      <c r="N88" s="52">
        <f ca="1">ROUND(M88,1)</f>
        <v>553.79999999999995</v>
      </c>
      <c r="O88" s="2757"/>
      <c r="P88" s="1913"/>
      <c r="Q88" s="1913"/>
      <c r="R88" s="1913"/>
      <c r="S88" s="1913"/>
      <c r="T88" s="1913"/>
      <c r="U88" s="1913"/>
      <c r="V88" s="1913"/>
      <c r="W88" s="1917"/>
      <c r="X88" s="1917"/>
      <c r="Y88" s="1917"/>
      <c r="Z88" s="1917"/>
    </row>
    <row r="89" spans="1:26" s="1265" customFormat="1" ht="14.25">
      <c r="A89" s="3566" t="s">
        <v>423</v>
      </c>
      <c r="B89" s="3567"/>
      <c r="C89" s="979"/>
      <c r="D89" s="979" t="s">
        <v>424</v>
      </c>
      <c r="E89" s="384" t="s">
        <v>433</v>
      </c>
      <c r="F89" s="385"/>
      <c r="G89" s="385"/>
      <c r="H89" s="386"/>
      <c r="I89" s="1267"/>
      <c r="J89" s="1918"/>
      <c r="K89" s="3612"/>
      <c r="L89" s="2764" t="s">
        <v>27</v>
      </c>
      <c r="M89" s="2755"/>
      <c r="N89" s="52">
        <f ca="1">ROUND(SUM(N83:N88),0)</f>
        <v>1789</v>
      </c>
      <c r="O89" s="2765">
        <f ca="1">N89/N69</f>
        <v>1.6153353017128513E-2</v>
      </c>
      <c r="P89" s="1913"/>
      <c r="Q89" s="1913"/>
      <c r="R89" s="1913"/>
      <c r="S89" s="1913"/>
      <c r="T89" s="1913"/>
      <c r="U89" s="1913"/>
      <c r="V89" s="1913"/>
      <c r="W89" s="1917"/>
      <c r="X89" s="1917"/>
      <c r="Y89" s="1917"/>
      <c r="Z89" s="1917"/>
    </row>
    <row r="90" spans="1:26" s="1265" customFormat="1" ht="14.25">
      <c r="A90" s="374" t="s">
        <v>1813</v>
      </c>
      <c r="B90" s="375" t="s">
        <v>434</v>
      </c>
      <c r="C90" s="378">
        <f ca="1">ROUND(D63/(1+'数据-取费表'!C42),0)</f>
        <v>105477</v>
      </c>
      <c r="D90" s="371" t="s">
        <v>19</v>
      </c>
      <c r="E90" s="976"/>
      <c r="F90" s="975"/>
      <c r="G90" s="975"/>
      <c r="H90" s="387"/>
      <c r="I90" s="1267"/>
      <c r="J90" s="1918"/>
      <c r="K90" s="1913"/>
      <c r="L90" s="1913"/>
      <c r="M90" s="1913"/>
      <c r="N90" s="1913"/>
      <c r="O90" s="1913"/>
      <c r="P90" s="1913"/>
      <c r="Q90" s="1913"/>
      <c r="R90" s="1913"/>
      <c r="S90" s="1913"/>
      <c r="T90" s="1913"/>
      <c r="U90" s="1913"/>
      <c r="V90" s="1913"/>
      <c r="W90" s="1917"/>
      <c r="X90" s="1917"/>
      <c r="Y90" s="1917"/>
      <c r="Z90" s="1917"/>
    </row>
    <row r="91" spans="1:26" s="1265" customFormat="1" ht="14.25">
      <c r="A91" s="374" t="s">
        <v>1819</v>
      </c>
      <c r="B91" s="345" t="s">
        <v>435</v>
      </c>
      <c r="C91" s="378">
        <f ca="1">C92+C96</f>
        <v>527</v>
      </c>
      <c r="D91" s="371" t="s">
        <v>19</v>
      </c>
      <c r="E91" s="976"/>
      <c r="F91" s="975"/>
      <c r="G91" s="975"/>
      <c r="H91" s="387"/>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c r="A92" s="388" t="s">
        <v>1820</v>
      </c>
      <c r="B92" s="369" t="s">
        <v>436</v>
      </c>
      <c r="C92" s="371">
        <f>ROUND(IF(G95="2016年5月1日后购买",C93/(1+'数据-取费表'!C30)+C94+C95,C93+C94+C95),0)</f>
        <v>0</v>
      </c>
      <c r="D92" s="371" t="s">
        <v>19</v>
      </c>
      <c r="E92" s="976"/>
      <c r="F92" s="975"/>
      <c r="G92" s="975"/>
      <c r="H92" s="387"/>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25">
      <c r="A93" s="388" t="s">
        <v>1821</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customHeight="1">
      <c r="A94" s="388" t="s">
        <v>1822</v>
      </c>
      <c r="B94" s="393" t="s">
        <v>440</v>
      </c>
      <c r="C94" s="371">
        <f>IF(F93="购房发票",ROUND(C93*H93*5%,0),0)</f>
        <v>0</v>
      </c>
      <c r="D94" s="394">
        <v>0.05</v>
      </c>
      <c r="E94" s="3548" t="s">
        <v>441</v>
      </c>
      <c r="F94" s="3547"/>
      <c r="G94" s="3547"/>
      <c r="H94" s="3590"/>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customHeight="1">
      <c r="A95" s="388" t="s">
        <v>1823</v>
      </c>
      <c r="B95" s="369" t="s">
        <v>442</v>
      </c>
      <c r="C95" s="371">
        <f>ROUND(IF(G95="个人买卖住房",0,IF(G95="2016年5月1日前购买",C93*D95,C93*D95/(1+'数据-取费表'!C42))),0)</f>
        <v>0</v>
      </c>
      <c r="D95" s="395">
        <f>'数据-取费表'!B48+'数据-取费表'!B49</f>
        <v>3.0499999999999999E-2</v>
      </c>
      <c r="E95" s="25" t="s">
        <v>443</v>
      </c>
      <c r="F95" s="396"/>
      <c r="G95" s="397"/>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customHeight="1">
      <c r="A96" s="388" t="s">
        <v>1824</v>
      </c>
      <c r="B96" s="369" t="s">
        <v>444</v>
      </c>
      <c r="C96" s="398">
        <f ca="1">ROUND(D63*D96/(1+'数据-取费表'!C42),0)</f>
        <v>527</v>
      </c>
      <c r="D96" s="399">
        <f>'数据-取费表'!B43</f>
        <v>5.000000000000001E-3</v>
      </c>
      <c r="E96" s="3582" t="s">
        <v>2411</v>
      </c>
      <c r="F96" s="3583"/>
      <c r="G96" s="3583"/>
      <c r="H96" s="3584"/>
      <c r="I96" s="1268"/>
      <c r="J96" s="1919"/>
      <c r="K96" s="1913"/>
      <c r="L96" s="1913"/>
      <c r="M96" s="1913"/>
      <c r="N96" s="1913"/>
      <c r="O96" s="1913"/>
      <c r="P96" s="1913"/>
      <c r="Q96" s="1913"/>
      <c r="R96" s="1913"/>
      <c r="S96" s="1913"/>
      <c r="T96" s="1913"/>
      <c r="U96" s="1913"/>
      <c r="V96" s="1913"/>
      <c r="W96" s="1917"/>
      <c r="X96" s="1917"/>
      <c r="Y96" s="1917"/>
      <c r="Z96" s="1917"/>
    </row>
    <row r="97" spans="1:26" s="1265" customFormat="1" ht="14.25">
      <c r="A97" s="1543" t="s">
        <v>1825</v>
      </c>
      <c r="B97" s="375" t="s">
        <v>445</v>
      </c>
      <c r="C97" s="378">
        <f ca="1">C90-C91</f>
        <v>104950</v>
      </c>
      <c r="D97" s="371" t="s">
        <v>19</v>
      </c>
      <c r="E97" s="976"/>
      <c r="F97" s="975"/>
      <c r="G97" s="975"/>
      <c r="H97" s="387"/>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c r="A98" s="1543" t="s">
        <v>1826</v>
      </c>
      <c r="B98" s="375" t="s">
        <v>446</v>
      </c>
      <c r="C98" s="400">
        <f ca="1">IF(C97&lt;=0,0,C97/C91)</f>
        <v>199.14611005692601</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7"/>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75" thickBot="1">
      <c r="A99" s="1544" t="s">
        <v>1827</v>
      </c>
      <c r="B99" s="380" t="s">
        <v>447</v>
      </c>
      <c r="C99" s="401">
        <f ca="1">ROUND(IF(C97&lt;=0,0,IF(C98&gt;=200%,C97*60%-C91*35%,IF(C98&gt;=100%,C97*50%-C91*15%,IF(C98&gt;=50%,C97*40%-C91*5%,IF(C98&lt;50%,C97*30%,0))))),0)</f>
        <v>62786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5" thickBot="1">
      <c r="A101" s="3591" t="s">
        <v>448</v>
      </c>
      <c r="B101" s="3592"/>
      <c r="C101" s="3592"/>
      <c r="D101" s="3592"/>
      <c r="E101" s="3592"/>
      <c r="F101" s="3592"/>
      <c r="G101" s="3592"/>
      <c r="H101" s="3592"/>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4.25">
      <c r="A102" s="3566" t="s">
        <v>423</v>
      </c>
      <c r="B102" s="3567"/>
      <c r="C102" s="979"/>
      <c r="D102" s="979"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4.25">
      <c r="A103" s="374" t="s">
        <v>1813</v>
      </c>
      <c r="B103" s="375" t="s">
        <v>434</v>
      </c>
      <c r="C103" s="378">
        <f ca="1">ROUND(D63/(1+'数据-取费表'!C42),0)</f>
        <v>105477</v>
      </c>
      <c r="D103" s="371" t="s">
        <v>19</v>
      </c>
      <c r="E103" s="976"/>
      <c r="F103" s="975"/>
      <c r="G103" s="975"/>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4.25">
      <c r="A104" s="374" t="s">
        <v>1819</v>
      </c>
      <c r="B104" s="345" t="s">
        <v>435</v>
      </c>
      <c r="C104" s="378">
        <f ca="1">IF(H106="仅含出让金",C105+C108+C109+C110+C111+C112,C105+C109+C110+C111+C112)</f>
        <v>527</v>
      </c>
      <c r="D104" s="408"/>
      <c r="E104" s="976"/>
      <c r="F104" s="975"/>
      <c r="G104" s="975"/>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4.25">
      <c r="A105" s="388" t="s">
        <v>1820</v>
      </c>
      <c r="B105" s="369" t="s">
        <v>449</v>
      </c>
      <c r="C105" s="398">
        <f>C106+C107</f>
        <v>0</v>
      </c>
      <c r="D105" s="399"/>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14.25">
      <c r="A106" s="388" t="s">
        <v>1821</v>
      </c>
      <c r="B106" s="369" t="s">
        <v>450</v>
      </c>
      <c r="C106" s="409"/>
      <c r="D106" s="399"/>
      <c r="E106" s="410" t="s">
        <v>451</v>
      </c>
      <c r="F106" s="971"/>
      <c r="G106" s="411" t="s">
        <v>452</v>
      </c>
      <c r="H106" s="412"/>
      <c r="I106" s="11"/>
      <c r="J106" s="1913"/>
      <c r="K106" s="3237" t="s">
        <v>2968</v>
      </c>
      <c r="L106" s="1913"/>
      <c r="M106" s="1913"/>
      <c r="N106" s="1913"/>
      <c r="O106" s="1913"/>
      <c r="P106" s="1913"/>
      <c r="Q106" s="1913"/>
      <c r="R106" s="1913"/>
      <c r="S106" s="1913"/>
      <c r="T106" s="1913"/>
      <c r="U106" s="1913"/>
      <c r="V106" s="1913"/>
      <c r="W106" s="1917"/>
      <c r="X106" s="1917"/>
      <c r="Y106" s="1917"/>
      <c r="Z106" s="1917"/>
    </row>
    <row r="107" spans="1:26" s="1265" customFormat="1" ht="14.25">
      <c r="A107" s="388" t="s">
        <v>1822</v>
      </c>
      <c r="B107" s="369" t="s">
        <v>442</v>
      </c>
      <c r="C107" s="398">
        <f>ROUND(C106*D107,0)</f>
        <v>0</v>
      </c>
      <c r="D107" s="399">
        <f>'数据-取费表'!B48+'数据-取费表'!B49</f>
        <v>3.0499999999999999E-2</v>
      </c>
      <c r="E107" s="410"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25">
      <c r="A108" s="388" t="s">
        <v>1824</v>
      </c>
      <c r="B108" s="369" t="s">
        <v>454</v>
      </c>
      <c r="C108" s="409"/>
      <c r="D108" s="399"/>
      <c r="E108" s="410" t="str">
        <f>IF(H106="-","土地取得成本中已包含该笔费用"," ")</f>
        <v xml:space="preserve"> </v>
      </c>
      <c r="F108" s="971"/>
      <c r="G108" s="3542" t="s">
        <v>2940</v>
      </c>
      <c r="H108" s="3543"/>
      <c r="I108" s="2854"/>
      <c r="J108" s="1913"/>
      <c r="K108" s="3237" t="s">
        <v>2969</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1828</v>
      </c>
      <c r="B109" s="369" t="s">
        <v>455</v>
      </c>
      <c r="C109" s="398">
        <f>IF(H109="——",IF(F1="现房",'剩余法-现房'!C18,0),I109)</f>
        <v>0</v>
      </c>
      <c r="D109" s="399"/>
      <c r="E109" s="3585" t="s">
        <v>456</v>
      </c>
      <c r="F109" s="3583"/>
      <c r="G109" s="3583"/>
      <c r="H109" s="1852" t="s">
        <v>942</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1829</v>
      </c>
      <c r="B110" s="369" t="s">
        <v>457</v>
      </c>
      <c r="C110" s="398">
        <f>ROUND((C105+C108+C109)*D110,0)</f>
        <v>0</v>
      </c>
      <c r="D110" s="3268">
        <v>0</v>
      </c>
      <c r="E110" s="3585" t="s">
        <v>458</v>
      </c>
      <c r="F110" s="3583"/>
      <c r="G110" s="3583"/>
      <c r="H110" s="3584"/>
      <c r="I110" s="11"/>
      <c r="J110" s="1913"/>
      <c r="K110" s="3238" t="s">
        <v>2970</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1830</v>
      </c>
      <c r="B111" s="369" t="s">
        <v>444</v>
      </c>
      <c r="C111" s="398">
        <f ca="1">ROUND(D63*D111/(1+'数据-取费表'!C42),0)</f>
        <v>527</v>
      </c>
      <c r="D111" s="399">
        <f>'数据-取费表'!B43</f>
        <v>5.000000000000001E-3</v>
      </c>
      <c r="E111" s="3582" t="s">
        <v>2411</v>
      </c>
      <c r="F111" s="3583"/>
      <c r="G111" s="3583"/>
      <c r="H111" s="3584"/>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1831</v>
      </c>
      <c r="B112" s="369" t="s">
        <v>459</v>
      </c>
      <c r="C112" s="398">
        <f>ROUND(C108*D112,0)</f>
        <v>0</v>
      </c>
      <c r="D112" s="399">
        <v>0.2</v>
      </c>
      <c r="E112" s="3585" t="s">
        <v>2434</v>
      </c>
      <c r="F112" s="3583"/>
      <c r="G112" s="3583"/>
      <c r="H112" s="3584"/>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4.25">
      <c r="A113" s="1543" t="s">
        <v>1825</v>
      </c>
      <c r="B113" s="375" t="s">
        <v>445</v>
      </c>
      <c r="C113" s="378">
        <f ca="1">ROUND(C103-C104,0)</f>
        <v>104950</v>
      </c>
      <c r="D113" s="371" t="s">
        <v>19</v>
      </c>
      <c r="E113" s="976"/>
      <c r="F113" s="975"/>
      <c r="G113" s="975"/>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1826</v>
      </c>
      <c r="B114" s="375" t="s">
        <v>446</v>
      </c>
      <c r="C114" s="400">
        <f ca="1">IF(C113&lt;=0,0,C113/C104)</f>
        <v>199.14611005692601</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5"/>
      <c r="G114" s="975"/>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75" thickBot="1">
      <c r="A115" s="1544" t="s">
        <v>1827</v>
      </c>
      <c r="B115" s="380" t="s">
        <v>447</v>
      </c>
      <c r="C115" s="401">
        <f ca="1">ROUND(IF(C113&lt;=0,0,IF(C114&gt;=200%,C113*60%-C104*35%,IF(C114&gt;=100%,C113*50%-C104*15%,IF(C114&gt;=50%,C113*40%-C104*5%,IF(C114&lt;50%,C113*30%,0))))),0)</f>
        <v>62786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6" zoomScale="90" zoomScaleNormal="95" zoomScaleSheetLayoutView="90" workbookViewId="0">
      <selection activeCell="B52" sqref="B52"/>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5" t="s">
        <v>510</v>
      </c>
      <c r="B1" s="496"/>
      <c r="C1" s="497" t="s">
        <v>511</v>
      </c>
      <c r="D1" s="498" t="s">
        <v>512</v>
      </c>
      <c r="E1" s="499"/>
      <c r="F1" s="421"/>
      <c r="G1" s="499"/>
      <c r="H1" s="499"/>
      <c r="I1" s="499"/>
      <c r="J1" s="499"/>
      <c r="K1" s="500"/>
      <c r="L1" s="3203"/>
      <c r="M1" s="3204"/>
      <c r="N1" s="3204"/>
      <c r="O1" s="3204"/>
      <c r="P1" s="2011"/>
      <c r="Q1" s="2011"/>
      <c r="R1" s="2011"/>
      <c r="S1" s="2011"/>
      <c r="T1" s="2011"/>
      <c r="U1" s="2011"/>
      <c r="V1" s="2011"/>
      <c r="W1" s="2011"/>
      <c r="X1" s="2011"/>
      <c r="Y1" s="2011"/>
      <c r="Z1" s="2011"/>
      <c r="AA1" s="2011"/>
      <c r="AB1" s="2011"/>
      <c r="AC1" s="3205"/>
      <c r="AD1" s="1286"/>
    </row>
    <row r="2" spans="1:30" s="1287" customFormat="1" ht="28.5" customHeight="1">
      <c r="A2" s="416" t="s">
        <v>461</v>
      </c>
      <c r="B2" s="501">
        <f>F68</f>
        <v>104467</v>
      </c>
      <c r="C2" s="3213"/>
      <c r="D2" s="3213"/>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c r="AD2" s="1286"/>
    </row>
    <row r="3" spans="1:30" s="1287" customFormat="1" ht="28.5" customHeight="1">
      <c r="A3" s="1328" t="s">
        <v>1674</v>
      </c>
      <c r="B3" s="503">
        <f>ROUND(B2*10000/'数据-汇总表'!E3,0)</f>
        <v>16552</v>
      </c>
      <c r="C3" s="3214"/>
      <c r="D3" s="3218"/>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3206"/>
      <c r="AC3" s="1941"/>
    </row>
    <row r="4" spans="1:30" s="1287" customFormat="1" ht="28.5" customHeight="1">
      <c r="A4" s="504" t="s">
        <v>514</v>
      </c>
      <c r="B4" s="420">
        <f>IF(B48="单位面积地价",C50,ROUND(B2*10000/'数据-汇总表'!D3,0))</f>
        <v>45223</v>
      </c>
      <c r="C4" s="3214"/>
      <c r="D4" s="3218"/>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2"/>
      <c r="B5" s="423">
        <f>ROUND(B2/('数据-汇总表'!D3/666.67),0)</f>
        <v>3015</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633" t="s">
        <v>516</v>
      </c>
      <c r="D6" s="3634"/>
      <c r="E6" s="3633" t="s">
        <v>517</v>
      </c>
      <c r="F6" s="3634"/>
      <c r="G6" s="3633" t="s">
        <v>518</v>
      </c>
      <c r="H6" s="3634"/>
      <c r="I6" s="3633" t="s">
        <v>519</v>
      </c>
      <c r="J6" s="3634"/>
      <c r="K6" s="507" t="s">
        <v>520</v>
      </c>
      <c r="L6" s="2012"/>
      <c r="M6" s="2011"/>
      <c r="N6" s="2011"/>
      <c r="O6" s="2013"/>
      <c r="P6" s="3635" t="s">
        <v>521</v>
      </c>
      <c r="Q6" s="3636"/>
      <c r="R6" s="3641" t="s">
        <v>517</v>
      </c>
      <c r="S6" s="3642"/>
      <c r="T6" s="3641" t="s">
        <v>518</v>
      </c>
      <c r="U6" s="3642"/>
      <c r="V6" s="3628" t="s">
        <v>519</v>
      </c>
      <c r="W6" s="3628"/>
      <c r="X6" s="1499"/>
      <c r="Y6" s="3641" t="s">
        <v>521</v>
      </c>
      <c r="Z6" s="3642"/>
      <c r="AA6" s="3630" t="s">
        <v>517</v>
      </c>
      <c r="AB6" s="3631" t="s">
        <v>518</v>
      </c>
      <c r="AC6" s="3630" t="s">
        <v>519</v>
      </c>
    </row>
    <row r="7" spans="1:30" ht="51.75" customHeight="1">
      <c r="A7" s="508"/>
      <c r="B7" s="509"/>
      <c r="C7" s="3649" t="str">
        <f>土地案例!$A$3</f>
        <v>北京市通州区宋庄镇双埠头村、大庞村、大兴庄村土地一级开发项目TZ03-0403-6001、6004、6007、6010、6021、6024地块R2二类居住用地、6018地块B1商业用地、6009地块A334幼儿园用地</v>
      </c>
      <c r="D7" s="3650"/>
      <c r="E7" s="3649" t="str">
        <f>土地案例!$A$7</f>
        <v>北京市通州区马驹桥镇亦庄新城0500街区YZ00-0500-6007等地块R2二类居住用地、A334托幼用地</v>
      </c>
      <c r="F7" s="3650"/>
      <c r="G7" s="3649" t="str">
        <f>土地案例!$A$8</f>
        <v>北京市通州区马驹桥镇国家环保产业园区YZ00-0703-6004、6005、6006地块R2二类居住用地及A33基础教育用地</v>
      </c>
      <c r="H7" s="3650"/>
      <c r="I7" s="3649" t="str">
        <f>土地案例!$A$10</f>
        <v>北京市通州区永顺镇TZ-0104-6002地块F1住宅混合公建用地、TZ-0104-6001地块A33基础教育用地</v>
      </c>
      <c r="J7" s="3650"/>
      <c r="K7" s="507"/>
      <c r="L7" s="2012"/>
      <c r="M7" s="2011"/>
      <c r="N7" s="2011"/>
      <c r="O7" s="2013"/>
      <c r="P7" s="3637"/>
      <c r="Q7" s="3638"/>
      <c r="R7" s="3643"/>
      <c r="S7" s="3644"/>
      <c r="T7" s="3643"/>
      <c r="U7" s="3644"/>
      <c r="V7" s="3628"/>
      <c r="W7" s="3628"/>
      <c r="X7" s="1499"/>
      <c r="Y7" s="3643"/>
      <c r="Z7" s="3644"/>
      <c r="AA7" s="3631"/>
      <c r="AB7" s="3631"/>
      <c r="AC7" s="3631"/>
    </row>
    <row r="8" spans="1:30" ht="21" thickBot="1">
      <c r="A8" s="508"/>
      <c r="B8" s="509"/>
      <c r="C8" s="3651" t="s">
        <v>3356</v>
      </c>
      <c r="D8" s="3652"/>
      <c r="E8" s="3651" t="s">
        <v>3356</v>
      </c>
      <c r="F8" s="3652"/>
      <c r="G8" s="3647" t="s">
        <v>3356</v>
      </c>
      <c r="H8" s="3648"/>
      <c r="I8" s="3647" t="s">
        <v>3356</v>
      </c>
      <c r="J8" s="3648"/>
      <c r="K8" s="507" t="s">
        <v>522</v>
      </c>
      <c r="L8" s="2012"/>
      <c r="M8" s="2011"/>
      <c r="N8" s="2011"/>
      <c r="O8" s="2013"/>
      <c r="P8" s="3639"/>
      <c r="Q8" s="3640"/>
      <c r="R8" s="3643"/>
      <c r="S8" s="3644"/>
      <c r="T8" s="3645"/>
      <c r="U8" s="3646"/>
      <c r="V8" s="3628"/>
      <c r="W8" s="3628"/>
      <c r="X8" s="1499"/>
      <c r="Y8" s="3645"/>
      <c r="Z8" s="3646"/>
      <c r="AA8" s="3632"/>
      <c r="AB8" s="3632"/>
      <c r="AC8" s="3632"/>
    </row>
    <row r="9" spans="1:30" s="1200" customFormat="1" ht="21" thickBot="1">
      <c r="A9" s="2626"/>
      <c r="B9" s="2633" t="s">
        <v>523</v>
      </c>
      <c r="C9" s="2625">
        <f>'数据-取费表'!B2</f>
        <v>44532</v>
      </c>
      <c r="D9" s="513">
        <v>100</v>
      </c>
      <c r="E9" s="514" t="str">
        <f>土地案例!$L$7</f>
        <v>2020-02-11</v>
      </c>
      <c r="F9" s="515">
        <f>SUMIF(72:72,YEAR(E9)&amp;"-"&amp;INT((MONTH(E9)+2)/3),73:73)</f>
        <v>98.5</v>
      </c>
      <c r="G9" s="516" t="str">
        <f>土地案例!$L$8</f>
        <v>2019-10-15</v>
      </c>
      <c r="H9" s="513">
        <f>SUMIF(72:72,YEAR(G9)&amp;"-"&amp;INT((MONTH(G9)+2)/3),73:73)</f>
        <v>98</v>
      </c>
      <c r="I9" s="516" t="str">
        <f>土地案例!$L$10</f>
        <v>2019-02-02</v>
      </c>
      <c r="J9" s="513">
        <f>SUMIF(72:72,YEAR(I9)&amp;"-"&amp;INT((MONTH(I9)+2)/3),73:73)</f>
        <v>97.5</v>
      </c>
      <c r="K9" s="517"/>
      <c r="L9" s="2014"/>
      <c r="M9" s="2011"/>
      <c r="N9" s="2011"/>
      <c r="O9" s="2015"/>
      <c r="P9" s="3658" t="s">
        <v>524</v>
      </c>
      <c r="Q9" s="3660"/>
      <c r="R9" s="1500" t="s">
        <v>8</v>
      </c>
      <c r="S9" s="1501">
        <f t="shared" ref="S9:S17" si="0">F9</f>
        <v>98.5</v>
      </c>
      <c r="T9" s="1500" t="s">
        <v>8</v>
      </c>
      <c r="U9" s="1501">
        <f t="shared" ref="U9:U17" si="1">H9</f>
        <v>98</v>
      </c>
      <c r="V9" s="1500" t="s">
        <v>8</v>
      </c>
      <c r="W9" s="1501">
        <f t="shared" ref="W9:W17" si="2">J9</f>
        <v>97.5</v>
      </c>
      <c r="X9" s="1502"/>
      <c r="Y9" s="3658" t="s">
        <v>524</v>
      </c>
      <c r="Z9" s="3659"/>
      <c r="AA9" s="1503">
        <f>D9/F9</f>
        <v>1.015228426395939</v>
      </c>
      <c r="AB9" s="1503">
        <f>D9/H9</f>
        <v>1.0204081632653061</v>
      </c>
      <c r="AC9" s="1503">
        <f>D9/J9</f>
        <v>1.0256410256410255</v>
      </c>
    </row>
    <row r="10" spans="1:30" s="1200" customFormat="1" ht="21" thickBot="1">
      <c r="A10" s="2627"/>
      <c r="B10" s="2634" t="s">
        <v>525</v>
      </c>
      <c r="C10" s="844" t="s">
        <v>526</v>
      </c>
      <c r="D10" s="513">
        <v>100</v>
      </c>
      <c r="E10" s="518" t="s">
        <v>3230</v>
      </c>
      <c r="F10" s="515">
        <f>SUMIF(75:75,E10,76:76)-SUMIF(75:75,C10,76:76)+100</f>
        <v>100</v>
      </c>
      <c r="G10" s="518" t="s">
        <v>3230</v>
      </c>
      <c r="H10" s="513">
        <f>SUMIF(75:75,G10,76:76)-SUMIF(75:75,C10,76:76)+100</f>
        <v>100</v>
      </c>
      <c r="I10" s="518" t="s">
        <v>3230</v>
      </c>
      <c r="J10" s="513">
        <f>SUMIF(75:75,I10,76:76)-SUMIF(75:75,C10,76:76)+100</f>
        <v>100</v>
      </c>
      <c r="K10" s="517"/>
      <c r="L10" s="2014"/>
      <c r="M10" s="2011"/>
      <c r="N10" s="2011"/>
      <c r="O10" s="2015"/>
      <c r="P10" s="3658" t="s">
        <v>527</v>
      </c>
      <c r="Q10" s="3659"/>
      <c r="R10" s="1500" t="s">
        <v>8</v>
      </c>
      <c r="S10" s="1501">
        <f t="shared" si="0"/>
        <v>100</v>
      </c>
      <c r="T10" s="1500" t="s">
        <v>8</v>
      </c>
      <c r="U10" s="1501">
        <f t="shared" si="1"/>
        <v>100</v>
      </c>
      <c r="V10" s="1500" t="s">
        <v>8</v>
      </c>
      <c r="W10" s="1501">
        <f t="shared" si="2"/>
        <v>100</v>
      </c>
      <c r="X10" s="1502"/>
      <c r="Y10" s="3658" t="s">
        <v>527</v>
      </c>
      <c r="Z10" s="3659"/>
      <c r="AA10" s="1503">
        <f t="shared" ref="AA10:AA47" si="3">D10/F10</f>
        <v>1</v>
      </c>
      <c r="AB10" s="1503">
        <f t="shared" ref="AB10:AB47" si="4">D10/H10</f>
        <v>1</v>
      </c>
      <c r="AC10" s="1503">
        <f t="shared" ref="AC10:AC47" si="5">D10/J10</f>
        <v>1</v>
      </c>
    </row>
    <row r="11" spans="1:30" s="1200" customFormat="1" ht="20.25">
      <c r="A11" s="2628"/>
      <c r="B11" s="2635" t="s">
        <v>2733</v>
      </c>
      <c r="C11" s="2622" t="s">
        <v>3233</v>
      </c>
      <c r="D11" s="251">
        <v>100</v>
      </c>
      <c r="E11" s="519" t="s">
        <v>3233</v>
      </c>
      <c r="F11" s="251">
        <f>SUMIF(77:77,E11,78:78)-SUMIF(77:77,C11,78:78)+100</f>
        <v>100</v>
      </c>
      <c r="G11" s="519" t="s">
        <v>3233</v>
      </c>
      <c r="H11" s="251">
        <f>SUMIF(77:77,G11,78:78)-SUMIF(77:77,C11,78:78)+100</f>
        <v>100</v>
      </c>
      <c r="I11" s="519" t="s">
        <v>3234</v>
      </c>
      <c r="J11" s="251">
        <f>SUMIF(77:77,I11,78:78)-SUMIF(77:77,C11,78:78)+100</f>
        <v>80</v>
      </c>
      <c r="K11" s="517"/>
      <c r="L11" s="2014"/>
      <c r="M11" s="2011"/>
      <c r="N11" s="2011"/>
      <c r="O11" s="2016"/>
      <c r="P11" s="3627" t="s">
        <v>529</v>
      </c>
      <c r="Q11" s="1131" t="str">
        <f t="shared" ref="Q11:Q17" si="6">B11</f>
        <v>用途</v>
      </c>
      <c r="R11" s="1500" t="s">
        <v>8</v>
      </c>
      <c r="S11" s="1501">
        <f t="shared" si="0"/>
        <v>100</v>
      </c>
      <c r="T11" s="1500" t="s">
        <v>8</v>
      </c>
      <c r="U11" s="1501">
        <f t="shared" si="1"/>
        <v>100</v>
      </c>
      <c r="V11" s="1500" t="s">
        <v>8</v>
      </c>
      <c r="W11" s="1501">
        <f t="shared" si="2"/>
        <v>80</v>
      </c>
      <c r="X11" s="1502"/>
      <c r="Y11" s="3573" t="s">
        <v>530</v>
      </c>
      <c r="Z11" s="1130" t="str">
        <f t="shared" ref="Z11:Z17" si="7">Q11</f>
        <v>用途</v>
      </c>
      <c r="AA11" s="1503">
        <f t="shared" si="3"/>
        <v>1</v>
      </c>
      <c r="AB11" s="1503">
        <f t="shared" si="4"/>
        <v>1</v>
      </c>
      <c r="AC11" s="1503">
        <f t="shared" si="5"/>
        <v>1.25</v>
      </c>
    </row>
    <row r="12" spans="1:30" s="1289" customFormat="1" ht="27">
      <c r="A12" s="2629"/>
      <c r="B12" s="2634" t="s">
        <v>2734</v>
      </c>
      <c r="C12" s="896"/>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627"/>
      <c r="Q12" s="1131" t="str">
        <f t="shared" si="6"/>
        <v>土地使用年限（年）</v>
      </c>
      <c r="R12" s="1500" t="s">
        <v>8</v>
      </c>
      <c r="S12" s="1501">
        <f t="shared" si="0"/>
        <v>100</v>
      </c>
      <c r="T12" s="1500" t="s">
        <v>8</v>
      </c>
      <c r="U12" s="1501">
        <f t="shared" si="1"/>
        <v>100</v>
      </c>
      <c r="V12" s="1500" t="s">
        <v>8</v>
      </c>
      <c r="W12" s="1501">
        <f t="shared" si="2"/>
        <v>100</v>
      </c>
      <c r="X12" s="1502"/>
      <c r="Y12" s="3573"/>
      <c r="Z12" s="1130" t="str">
        <f t="shared" si="7"/>
        <v>土地使用年限（年）</v>
      </c>
      <c r="AA12" s="1503">
        <f t="shared" si="3"/>
        <v>1</v>
      </c>
      <c r="AB12" s="1503">
        <f t="shared" si="4"/>
        <v>1</v>
      </c>
      <c r="AC12" s="1503">
        <f t="shared" si="5"/>
        <v>1</v>
      </c>
    </row>
    <row r="13" spans="1:30" ht="20.25">
      <c r="A13" s="2630"/>
      <c r="B13" s="2634" t="s">
        <v>2735</v>
      </c>
      <c r="C13" s="527">
        <f>'数据-汇总表'!I4</f>
        <v>1.8</v>
      </c>
      <c r="D13" s="252">
        <v>100</v>
      </c>
      <c r="E13" s="526">
        <v>2.2999999999999998</v>
      </c>
      <c r="F13" s="252">
        <f>LOOKUP(E13,82:82,83:83)-LOOKUP(C13,82:82,83:83)+100</f>
        <v>95</v>
      </c>
      <c r="G13" s="527">
        <v>2.2000000000000002</v>
      </c>
      <c r="H13" s="252">
        <f>LOOKUP(G13,82:82,83:83)-LOOKUP(C13,82:82,83:83)+100</f>
        <v>95</v>
      </c>
      <c r="I13" s="526">
        <v>1.6</v>
      </c>
      <c r="J13" s="252">
        <f>LOOKUP(I13,82:82,83:83)-LOOKUP(C13,82:82,83:83)+100</f>
        <v>100</v>
      </c>
      <c r="K13" s="528">
        <v>5</v>
      </c>
      <c r="L13" s="2019"/>
      <c r="M13" s="2011"/>
      <c r="N13" s="2011"/>
      <c r="O13" s="2020"/>
      <c r="P13" s="3627"/>
      <c r="Q13" s="1131" t="str">
        <f t="shared" si="6"/>
        <v>容积率</v>
      </c>
      <c r="R13" s="1500" t="s">
        <v>8</v>
      </c>
      <c r="S13" s="1501">
        <f t="shared" si="0"/>
        <v>95</v>
      </c>
      <c r="T13" s="1500" t="s">
        <v>8</v>
      </c>
      <c r="U13" s="1501">
        <f t="shared" si="1"/>
        <v>95</v>
      </c>
      <c r="V13" s="1500" t="s">
        <v>8</v>
      </c>
      <c r="W13" s="1501">
        <f t="shared" si="2"/>
        <v>100</v>
      </c>
      <c r="X13" s="1502"/>
      <c r="Y13" s="3573"/>
      <c r="Z13" s="1130" t="str">
        <f t="shared" si="7"/>
        <v>容积率</v>
      </c>
      <c r="AA13" s="1503">
        <f t="shared" si="3"/>
        <v>1.0526315789473684</v>
      </c>
      <c r="AB13" s="1503">
        <f t="shared" si="4"/>
        <v>1.0526315789473684</v>
      </c>
      <c r="AC13" s="1503">
        <f t="shared" si="5"/>
        <v>1</v>
      </c>
    </row>
    <row r="14" spans="1:30" s="1200" customFormat="1" ht="20.25">
      <c r="A14" s="2627"/>
      <c r="B14" s="2636" t="s">
        <v>2736</v>
      </c>
      <c r="C14" s="2623"/>
      <c r="D14" s="531">
        <v>100</v>
      </c>
      <c r="E14" s="1323"/>
      <c r="F14" s="252">
        <f>SUMIF(84:84,E14,85:85)-SUMIF(84:84,C14,85:85)+100</f>
        <v>100</v>
      </c>
      <c r="G14" s="523"/>
      <c r="H14" s="252">
        <f>SUMIF(84:84,G14,85:85)-SUMIF(84:84,C14,85:85)+100</f>
        <v>100</v>
      </c>
      <c r="I14" s="522"/>
      <c r="J14" s="252">
        <f>SUMIF(84:84,I14,85:85)-SUMIF(84:84,C14,85:85)+100</f>
        <v>100</v>
      </c>
      <c r="K14" s="524"/>
      <c r="L14" s="2014"/>
      <c r="M14" s="2011"/>
      <c r="N14" s="2011"/>
      <c r="O14" s="2016"/>
      <c r="P14" s="3627"/>
      <c r="Q14" s="1131" t="str">
        <f t="shared" si="6"/>
        <v>配建</v>
      </c>
      <c r="R14" s="1500" t="s">
        <v>8</v>
      </c>
      <c r="S14" s="1501">
        <f t="shared" si="0"/>
        <v>100</v>
      </c>
      <c r="T14" s="1500" t="s">
        <v>8</v>
      </c>
      <c r="U14" s="1501">
        <f t="shared" si="1"/>
        <v>100</v>
      </c>
      <c r="V14" s="1500" t="s">
        <v>8</v>
      </c>
      <c r="W14" s="1501">
        <f t="shared" si="2"/>
        <v>100</v>
      </c>
      <c r="X14" s="1502"/>
      <c r="Y14" s="3573"/>
      <c r="Z14" s="1130" t="str">
        <f t="shared" si="7"/>
        <v>配建</v>
      </c>
      <c r="AA14" s="1503">
        <f>D14/F14</f>
        <v>1</v>
      </c>
      <c r="AB14" s="1503">
        <f>D14/H14</f>
        <v>1</v>
      </c>
      <c r="AC14" s="1503">
        <f>D14/J14</f>
        <v>1</v>
      </c>
    </row>
    <row r="15" spans="1:30" ht="20.25">
      <c r="A15" s="2631"/>
      <c r="B15" s="3327" t="s">
        <v>3226</v>
      </c>
      <c r="C15" s="898"/>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627"/>
      <c r="Q15" s="1131" t="str">
        <f t="shared" si="6"/>
        <v>自持</v>
      </c>
      <c r="R15" s="1500" t="s">
        <v>8</v>
      </c>
      <c r="S15" s="1501">
        <f t="shared" si="0"/>
        <v>100</v>
      </c>
      <c r="T15" s="1500" t="s">
        <v>8</v>
      </c>
      <c r="U15" s="1501">
        <f t="shared" si="1"/>
        <v>100</v>
      </c>
      <c r="V15" s="1500" t="s">
        <v>8</v>
      </c>
      <c r="W15" s="1501">
        <f t="shared" si="2"/>
        <v>100</v>
      </c>
      <c r="X15" s="1502"/>
      <c r="Y15" s="3573"/>
      <c r="Z15" s="1130" t="str">
        <f t="shared" si="7"/>
        <v>自持</v>
      </c>
      <c r="AA15" s="1503">
        <f>D15/F15</f>
        <v>1</v>
      </c>
      <c r="AB15" s="1503">
        <f>D15/H15</f>
        <v>1</v>
      </c>
      <c r="AC15" s="1503">
        <f>D15/J15</f>
        <v>1</v>
      </c>
    </row>
    <row r="16" spans="1:30" ht="21" thickBot="1">
      <c r="A16" s="2632"/>
      <c r="B16" s="3328" t="s">
        <v>3227</v>
      </c>
      <c r="C16" s="901"/>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627"/>
      <c r="Q16" s="1131" t="str">
        <f t="shared" si="6"/>
        <v>限价区间</v>
      </c>
      <c r="R16" s="1500" t="s">
        <v>8</v>
      </c>
      <c r="S16" s="1501">
        <f t="shared" si="0"/>
        <v>100</v>
      </c>
      <c r="T16" s="1500" t="s">
        <v>8</v>
      </c>
      <c r="U16" s="1501">
        <f t="shared" si="1"/>
        <v>100</v>
      </c>
      <c r="V16" s="1500" t="s">
        <v>8</v>
      </c>
      <c r="W16" s="1501">
        <f t="shared" si="2"/>
        <v>100</v>
      </c>
      <c r="X16" s="1502"/>
      <c r="Y16" s="3573"/>
      <c r="Z16" s="1130" t="str">
        <f t="shared" si="7"/>
        <v>限价区间</v>
      </c>
      <c r="AA16" s="1503">
        <f>D16/F16</f>
        <v>1</v>
      </c>
      <c r="AB16" s="1503">
        <f>D16/H16</f>
        <v>1</v>
      </c>
      <c r="AC16" s="1503">
        <f>D16/J16</f>
        <v>1</v>
      </c>
    </row>
    <row r="17" spans="1:29" ht="20.25">
      <c r="A17" s="2624" t="s">
        <v>2731</v>
      </c>
      <c r="B17" s="571" t="s">
        <v>295</v>
      </c>
      <c r="C17" s="541" t="str">
        <f>估价对象房地状况!C15</f>
        <v>较差</v>
      </c>
      <c r="D17" s="544">
        <v>100</v>
      </c>
      <c r="E17" s="545"/>
      <c r="F17" s="542">
        <f>SUMIF(90:90,E18,91:91)-SUMIF(90:90,C18,91:91)+100</f>
        <v>103</v>
      </c>
      <c r="G17" s="543"/>
      <c r="H17" s="542">
        <f>SUMIF(90:90,G18,91:91)-SUMIF(90:90,C18,91:91)+100</f>
        <v>103</v>
      </c>
      <c r="I17" s="545"/>
      <c r="J17" s="542">
        <f>SUMIF(90:90,I18,91:91)-SUMIF(90:90,C18,91:91)+100</f>
        <v>103</v>
      </c>
      <c r="K17" s="528">
        <v>3</v>
      </c>
      <c r="L17" s="2021"/>
      <c r="M17" s="2011"/>
      <c r="N17" s="2011"/>
      <c r="O17" s="2020"/>
      <c r="P17" s="3661" t="s">
        <v>534</v>
      </c>
      <c r="Q17" s="1504" t="str">
        <f t="shared" si="6"/>
        <v>居住社区成熟度</v>
      </c>
      <c r="R17" s="1505" t="s">
        <v>8</v>
      </c>
      <c r="S17" s="1506">
        <f t="shared" si="0"/>
        <v>103</v>
      </c>
      <c r="T17" s="1505" t="s">
        <v>8</v>
      </c>
      <c r="U17" s="1506">
        <f t="shared" si="1"/>
        <v>103</v>
      </c>
      <c r="V17" s="1505" t="s">
        <v>8</v>
      </c>
      <c r="W17" s="1506">
        <f t="shared" si="2"/>
        <v>103</v>
      </c>
      <c r="X17" s="1499"/>
      <c r="Y17" s="3661" t="s">
        <v>534</v>
      </c>
      <c r="Z17" s="1507" t="str">
        <f t="shared" si="7"/>
        <v>居住社区成熟度</v>
      </c>
      <c r="AA17" s="1508">
        <f t="shared" si="3"/>
        <v>0.970873786407767</v>
      </c>
      <c r="AB17" s="1508">
        <f t="shared" si="4"/>
        <v>0.970873786407767</v>
      </c>
      <c r="AC17" s="1508">
        <f t="shared" si="5"/>
        <v>0.970873786407767</v>
      </c>
    </row>
    <row r="18" spans="1:29" ht="20.25">
      <c r="A18" s="525"/>
      <c r="B18" s="546"/>
      <c r="C18" s="547" t="s">
        <v>3271</v>
      </c>
      <c r="D18" s="550"/>
      <c r="E18" s="551" t="s">
        <v>3268</v>
      </c>
      <c r="F18" s="548"/>
      <c r="G18" s="549" t="s">
        <v>3268</v>
      </c>
      <c r="H18" s="552"/>
      <c r="I18" s="551" t="s">
        <v>3268</v>
      </c>
      <c r="J18" s="548"/>
      <c r="K18" s="524"/>
      <c r="L18" s="2021"/>
      <c r="M18" s="2011"/>
      <c r="N18" s="2011"/>
      <c r="O18" s="2020"/>
      <c r="P18" s="3662"/>
      <c r="Q18" s="1504"/>
      <c r="R18" s="1505"/>
      <c r="S18" s="1506"/>
      <c r="T18" s="1505"/>
      <c r="U18" s="1506"/>
      <c r="V18" s="1505"/>
      <c r="W18" s="1506"/>
      <c r="X18" s="1499"/>
      <c r="Y18" s="3662"/>
      <c r="Z18" s="1507"/>
      <c r="AA18" s="1508">
        <v>1</v>
      </c>
      <c r="AB18" s="1508">
        <v>1</v>
      </c>
      <c r="AC18" s="1508">
        <v>1</v>
      </c>
    </row>
    <row r="19" spans="1:29" ht="20.25" hidden="1">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662"/>
      <c r="Q19" s="1504" t="str">
        <f>B19</f>
        <v>商业繁华度</v>
      </c>
      <c r="R19" s="1505" t="s">
        <v>8</v>
      </c>
      <c r="S19" s="1506">
        <f>F19</f>
        <v>100</v>
      </c>
      <c r="T19" s="1505" t="s">
        <v>8</v>
      </c>
      <c r="U19" s="1506">
        <f>H19</f>
        <v>100</v>
      </c>
      <c r="V19" s="1505" t="s">
        <v>8</v>
      </c>
      <c r="W19" s="1506">
        <f>J19</f>
        <v>100</v>
      </c>
      <c r="X19" s="1499"/>
      <c r="Y19" s="3662"/>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662"/>
      <c r="Q20" s="1504"/>
      <c r="R20" s="1505"/>
      <c r="S20" s="1506"/>
      <c r="T20" s="1505"/>
      <c r="U20" s="1506"/>
      <c r="V20" s="1505"/>
      <c r="W20" s="1506"/>
      <c r="X20" s="1499"/>
      <c r="Y20" s="3662"/>
      <c r="Z20" s="1507"/>
      <c r="AA20" s="1508">
        <v>1</v>
      </c>
      <c r="AB20" s="1508">
        <v>1</v>
      </c>
      <c r="AC20" s="1508">
        <v>1</v>
      </c>
    </row>
    <row r="21" spans="1:29" ht="20.25" hidden="1">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662"/>
      <c r="Q21" s="1504" t="str">
        <f>B21</f>
        <v>办公集聚程度</v>
      </c>
      <c r="R21" s="1505" t="s">
        <v>8</v>
      </c>
      <c r="S21" s="1506">
        <f>F21</f>
        <v>100</v>
      </c>
      <c r="T21" s="1505" t="s">
        <v>8</v>
      </c>
      <c r="U21" s="1506">
        <f>H21</f>
        <v>100</v>
      </c>
      <c r="V21" s="1505" t="s">
        <v>8</v>
      </c>
      <c r="W21" s="1506">
        <f>J21</f>
        <v>100</v>
      </c>
      <c r="X21" s="1499"/>
      <c r="Y21" s="3662"/>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662"/>
      <c r="Q22" s="1504"/>
      <c r="R22" s="1505"/>
      <c r="S22" s="1506"/>
      <c r="T22" s="1505"/>
      <c r="U22" s="1506"/>
      <c r="V22" s="1505"/>
      <c r="W22" s="1506"/>
      <c r="X22" s="1499"/>
      <c r="Y22" s="3662"/>
      <c r="Z22" s="1507"/>
      <c r="AA22" s="1508">
        <v>1</v>
      </c>
      <c r="AB22" s="1508">
        <v>1</v>
      </c>
      <c r="AC22" s="1508">
        <v>1</v>
      </c>
    </row>
    <row r="23" spans="1:29" ht="20.25">
      <c r="A23" s="525"/>
      <c r="B23" s="553" t="s">
        <v>537</v>
      </c>
      <c r="C23" s="566" t="str">
        <f>估价对象房地状况!C18</f>
        <v>一般</v>
      </c>
      <c r="D23" s="556">
        <v>100</v>
      </c>
      <c r="E23" s="557"/>
      <c r="F23" s="558">
        <f>SUMIF(96:96,E24,97:97)-SUMIF(96:96,C24,97:97)+100</f>
        <v>100</v>
      </c>
      <c r="G23" s="555"/>
      <c r="H23" s="552">
        <f>SUMIF(96:96,G24,97:97)-SUMIF(96:96,C24,97:97)+100</f>
        <v>100</v>
      </c>
      <c r="I23" s="557"/>
      <c r="J23" s="552">
        <f>SUMIF(96:96,I24,97:97)-SUMIF(96:96,C24,97:97)+100</f>
        <v>102</v>
      </c>
      <c r="K23" s="528">
        <v>2</v>
      </c>
      <c r="L23" s="2021"/>
      <c r="M23" s="2011"/>
      <c r="N23" s="2011"/>
      <c r="O23" s="2020"/>
      <c r="P23" s="3662"/>
      <c r="Q23" s="1504" t="str">
        <f>B23</f>
        <v>交通便捷度</v>
      </c>
      <c r="R23" s="1505" t="s">
        <v>8</v>
      </c>
      <c r="S23" s="1506">
        <f>F23</f>
        <v>100</v>
      </c>
      <c r="T23" s="1505" t="s">
        <v>8</v>
      </c>
      <c r="U23" s="1506">
        <f>H23</f>
        <v>100</v>
      </c>
      <c r="V23" s="1505" t="s">
        <v>8</v>
      </c>
      <c r="W23" s="1506">
        <f>J23</f>
        <v>102</v>
      </c>
      <c r="X23" s="1499"/>
      <c r="Y23" s="3662"/>
      <c r="Z23" s="1507" t="str">
        <f>Q23</f>
        <v>交通便捷度</v>
      </c>
      <c r="AA23" s="1508">
        <f t="shared" si="3"/>
        <v>1</v>
      </c>
      <c r="AB23" s="1508">
        <f t="shared" si="4"/>
        <v>1</v>
      </c>
      <c r="AC23" s="1508">
        <f t="shared" si="5"/>
        <v>0.98039215686274506</v>
      </c>
    </row>
    <row r="24" spans="1:29" ht="20.25">
      <c r="A24" s="525"/>
      <c r="B24" s="571"/>
      <c r="C24" s="547" t="s">
        <v>3268</v>
      </c>
      <c r="D24" s="550"/>
      <c r="E24" s="551" t="s">
        <v>3268</v>
      </c>
      <c r="F24" s="548"/>
      <c r="G24" s="549" t="s">
        <v>3268</v>
      </c>
      <c r="H24" s="548"/>
      <c r="I24" s="551" t="s">
        <v>3273</v>
      </c>
      <c r="J24" s="548"/>
      <c r="K24" s="524"/>
      <c r="L24" s="2021"/>
      <c r="M24" s="2011"/>
      <c r="N24" s="2011"/>
      <c r="O24" s="2020"/>
      <c r="P24" s="3662"/>
      <c r="Q24" s="1504"/>
      <c r="R24" s="1505"/>
      <c r="S24" s="1506"/>
      <c r="T24" s="1505"/>
      <c r="U24" s="1506"/>
      <c r="V24" s="1505"/>
      <c r="W24" s="1506"/>
      <c r="X24" s="1499"/>
      <c r="Y24" s="3662"/>
      <c r="Z24" s="1507"/>
      <c r="AA24" s="1508">
        <v>1</v>
      </c>
      <c r="AB24" s="1508">
        <v>1</v>
      </c>
      <c r="AC24" s="1508">
        <v>1</v>
      </c>
    </row>
    <row r="25" spans="1:29" ht="27">
      <c r="A25" s="508"/>
      <c r="B25" s="256" t="s">
        <v>538</v>
      </c>
      <c r="C25" s="566" t="str">
        <f>估价对象房地状况!C19</f>
        <v>一致</v>
      </c>
      <c r="D25" s="556">
        <v>100</v>
      </c>
      <c r="E25" s="557"/>
      <c r="F25" s="558">
        <f>SUMIF(98:98,E26,99:99)-SUMIF(98:98,C26,99:99)+100</f>
        <v>100</v>
      </c>
      <c r="G25" s="555"/>
      <c r="H25" s="552">
        <f>SUMIF(98:98,G26,99:99)-SUMIF(98:98,C26,99:99)+100</f>
        <v>100</v>
      </c>
      <c r="I25" s="557"/>
      <c r="J25" s="552">
        <f>SUMIF(98:98,I26,99:99)-SUMIF(98:98,C26,99:99)+100</f>
        <v>100</v>
      </c>
      <c r="K25" s="528">
        <v>2</v>
      </c>
      <c r="L25" s="2021"/>
      <c r="M25" s="2011"/>
      <c r="N25" s="2011"/>
      <c r="O25" s="2020"/>
      <c r="P25" s="3662"/>
      <c r="Q25" s="1504" t="str">
        <f t="shared" ref="Q25:Q39" si="8">B25</f>
        <v>区域土地利用方向</v>
      </c>
      <c r="R25" s="1505" t="s">
        <v>8</v>
      </c>
      <c r="S25" s="1506">
        <f>F25</f>
        <v>100</v>
      </c>
      <c r="T25" s="1505" t="s">
        <v>8</v>
      </c>
      <c r="U25" s="1506">
        <f>H25</f>
        <v>100</v>
      </c>
      <c r="V25" s="1505" t="s">
        <v>8</v>
      </c>
      <c r="W25" s="1506">
        <f>J25</f>
        <v>100</v>
      </c>
      <c r="X25" s="1499"/>
      <c r="Y25" s="3662"/>
      <c r="Z25" s="1507" t="str">
        <f>Q25</f>
        <v>区域土地利用方向</v>
      </c>
      <c r="AA25" s="1508">
        <f t="shared" si="3"/>
        <v>1</v>
      </c>
      <c r="AB25" s="1508">
        <f t="shared" si="4"/>
        <v>1</v>
      </c>
      <c r="AC25" s="1508">
        <f t="shared" si="5"/>
        <v>1</v>
      </c>
    </row>
    <row r="26" spans="1:29" ht="20.25">
      <c r="A26" s="508"/>
      <c r="B26" s="991"/>
      <c r="C26" s="547" t="s">
        <v>3273</v>
      </c>
      <c r="D26" s="550"/>
      <c r="E26" s="551" t="s">
        <v>3273</v>
      </c>
      <c r="F26" s="548"/>
      <c r="G26" s="549" t="s">
        <v>3273</v>
      </c>
      <c r="H26" s="548"/>
      <c r="I26" s="551" t="s">
        <v>3273</v>
      </c>
      <c r="J26" s="548"/>
      <c r="K26" s="524"/>
      <c r="L26" s="2021"/>
      <c r="M26" s="2011"/>
      <c r="N26" s="2011"/>
      <c r="O26" s="2020"/>
      <c r="P26" s="3662"/>
      <c r="Q26" s="1504"/>
      <c r="R26" s="1505"/>
      <c r="S26" s="1506"/>
      <c r="T26" s="1505"/>
      <c r="U26" s="1506"/>
      <c r="V26" s="1505"/>
      <c r="W26" s="1506"/>
      <c r="X26" s="1499"/>
      <c r="Y26" s="3662"/>
      <c r="Z26" s="1507"/>
      <c r="AA26" s="1508"/>
      <c r="AB26" s="1508"/>
      <c r="AC26" s="1508"/>
    </row>
    <row r="27" spans="1:29" ht="27">
      <c r="A27" s="508"/>
      <c r="B27" s="571" t="s">
        <v>539</v>
      </c>
      <c r="C27" s="554" t="str">
        <f>估价对象房地状况!C20</f>
        <v>一般</v>
      </c>
      <c r="D27" s="556">
        <v>100</v>
      </c>
      <c r="E27" s="557"/>
      <c r="F27" s="552">
        <f>SUMIF(100:100,E28,101:101)-SUMIF(100:100,C28,101:101)+100</f>
        <v>100</v>
      </c>
      <c r="G27" s="555"/>
      <c r="H27" s="552">
        <f>SUMIF(100:100,G28,101:101)-SUMIF(100:100,C28,101:101)+100</f>
        <v>100</v>
      </c>
      <c r="I27" s="557"/>
      <c r="J27" s="552">
        <f>SUMIF(100:100,I28,101:101)-SUMIF(100:100,C28,101:101)+100</f>
        <v>102</v>
      </c>
      <c r="K27" s="528">
        <v>2</v>
      </c>
      <c r="L27" s="2021"/>
      <c r="M27" s="2011"/>
      <c r="N27" s="2011"/>
      <c r="O27" s="2020"/>
      <c r="P27" s="3662"/>
      <c r="Q27" s="1504" t="str">
        <f t="shared" si="8"/>
        <v>自然及人文环境状况</v>
      </c>
      <c r="R27" s="1505" t="s">
        <v>8</v>
      </c>
      <c r="S27" s="1506">
        <f>F27</f>
        <v>100</v>
      </c>
      <c r="T27" s="1505" t="s">
        <v>8</v>
      </c>
      <c r="U27" s="1506">
        <f>H27</f>
        <v>100</v>
      </c>
      <c r="V27" s="1505" t="s">
        <v>8</v>
      </c>
      <c r="W27" s="1506">
        <f>J27</f>
        <v>102</v>
      </c>
      <c r="X27" s="1499"/>
      <c r="Y27" s="3662"/>
      <c r="Z27" s="1507" t="str">
        <f>Q27</f>
        <v>自然及人文环境状况</v>
      </c>
      <c r="AA27" s="1508">
        <f t="shared" si="3"/>
        <v>1</v>
      </c>
      <c r="AB27" s="1508">
        <f t="shared" si="4"/>
        <v>1</v>
      </c>
      <c r="AC27" s="1508">
        <f t="shared" si="5"/>
        <v>0.98039215686274506</v>
      </c>
    </row>
    <row r="28" spans="1:29" ht="20.25">
      <c r="A28" s="508"/>
      <c r="B28" s="559"/>
      <c r="C28" s="547" t="s">
        <v>3268</v>
      </c>
      <c r="D28" s="550"/>
      <c r="E28" s="569" t="s">
        <v>3268</v>
      </c>
      <c r="F28" s="548"/>
      <c r="G28" s="547" t="s">
        <v>3268</v>
      </c>
      <c r="H28" s="548"/>
      <c r="I28" s="569" t="s">
        <v>3273</v>
      </c>
      <c r="J28" s="548"/>
      <c r="K28" s="524"/>
      <c r="L28" s="2021"/>
      <c r="M28" s="2011"/>
      <c r="N28" s="2011"/>
      <c r="O28" s="2020"/>
      <c r="P28" s="3662"/>
      <c r="Q28" s="1504"/>
      <c r="R28" s="1505"/>
      <c r="S28" s="1506"/>
      <c r="T28" s="1505"/>
      <c r="U28" s="1506"/>
      <c r="V28" s="1505"/>
      <c r="W28" s="1506"/>
      <c r="X28" s="1499"/>
      <c r="Y28" s="3662"/>
      <c r="Z28" s="1507"/>
      <c r="AA28" s="1508">
        <v>1</v>
      </c>
      <c r="AB28" s="1508">
        <v>1</v>
      </c>
      <c r="AC28" s="1508">
        <v>1</v>
      </c>
    </row>
    <row r="29" spans="1:29" s="1200" customFormat="1" ht="20.25">
      <c r="A29" s="570"/>
      <c r="B29" s="2432" t="s">
        <v>2527</v>
      </c>
      <c r="C29" s="566" t="str">
        <f>估价对象房地状况!C21</f>
        <v>较差</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4"/>
      <c r="M29" s="2011"/>
      <c r="N29" s="2011"/>
      <c r="O29" s="2016"/>
      <c r="P29" s="3662"/>
      <c r="Q29" s="1131" t="str">
        <f t="shared" si="8"/>
        <v>公共配套设施</v>
      </c>
      <c r="R29" s="1500" t="s">
        <v>8</v>
      </c>
      <c r="S29" s="1501">
        <f>F29</f>
        <v>102</v>
      </c>
      <c r="T29" s="1500" t="s">
        <v>8</v>
      </c>
      <c r="U29" s="1501">
        <f>H29</f>
        <v>102</v>
      </c>
      <c r="V29" s="1500" t="s">
        <v>8</v>
      </c>
      <c r="W29" s="1501">
        <f>J29</f>
        <v>102</v>
      </c>
      <c r="X29" s="1502"/>
      <c r="Y29" s="3662"/>
      <c r="Z29" s="1130" t="str">
        <f>Q29</f>
        <v>公共配套设施</v>
      </c>
      <c r="AA29" s="1508">
        <f>D29/F29</f>
        <v>0.98039215686274506</v>
      </c>
      <c r="AB29" s="1508">
        <f>D29/H29</f>
        <v>0.98039215686274506</v>
      </c>
      <c r="AC29" s="1508">
        <f>D29/J29</f>
        <v>0.98039215686274506</v>
      </c>
    </row>
    <row r="30" spans="1:29" s="1200" customFormat="1" ht="20.25">
      <c r="A30" s="570"/>
      <c r="B30" s="559"/>
      <c r="C30" s="572" t="s">
        <v>3271</v>
      </c>
      <c r="D30" s="550"/>
      <c r="E30" s="569" t="s">
        <v>3268</v>
      </c>
      <c r="F30" s="548"/>
      <c r="G30" s="547" t="s">
        <v>3268</v>
      </c>
      <c r="H30" s="548"/>
      <c r="I30" s="569" t="s">
        <v>3268</v>
      </c>
      <c r="J30" s="548"/>
      <c r="K30" s="524"/>
      <c r="L30" s="2014"/>
      <c r="M30" s="2011"/>
      <c r="N30" s="2011"/>
      <c r="O30" s="2016"/>
      <c r="P30" s="3662"/>
      <c r="Q30" s="1131"/>
      <c r="R30" s="1500"/>
      <c r="S30" s="1501"/>
      <c r="T30" s="1500"/>
      <c r="U30" s="1501"/>
      <c r="V30" s="1500"/>
      <c r="W30" s="1501"/>
      <c r="X30" s="1502"/>
      <c r="Y30" s="3662"/>
      <c r="Z30" s="1130"/>
      <c r="AA30" s="1508">
        <v>1</v>
      </c>
      <c r="AB30" s="1508">
        <v>1</v>
      </c>
      <c r="AC30" s="1508">
        <v>1</v>
      </c>
    </row>
    <row r="31" spans="1:29" s="1200" customFormat="1" ht="20.25">
      <c r="A31" s="570"/>
      <c r="B31" s="2432"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4"/>
      <c r="M31" s="2011"/>
      <c r="N31" s="2011"/>
      <c r="O31" s="2016"/>
      <c r="P31" s="3662"/>
      <c r="Q31" s="2425" t="str">
        <f t="shared" ref="Q31" si="9">B31</f>
        <v>基础设施水平</v>
      </c>
      <c r="R31" s="1500" t="s">
        <v>8</v>
      </c>
      <c r="S31" s="1501">
        <f>F31</f>
        <v>100</v>
      </c>
      <c r="T31" s="1500" t="s">
        <v>8</v>
      </c>
      <c r="U31" s="1501">
        <f>H31</f>
        <v>100</v>
      </c>
      <c r="V31" s="1500" t="s">
        <v>8</v>
      </c>
      <c r="W31" s="1501">
        <f>J31</f>
        <v>100</v>
      </c>
      <c r="X31" s="1502"/>
      <c r="Y31" s="3662"/>
      <c r="Z31" s="2424" t="str">
        <f>Q31</f>
        <v>基础设施水平</v>
      </c>
      <c r="AA31" s="1508">
        <f>D31/F31</f>
        <v>1</v>
      </c>
      <c r="AB31" s="1508">
        <f>D31/H31</f>
        <v>1</v>
      </c>
      <c r="AC31" s="1508">
        <f>D31/J31</f>
        <v>1</v>
      </c>
    </row>
    <row r="32" spans="1:29" s="1200" customFormat="1" ht="20.25">
      <c r="A32" s="570"/>
      <c r="B32" s="559"/>
      <c r="C32" s="572" t="s">
        <v>3236</v>
      </c>
      <c r="D32" s="550"/>
      <c r="E32" s="2433" t="s">
        <v>3236</v>
      </c>
      <c r="F32" s="548"/>
      <c r="G32" s="572" t="s">
        <v>3236</v>
      </c>
      <c r="H32" s="548"/>
      <c r="I32" s="572" t="s">
        <v>3236</v>
      </c>
      <c r="J32" s="548"/>
      <c r="K32" s="524"/>
      <c r="L32" s="2014"/>
      <c r="M32" s="2011"/>
      <c r="N32" s="2011"/>
      <c r="O32" s="2016"/>
      <c r="P32" s="3662"/>
      <c r="Q32" s="2425"/>
      <c r="R32" s="1500"/>
      <c r="S32" s="1501"/>
      <c r="T32" s="1500"/>
      <c r="U32" s="1501"/>
      <c r="V32" s="1500"/>
      <c r="W32" s="1501"/>
      <c r="X32" s="1502"/>
      <c r="Y32" s="3662"/>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662"/>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62"/>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99</v>
      </c>
      <c r="I34" s="557"/>
      <c r="J34" s="552">
        <f>SUMIF(108:108,I35,109:109)-SUMIF(108:108,C35,109:109)+100</f>
        <v>101</v>
      </c>
      <c r="K34" s="528">
        <v>1</v>
      </c>
      <c r="L34" s="2021"/>
      <c r="M34" s="2011"/>
      <c r="N34" s="2011"/>
      <c r="O34" s="2020"/>
      <c r="P34" s="3662"/>
      <c r="Q34" s="1504" t="str">
        <f t="shared" si="8"/>
        <v>毗邻道路的类型与等级</v>
      </c>
      <c r="R34" s="1505" t="s">
        <v>8</v>
      </c>
      <c r="S34" s="1506">
        <f t="shared" si="10"/>
        <v>100</v>
      </c>
      <c r="T34" s="1505" t="s">
        <v>8</v>
      </c>
      <c r="U34" s="1506">
        <f t="shared" si="11"/>
        <v>99</v>
      </c>
      <c r="V34" s="1505" t="s">
        <v>8</v>
      </c>
      <c r="W34" s="1506">
        <f t="shared" si="12"/>
        <v>101</v>
      </c>
      <c r="X34" s="1499"/>
      <c r="Y34" s="3662"/>
      <c r="Z34" s="1507" t="str">
        <f t="shared" si="13"/>
        <v>毗邻道路的类型与等级</v>
      </c>
      <c r="AA34" s="1508">
        <f t="shared" si="3"/>
        <v>1</v>
      </c>
      <c r="AB34" s="1508">
        <f t="shared" si="4"/>
        <v>1.0101010101010102</v>
      </c>
      <c r="AC34" s="1508">
        <f t="shared" si="5"/>
        <v>0.99009900990099009</v>
      </c>
    </row>
    <row r="35" spans="1:29" ht="20.25">
      <c r="A35" s="525"/>
      <c r="B35" s="559"/>
      <c r="C35" s="547" t="s">
        <v>3258</v>
      </c>
      <c r="D35" s="550"/>
      <c r="E35" s="569" t="s">
        <v>3258</v>
      </c>
      <c r="F35" s="548"/>
      <c r="G35" s="547" t="s">
        <v>3260</v>
      </c>
      <c r="H35" s="548"/>
      <c r="I35" s="569" t="s">
        <v>3256</v>
      </c>
      <c r="J35" s="548"/>
      <c r="K35" s="574"/>
      <c r="L35" s="2021"/>
      <c r="M35" s="2011"/>
      <c r="N35" s="2011"/>
      <c r="O35" s="2020"/>
      <c r="P35" s="3662"/>
      <c r="Q35" s="1504"/>
      <c r="R35" s="1505"/>
      <c r="S35" s="1506"/>
      <c r="T35" s="1505"/>
      <c r="U35" s="1506"/>
      <c r="V35" s="1505"/>
      <c r="W35" s="1506"/>
      <c r="X35" s="1499"/>
      <c r="Y35" s="3662"/>
      <c r="Z35" s="1507"/>
      <c r="AA35" s="1508">
        <v>1</v>
      </c>
      <c r="AB35" s="1508">
        <v>1</v>
      </c>
      <c r="AC35" s="1508">
        <v>1</v>
      </c>
    </row>
    <row r="36" spans="1:29" ht="20.25">
      <c r="A36" s="525"/>
      <c r="B36" s="575" t="s">
        <v>543</v>
      </c>
      <c r="C36" s="573" t="s">
        <v>1405</v>
      </c>
      <c r="D36" s="568">
        <v>100</v>
      </c>
      <c r="E36" s="576" t="s">
        <v>1403</v>
      </c>
      <c r="F36" s="533">
        <f>SUMIF(110:110,E36,111:111)-SUMIF(110:110,C36,111:111)+100</f>
        <v>101</v>
      </c>
      <c r="G36" s="573" t="s">
        <v>1405</v>
      </c>
      <c r="H36" s="533">
        <f>SUMIF(110:110,G36,111:111)-SUMIF(110:110,C36,111:111)+100</f>
        <v>100</v>
      </c>
      <c r="I36" s="576" t="s">
        <v>1401</v>
      </c>
      <c r="J36" s="533">
        <f>SUMIF(110:110,I36,111:111)-SUMIF(110:110,C36,111:111)+100</f>
        <v>102</v>
      </c>
      <c r="K36" s="577">
        <v>1</v>
      </c>
      <c r="L36" s="2021"/>
      <c r="M36" s="2011"/>
      <c r="N36" s="2011"/>
      <c r="O36" s="2020"/>
      <c r="P36" s="3662"/>
      <c r="Q36" s="1504" t="str">
        <f t="shared" si="8"/>
        <v>土地级别</v>
      </c>
      <c r="R36" s="1505" t="s">
        <v>8</v>
      </c>
      <c r="S36" s="1506">
        <f t="shared" si="10"/>
        <v>101</v>
      </c>
      <c r="T36" s="1505" t="s">
        <v>8</v>
      </c>
      <c r="U36" s="1506">
        <f t="shared" si="11"/>
        <v>100</v>
      </c>
      <c r="V36" s="1505" t="s">
        <v>8</v>
      </c>
      <c r="W36" s="1506">
        <f t="shared" si="12"/>
        <v>102</v>
      </c>
      <c r="X36" s="1499"/>
      <c r="Y36" s="3662"/>
      <c r="Z36" s="1507" t="str">
        <f t="shared" si="13"/>
        <v>土地级别</v>
      </c>
      <c r="AA36" s="1508">
        <f t="shared" si="3"/>
        <v>0.99009900990099009</v>
      </c>
      <c r="AB36" s="1508">
        <f t="shared" si="4"/>
        <v>1</v>
      </c>
      <c r="AC36" s="1508">
        <f t="shared" si="5"/>
        <v>0.98039215686274506</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662"/>
      <c r="Q37" s="1504">
        <f t="shared" si="8"/>
        <v>111</v>
      </c>
      <c r="R37" s="1505" t="s">
        <v>8</v>
      </c>
      <c r="S37" s="1506">
        <f t="shared" si="10"/>
        <v>100</v>
      </c>
      <c r="T37" s="1505" t="s">
        <v>8</v>
      </c>
      <c r="U37" s="1506">
        <f t="shared" si="11"/>
        <v>100</v>
      </c>
      <c r="V37" s="1505" t="s">
        <v>8</v>
      </c>
      <c r="W37" s="1506">
        <f t="shared" si="12"/>
        <v>100</v>
      </c>
      <c r="X37" s="1499"/>
      <c r="Y37" s="3662"/>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663" t="s">
        <v>544</v>
      </c>
      <c r="Q38" s="1504">
        <f t="shared" si="8"/>
        <v>111</v>
      </c>
      <c r="R38" s="1505" t="s">
        <v>8</v>
      </c>
      <c r="S38" s="1506">
        <f t="shared" si="10"/>
        <v>100</v>
      </c>
      <c r="T38" s="1505" t="s">
        <v>8</v>
      </c>
      <c r="U38" s="1506">
        <f t="shared" si="11"/>
        <v>100</v>
      </c>
      <c r="V38" s="1505" t="s">
        <v>8</v>
      </c>
      <c r="W38" s="1506">
        <f t="shared" si="12"/>
        <v>100</v>
      </c>
      <c r="X38" s="1499"/>
      <c r="Y38" s="3664" t="s">
        <v>544</v>
      </c>
      <c r="Z38" s="1507">
        <f t="shared" si="13"/>
        <v>111</v>
      </c>
      <c r="AA38" s="1508">
        <f t="shared" si="3"/>
        <v>1</v>
      </c>
      <c r="AB38" s="1508">
        <f t="shared" si="4"/>
        <v>1</v>
      </c>
      <c r="AC38" s="1508">
        <f t="shared" si="5"/>
        <v>1</v>
      </c>
    </row>
    <row r="39" spans="1:29" s="1290"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664"/>
      <c r="Q39" s="1504">
        <f t="shared" si="8"/>
        <v>111</v>
      </c>
      <c r="R39" s="1509" t="s">
        <v>8</v>
      </c>
      <c r="S39" s="1510">
        <f t="shared" si="10"/>
        <v>100</v>
      </c>
      <c r="T39" s="1509" t="s">
        <v>8</v>
      </c>
      <c r="U39" s="1510">
        <f t="shared" si="11"/>
        <v>100</v>
      </c>
      <c r="V39" s="1509" t="s">
        <v>8</v>
      </c>
      <c r="W39" s="1510">
        <f t="shared" si="12"/>
        <v>100</v>
      </c>
      <c r="X39" s="1511"/>
      <c r="Y39" s="3664"/>
      <c r="Z39" s="1512">
        <f t="shared" si="13"/>
        <v>111</v>
      </c>
      <c r="AA39" s="1508">
        <f t="shared" si="3"/>
        <v>1</v>
      </c>
      <c r="AB39" s="1508">
        <f t="shared" si="4"/>
        <v>1</v>
      </c>
      <c r="AC39" s="1508">
        <f t="shared" si="5"/>
        <v>1</v>
      </c>
    </row>
    <row r="40" spans="1:29" ht="20.25">
      <c r="A40" s="2621" t="s">
        <v>2732</v>
      </c>
      <c r="B40" s="588" t="s">
        <v>546</v>
      </c>
      <c r="C40" s="3338">
        <f>权属信息!O22</f>
        <v>101025.72</v>
      </c>
      <c r="D40" s="590">
        <v>100</v>
      </c>
      <c r="E40" s="589">
        <f>土地案例!D7-土地案例!Y7</f>
        <v>93698.129000000001</v>
      </c>
      <c r="F40" s="590">
        <f>LOOKUP(E40,119:119,120:120)-LOOKUP(C40,119:119,120:120)+100</f>
        <v>100</v>
      </c>
      <c r="G40" s="589">
        <f>土地案例!D8-土地案例!Y8</f>
        <v>68140.63</v>
      </c>
      <c r="H40" s="590">
        <f>LOOKUP(G40,119:119,120:120)-LOOKUP(C40,119:119,120:120)+100</f>
        <v>100</v>
      </c>
      <c r="I40" s="591">
        <f>土地案例!D10-土地案例!Y10</f>
        <v>46793.142999999996</v>
      </c>
      <c r="J40" s="590">
        <f>LOOKUP(I40,119:119,120:120)-LOOKUP(C40,119:119,120:120)+100</f>
        <v>99</v>
      </c>
      <c r="K40" s="574"/>
      <c r="L40" s="2021"/>
      <c r="M40" s="2011"/>
      <c r="N40" s="2011"/>
      <c r="O40" s="2020"/>
      <c r="P40" s="3664"/>
      <c r="Q40" s="1504" t="str">
        <f>B40</f>
        <v>宗地面积</v>
      </c>
      <c r="R40" s="1505" t="s">
        <v>8</v>
      </c>
      <c r="S40" s="1506">
        <f t="shared" si="10"/>
        <v>100</v>
      </c>
      <c r="T40" s="1505" t="s">
        <v>8</v>
      </c>
      <c r="U40" s="1506">
        <f t="shared" si="11"/>
        <v>100</v>
      </c>
      <c r="V40" s="1505" t="s">
        <v>8</v>
      </c>
      <c r="W40" s="1506">
        <f t="shared" si="12"/>
        <v>99</v>
      </c>
      <c r="X40" s="1499"/>
      <c r="Y40" s="3664"/>
      <c r="Z40" s="1507" t="str">
        <f t="shared" si="13"/>
        <v>宗地面积</v>
      </c>
      <c r="AA40" s="1508">
        <f t="shared" si="3"/>
        <v>1</v>
      </c>
      <c r="AB40" s="1508">
        <f t="shared" si="4"/>
        <v>1</v>
      </c>
      <c r="AC40" s="1508">
        <f t="shared" si="5"/>
        <v>1.0101010101010102</v>
      </c>
    </row>
    <row r="41" spans="1:29" ht="20.25">
      <c r="A41" s="587"/>
      <c r="B41" s="520" t="s">
        <v>547</v>
      </c>
      <c r="C41" s="592" t="s">
        <v>3244</v>
      </c>
      <c r="D41" s="533">
        <v>100</v>
      </c>
      <c r="E41" s="592" t="s">
        <v>3244</v>
      </c>
      <c r="F41" s="533">
        <f>SUMIF(121:121,E41,122:122)-SUMIF(121:121,C41,122:122)+100</f>
        <v>100</v>
      </c>
      <c r="G41" s="592" t="s">
        <v>3244</v>
      </c>
      <c r="H41" s="533">
        <f>SUMIF(121:121,G41,122:122)-SUMIF(121:121,C41,122:122)+100</f>
        <v>100</v>
      </c>
      <c r="I41" s="592" t="s">
        <v>3246</v>
      </c>
      <c r="J41" s="533">
        <f>SUMIF(121:121,I41,122:122)-SUMIF(121:121,C41,122:122)+100</f>
        <v>98</v>
      </c>
      <c r="K41" s="577">
        <v>2</v>
      </c>
      <c r="L41" s="2021"/>
      <c r="M41" s="2011"/>
      <c r="N41" s="2011"/>
      <c r="O41" s="2020"/>
      <c r="P41" s="3664"/>
      <c r="Q41" s="1504" t="str">
        <f t="shared" ref="Q41:Q47" si="14">B41</f>
        <v>宗地形状</v>
      </c>
      <c r="R41" s="1505" t="s">
        <v>8</v>
      </c>
      <c r="S41" s="1506">
        <f t="shared" si="10"/>
        <v>100</v>
      </c>
      <c r="T41" s="1505" t="s">
        <v>8</v>
      </c>
      <c r="U41" s="1506">
        <f t="shared" si="11"/>
        <v>100</v>
      </c>
      <c r="V41" s="1505" t="s">
        <v>8</v>
      </c>
      <c r="W41" s="1506">
        <f t="shared" si="12"/>
        <v>98</v>
      </c>
      <c r="X41" s="1499"/>
      <c r="Y41" s="3664"/>
      <c r="Z41" s="1507" t="str">
        <f t="shared" si="13"/>
        <v>宗地形状</v>
      </c>
      <c r="AA41" s="1508">
        <f t="shared" si="3"/>
        <v>1</v>
      </c>
      <c r="AB41" s="1508">
        <f t="shared" si="4"/>
        <v>1</v>
      </c>
      <c r="AC41" s="1508">
        <f t="shared" si="5"/>
        <v>1.0204081632653061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664"/>
      <c r="Q42" s="1504" t="str">
        <f t="shared" si="14"/>
        <v>临街宽度及深度</v>
      </c>
      <c r="R42" s="1505" t="s">
        <v>8</v>
      </c>
      <c r="S42" s="1506">
        <f t="shared" si="10"/>
        <v>100</v>
      </c>
      <c r="T42" s="1505" t="s">
        <v>8</v>
      </c>
      <c r="U42" s="1506">
        <f t="shared" si="11"/>
        <v>100</v>
      </c>
      <c r="V42" s="1505" t="s">
        <v>8</v>
      </c>
      <c r="W42" s="1506">
        <f t="shared" si="12"/>
        <v>100</v>
      </c>
      <c r="X42" s="1499"/>
      <c r="Y42" s="3664"/>
      <c r="Z42" s="1507" t="str">
        <f t="shared" si="13"/>
        <v>临街宽度及深度</v>
      </c>
      <c r="AA42" s="1508">
        <f t="shared" si="3"/>
        <v>1</v>
      </c>
      <c r="AB42" s="1508">
        <f t="shared" si="4"/>
        <v>1</v>
      </c>
      <c r="AC42" s="1508">
        <f t="shared" si="5"/>
        <v>1</v>
      </c>
    </row>
    <row r="43" spans="1:29" s="1200" customFormat="1" ht="20.25">
      <c r="A43" s="593"/>
      <c r="B43" s="1806" t="s">
        <v>2407</v>
      </c>
      <c r="C43" s="594" t="s">
        <v>3238</v>
      </c>
      <c r="D43" s="252">
        <v>100</v>
      </c>
      <c r="E43" s="594" t="s">
        <v>3240</v>
      </c>
      <c r="F43" s="533">
        <f>SUMIF(125:125,E43,126:126)-SUMIF(125:125,C43,126:126)+100</f>
        <v>98</v>
      </c>
      <c r="G43" s="594" t="s">
        <v>3238</v>
      </c>
      <c r="H43" s="533">
        <f>SUMIF(125:125,G43,126:126)-SUMIF(125:125,C43,126:126)+100</f>
        <v>100</v>
      </c>
      <c r="I43" s="594" t="s">
        <v>3238</v>
      </c>
      <c r="J43" s="533">
        <f>SUMIF(125:125,I43,126:126)-SUMIF(125:125,C43,126:126)+100</f>
        <v>100</v>
      </c>
      <c r="K43" s="577">
        <v>2</v>
      </c>
      <c r="L43" s="2014"/>
      <c r="M43" s="2011"/>
      <c r="N43" s="2011"/>
      <c r="O43" s="2016"/>
      <c r="P43" s="3664"/>
      <c r="Q43" s="1504" t="str">
        <f t="shared" si="14"/>
        <v>宗地开发程度</v>
      </c>
      <c r="R43" s="1500" t="s">
        <v>8</v>
      </c>
      <c r="S43" s="1501">
        <f t="shared" si="10"/>
        <v>98</v>
      </c>
      <c r="T43" s="1500" t="s">
        <v>8</v>
      </c>
      <c r="U43" s="1501">
        <f t="shared" si="11"/>
        <v>100</v>
      </c>
      <c r="V43" s="1500" t="s">
        <v>8</v>
      </c>
      <c r="W43" s="1501">
        <f t="shared" si="12"/>
        <v>100</v>
      </c>
      <c r="X43" s="1502"/>
      <c r="Y43" s="3664"/>
      <c r="Z43" s="1130" t="str">
        <f t="shared" si="13"/>
        <v>宗地开发程度</v>
      </c>
      <c r="AA43" s="1503">
        <f t="shared" si="3"/>
        <v>1.0204081632653061</v>
      </c>
      <c r="AB43" s="1503">
        <f t="shared" si="4"/>
        <v>1</v>
      </c>
      <c r="AC43" s="1503">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1"/>
      <c r="M44" s="2011"/>
      <c r="N44" s="2011"/>
      <c r="O44" s="2020"/>
      <c r="P44" s="3664" t="s">
        <v>544</v>
      </c>
      <c r="Q44" s="1504" t="str">
        <f t="shared" si="14"/>
        <v>工程地质条件</v>
      </c>
      <c r="R44" s="1505" t="s">
        <v>8</v>
      </c>
      <c r="S44" s="1506">
        <f t="shared" si="10"/>
        <v>100</v>
      </c>
      <c r="T44" s="1505" t="s">
        <v>8</v>
      </c>
      <c r="U44" s="1506">
        <f t="shared" si="11"/>
        <v>100</v>
      </c>
      <c r="V44" s="1505" t="s">
        <v>8</v>
      </c>
      <c r="W44" s="1506">
        <f t="shared" si="12"/>
        <v>100</v>
      </c>
      <c r="X44" s="1499"/>
      <c r="Y44" s="3664"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664"/>
      <c r="Q45" s="1504">
        <f t="shared" si="14"/>
        <v>111</v>
      </c>
      <c r="R45" s="1505" t="s">
        <v>8</v>
      </c>
      <c r="S45" s="1506">
        <f t="shared" si="10"/>
        <v>100</v>
      </c>
      <c r="T45" s="1505" t="s">
        <v>8</v>
      </c>
      <c r="U45" s="1506">
        <f t="shared" si="11"/>
        <v>100</v>
      </c>
      <c r="V45" s="1505" t="s">
        <v>8</v>
      </c>
      <c r="W45" s="1506">
        <f t="shared" si="12"/>
        <v>100</v>
      </c>
      <c r="X45" s="1499"/>
      <c r="Y45" s="3664"/>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664"/>
      <c r="Q46" s="1504">
        <f t="shared" si="14"/>
        <v>111</v>
      </c>
      <c r="R46" s="1505" t="s">
        <v>8</v>
      </c>
      <c r="S46" s="1506">
        <f t="shared" si="10"/>
        <v>100</v>
      </c>
      <c r="T46" s="1505" t="s">
        <v>8</v>
      </c>
      <c r="U46" s="1506">
        <f t="shared" si="11"/>
        <v>100</v>
      </c>
      <c r="V46" s="1505" t="s">
        <v>8</v>
      </c>
      <c r="W46" s="1506">
        <f t="shared" si="12"/>
        <v>100</v>
      </c>
      <c r="X46" s="1499"/>
      <c r="Y46" s="3664"/>
      <c r="Z46" s="1507">
        <f t="shared" si="13"/>
        <v>111</v>
      </c>
      <c r="AA46" s="1508">
        <f t="shared" si="3"/>
        <v>1</v>
      </c>
      <c r="AB46" s="1508">
        <f t="shared" si="4"/>
        <v>1</v>
      </c>
      <c r="AC46" s="1508">
        <f t="shared" si="5"/>
        <v>1</v>
      </c>
    </row>
    <row r="47" spans="1:29" s="1290"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664"/>
      <c r="Q47" s="1504">
        <f t="shared" si="14"/>
        <v>111</v>
      </c>
      <c r="R47" s="1509" t="s">
        <v>8</v>
      </c>
      <c r="S47" s="1510">
        <f t="shared" si="10"/>
        <v>100</v>
      </c>
      <c r="T47" s="1509" t="s">
        <v>8</v>
      </c>
      <c r="U47" s="1510">
        <f t="shared" si="11"/>
        <v>100</v>
      </c>
      <c r="V47" s="1509" t="s">
        <v>8</v>
      </c>
      <c r="W47" s="1510">
        <f t="shared" si="12"/>
        <v>100</v>
      </c>
      <c r="X47" s="1511"/>
      <c r="Y47" s="3664"/>
      <c r="Z47" s="1512">
        <f t="shared" si="13"/>
        <v>111</v>
      </c>
      <c r="AA47" s="1508">
        <f t="shared" si="3"/>
        <v>1</v>
      </c>
      <c r="AB47" s="1508">
        <f t="shared" si="4"/>
        <v>1</v>
      </c>
      <c r="AC47" s="1508">
        <f t="shared" si="5"/>
        <v>1</v>
      </c>
    </row>
    <row r="48" spans="1:29" ht="20.25">
      <c r="A48" s="600" t="s">
        <v>550</v>
      </c>
      <c r="B48" s="601" t="s">
        <v>3207</v>
      </c>
      <c r="C48" s="602" t="s">
        <v>1</v>
      </c>
      <c r="D48" s="603"/>
      <c r="E48" s="604">
        <f>土地案例!O7</f>
        <v>21209</v>
      </c>
      <c r="F48" s="605"/>
      <c r="G48" s="606">
        <f>土地案例!O8</f>
        <v>21559</v>
      </c>
      <c r="H48" s="607"/>
      <c r="I48" s="604">
        <f>土地案例!O10</f>
        <v>23332</v>
      </c>
      <c r="J48" s="607"/>
      <c r="K48" s="1291"/>
      <c r="L48" s="2023"/>
      <c r="M48" s="2011"/>
      <c r="N48" s="2011"/>
      <c r="O48" s="2024"/>
      <c r="P48" s="3627" t="str">
        <f>A48</f>
        <v>成交单价</v>
      </c>
      <c r="Q48" s="3627"/>
      <c r="R48" s="3628">
        <f>E48</f>
        <v>21209</v>
      </c>
      <c r="S48" s="3628"/>
      <c r="T48" s="3628">
        <f>G48</f>
        <v>21559</v>
      </c>
      <c r="U48" s="3628"/>
      <c r="V48" s="3628">
        <f>I48</f>
        <v>23332</v>
      </c>
      <c r="W48" s="3628"/>
      <c r="X48" s="1494"/>
      <c r="Y48" s="1513"/>
      <c r="Z48" s="1494"/>
      <c r="AA48" s="1494"/>
      <c r="AB48" s="1494"/>
      <c r="AC48" s="1494"/>
    </row>
    <row r="49" spans="1:29" ht="21" thickBot="1">
      <c r="A49" s="608" t="s">
        <v>2670</v>
      </c>
      <c r="B49" s="609"/>
      <c r="C49" s="610">
        <f>R50</f>
        <v>24705</v>
      </c>
      <c r="D49" s="3009" t="s">
        <v>3380</v>
      </c>
      <c r="E49" s="610">
        <f>R49</f>
        <v>21796</v>
      </c>
      <c r="F49" s="3010">
        <v>0.25</v>
      </c>
      <c r="G49" s="611">
        <f>T49</f>
        <v>22264</v>
      </c>
      <c r="H49" s="3010">
        <v>0.25</v>
      </c>
      <c r="I49" s="610">
        <f>V49</f>
        <v>27380</v>
      </c>
      <c r="J49" s="3010">
        <v>0.5</v>
      </c>
      <c r="K49" s="3011">
        <f>F49+H49+J49</f>
        <v>1</v>
      </c>
      <c r="L49" s="2023"/>
      <c r="M49" s="2011"/>
      <c r="N49" s="2011"/>
      <c r="O49" s="2024"/>
      <c r="P49" s="3627" t="str">
        <f>A49</f>
        <v>比较价格（元/平方米）</v>
      </c>
      <c r="Q49" s="3627"/>
      <c r="R49" s="3629">
        <f>ROUND(PRODUCT(R48,AA9:AA47),0)</f>
        <v>21796</v>
      </c>
      <c r="S49" s="3629"/>
      <c r="T49" s="3629">
        <f>ROUND(PRODUCT(T48,AB9:AB47),0)</f>
        <v>22264</v>
      </c>
      <c r="U49" s="3629"/>
      <c r="V49" s="3629">
        <f>ROUND(PRODUCT(V48,AC9:AC47),0)</f>
        <v>27380</v>
      </c>
      <c r="W49" s="3629"/>
      <c r="X49" s="1494"/>
      <c r="Y49" s="1494"/>
      <c r="Z49" s="1494"/>
      <c r="AA49" s="1494"/>
      <c r="AB49" s="1494"/>
      <c r="AC49" s="1494"/>
    </row>
    <row r="50" spans="1:29" ht="21" thickBot="1">
      <c r="A50" s="612" t="s">
        <v>3281</v>
      </c>
      <c r="B50" s="613"/>
      <c r="C50" s="614">
        <f>R50</f>
        <v>24705</v>
      </c>
      <c r="D50" s="614"/>
      <c r="E50" s="614"/>
      <c r="F50" s="614"/>
      <c r="G50" s="614"/>
      <c r="H50" s="614"/>
      <c r="I50" s="614"/>
      <c r="J50" s="614"/>
      <c r="K50" s="1292"/>
      <c r="L50" s="2023"/>
      <c r="M50" s="2011"/>
      <c r="N50" s="2011"/>
      <c r="O50" s="2024"/>
      <c r="P50" s="3624" t="str">
        <f>A50</f>
        <v>估价对象的比较价格（楼面单价，元/平方米）</v>
      </c>
      <c r="Q50" s="3625"/>
      <c r="R50" s="3626">
        <f>ROUND(IF(D49="简单平均",AVERAGE(R49:W49),R49*F49+T49*H49+V49*J49),0)</f>
        <v>24705</v>
      </c>
      <c r="S50" s="3626"/>
      <c r="T50" s="3626"/>
      <c r="U50" s="3626"/>
      <c r="V50" s="3626"/>
      <c r="W50" s="3626"/>
      <c r="X50" s="1494"/>
      <c r="Y50" s="1494"/>
      <c r="Z50" s="1494"/>
      <c r="AA50" s="1494"/>
      <c r="AB50" s="1494"/>
      <c r="AC50" s="1494"/>
    </row>
    <row r="51" spans="1:29" ht="20.25">
      <c r="A51" s="3207"/>
      <c r="B51" s="3207"/>
      <c r="C51" s="3207"/>
      <c r="D51" s="3207"/>
      <c r="E51" s="3207"/>
      <c r="F51" s="3207"/>
      <c r="G51" s="3209"/>
      <c r="H51" s="3207"/>
      <c r="I51" s="3207"/>
      <c r="J51" s="3207"/>
      <c r="K51" s="3210"/>
      <c r="L51" s="2028"/>
      <c r="M51" s="2011"/>
      <c r="N51" s="2011"/>
      <c r="O51" s="2024"/>
      <c r="P51" s="2024"/>
      <c r="Q51" s="2024"/>
      <c r="R51" s="2024"/>
      <c r="S51" s="2024"/>
      <c r="T51" s="2024"/>
      <c r="U51" s="2024"/>
      <c r="V51" s="2024"/>
      <c r="W51" s="2024"/>
      <c r="X51" s="2024"/>
      <c r="Y51" s="2024"/>
      <c r="Z51" s="2024"/>
      <c r="AA51" s="2024"/>
      <c r="AB51" s="2024"/>
      <c r="AC51" s="2024"/>
    </row>
    <row r="52" spans="1:29" ht="20.25">
      <c r="A52" s="3207"/>
      <c r="B52" s="3207"/>
      <c r="C52" s="3207"/>
      <c r="D52" s="3207"/>
      <c r="E52" s="3207"/>
      <c r="F52" s="3207"/>
      <c r="G52" s="3207"/>
      <c r="H52" s="3207"/>
      <c r="I52" s="3207"/>
      <c r="J52" s="3207"/>
      <c r="K52" s="3210"/>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f>IF(E48&lt;E49,E49/E48-1,E48/E49-1)</f>
        <v>2.7676929605356282E-2</v>
      </c>
      <c r="F53" s="618" t="str">
        <f>IF(OR(E53&gt;=0.3,E53&lt;=-0.3),"超过30%","")</f>
        <v/>
      </c>
      <c r="G53" s="617">
        <f>IF(G48&lt;G49,G49/G48-1,G48/G49-1)</f>
        <v>3.2700960155851444E-2</v>
      </c>
      <c r="H53" s="618" t="str">
        <f>IF(OR(G53&gt;=0.3,G53&lt;=-0.3),"超过30%","")</f>
        <v/>
      </c>
      <c r="I53" s="617">
        <f>IF(I48&lt;I49,I49/I48-1,I48/I49-1)</f>
        <v>0.17349562832161847</v>
      </c>
      <c r="J53" s="618" t="str">
        <f>IF(OR(I53&gt;=0.3,I53&lt;=-0.3),"超过30%","")</f>
        <v/>
      </c>
      <c r="K53" s="3210"/>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f>IF(E49&lt;G49,G49/E49-1,E49/G49-1)</f>
        <v>2.1471829693521682E-2</v>
      </c>
      <c r="F54" s="618" t="str">
        <f>IF(OR(E54&gt;=0.2,E54&lt;=-0.2),"超过20%","")</f>
        <v/>
      </c>
      <c r="G54" s="617">
        <f>IF(G49&lt;I49,I49/G49-1,G49/I49-1)</f>
        <v>0.22978799856270204</v>
      </c>
      <c r="H54" s="618" t="str">
        <f>IF(OR(G54&gt;=0.2,G54&lt;=-0.2),"超过20%","")</f>
        <v>超过20%</v>
      </c>
      <c r="I54" s="617">
        <f>IF(I49&lt;E49,E49/I49-1,I49/E49-1)</f>
        <v>0.25619379702697742</v>
      </c>
      <c r="J54" s="618" t="str">
        <f>IF(OR(I54&gt;=0.2,I54&lt;=-0.2),"超过20%","")</f>
        <v>超过20%</v>
      </c>
      <c r="K54" s="3210"/>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f>IF(E48&lt;G48,G48/E48-1,E48/G48-1)</f>
        <v>1.6502428214437259E-2</v>
      </c>
      <c r="F55" s="618" t="str">
        <f>IF(OR(E55&gt;=0.3,E55&lt;=-0.3),"超过30%","")</f>
        <v/>
      </c>
      <c r="G55" s="617">
        <f>IF(G48&lt;I48,I48/G48-1,G48/I48-1)</f>
        <v>8.2239435966417807E-2</v>
      </c>
      <c r="H55" s="618" t="str">
        <f>IF(OR(G55&gt;=0.3,G55&lt;=-0.3),"超过30%","")</f>
        <v/>
      </c>
      <c r="I55" s="617">
        <f>IF(I48&lt;E48,E48/I48-1,I48/E48-1)</f>
        <v>0.1000990145692866</v>
      </c>
      <c r="J55" s="618" t="str">
        <f>IF(OR(I55&gt;=0.3,I55&lt;=-0.3),"超过30%","")</f>
        <v/>
      </c>
      <c r="K55" s="3211"/>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 thickBot="1">
      <c r="A56" s="2025"/>
      <c r="B56" s="2026"/>
      <c r="C56" s="2029"/>
      <c r="D56" s="2025"/>
      <c r="E56" s="2025"/>
      <c r="F56" s="2025"/>
      <c r="G56" s="2025"/>
      <c r="H56" s="2025"/>
      <c r="I56" s="2025"/>
      <c r="J56" s="2025"/>
      <c r="K56" s="3211"/>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1714</v>
      </c>
      <c r="D57" s="2104" t="s">
        <v>2279</v>
      </c>
      <c r="E57" s="622" t="s">
        <v>556</v>
      </c>
      <c r="F57" s="623" t="s">
        <v>557</v>
      </c>
      <c r="G57" s="3653" t="s">
        <v>2267</v>
      </c>
      <c r="H57" s="3654"/>
      <c r="I57" s="1491" t="s">
        <v>1712</v>
      </c>
      <c r="J57" s="1491">
        <f>项目基本情况!F41</f>
        <v>0</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2.75">
      <c r="A58" s="624" t="s">
        <v>558</v>
      </c>
      <c r="B58" s="625">
        <f>C50</f>
        <v>24705</v>
      </c>
      <c r="C58" s="626">
        <v>1</v>
      </c>
      <c r="D58" s="2105">
        <v>1</v>
      </c>
      <c r="E58" s="626">
        <f>'数据-汇总表'!E8+'数据-汇总表'!E9</f>
        <v>41490.493000000002</v>
      </c>
      <c r="F58" s="627">
        <f t="shared" ref="F58:F67" si="15">ROUND(B58*E58/10000,0)</f>
        <v>102502</v>
      </c>
      <c r="G58" s="3655"/>
      <c r="H58" s="3656"/>
      <c r="I58" s="1492">
        <v>1</v>
      </c>
      <c r="J58" s="1492">
        <v>1</v>
      </c>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559</v>
      </c>
      <c r="B59" s="629">
        <f>ROUND($C$50*C59*D59,0)</f>
        <v>3706</v>
      </c>
      <c r="C59" s="371">
        <f t="shared" ref="C59:C67" si="16">IF($C$57="北京市系数",I59,J59)</f>
        <v>0.6</v>
      </c>
      <c r="D59" s="2106">
        <v>0.25</v>
      </c>
      <c r="E59" s="630">
        <v>0</v>
      </c>
      <c r="F59" s="627">
        <f t="shared" si="15"/>
        <v>0</v>
      </c>
      <c r="G59" s="3657" t="s">
        <v>2268</v>
      </c>
      <c r="H59" s="1859" t="str">
        <f>项目基本情况!B43</f>
        <v>九级</v>
      </c>
      <c r="I59" s="1492">
        <f>SUMIF(修正!$A$45:$A$56,H59,修正!B45:B56)</f>
        <v>0.6</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560</v>
      </c>
      <c r="B60" s="629">
        <f t="shared" ref="B60:B67" si="17">ROUND($C$50*C60*D60,0)</f>
        <v>1853</v>
      </c>
      <c r="C60" s="371">
        <f t="shared" si="16"/>
        <v>0.3</v>
      </c>
      <c r="D60" s="2106">
        <v>0.25</v>
      </c>
      <c r="E60" s="630">
        <v>0</v>
      </c>
      <c r="F60" s="627">
        <f t="shared" si="15"/>
        <v>0</v>
      </c>
      <c r="G60" s="3657"/>
      <c r="H60" s="1859" t="str">
        <f>项目基本情况!B43</f>
        <v>九级</v>
      </c>
      <c r="I60" s="1492">
        <f>SUMIF(修正!$A$45:$A$56,H60,修正!C45:C56)</f>
        <v>0.3</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561</v>
      </c>
      <c r="B61" s="629">
        <f t="shared" si="17"/>
        <v>1235</v>
      </c>
      <c r="C61" s="371">
        <f t="shared" si="16"/>
        <v>0.2</v>
      </c>
      <c r="D61" s="2106">
        <v>0.25</v>
      </c>
      <c r="E61" s="630">
        <v>0</v>
      </c>
      <c r="F61" s="627">
        <f t="shared" si="15"/>
        <v>0</v>
      </c>
      <c r="G61" s="3657"/>
      <c r="H61" s="1859" t="str">
        <f>项目基本情况!B43</f>
        <v>九级</v>
      </c>
      <c r="I61" s="1492">
        <f>SUMIF(修正!$A$45:$A$56,H61,修正!D45:D56)</f>
        <v>0.2</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2.75">
      <c r="A62" s="628" t="s">
        <v>562</v>
      </c>
      <c r="B62" s="629">
        <f t="shared" si="17"/>
        <v>1235</v>
      </c>
      <c r="C62" s="371">
        <f t="shared" si="16"/>
        <v>0.2</v>
      </c>
      <c r="D62" s="2106">
        <v>0.25</v>
      </c>
      <c r="E62" s="630">
        <v>0</v>
      </c>
      <c r="F62" s="627">
        <f t="shared" si="15"/>
        <v>0</v>
      </c>
      <c r="G62" s="3657"/>
      <c r="H62" s="1859" t="str">
        <f>项目基本情况!B43</f>
        <v>九级</v>
      </c>
      <c r="I62" s="1492">
        <f>SUMIF(修正!$A$45:$A$56,H62,修正!E45:E56)</f>
        <v>0.2</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2.75">
      <c r="A63" s="2208" t="s">
        <v>2314</v>
      </c>
      <c r="B63" s="629">
        <f t="shared" si="17"/>
        <v>0</v>
      </c>
      <c r="C63" s="371">
        <f t="shared" si="16"/>
        <v>0</v>
      </c>
      <c r="D63" s="2106">
        <v>0.25</v>
      </c>
      <c r="E63" s="632">
        <f>'数据-汇总表'!E11</f>
        <v>0</v>
      </c>
      <c r="F63" s="627">
        <f t="shared" si="15"/>
        <v>0</v>
      </c>
      <c r="G63" s="1856" t="s">
        <v>2269</v>
      </c>
      <c r="H63" s="1859">
        <f>项目基本情况!C43</f>
        <v>0</v>
      </c>
      <c r="I63" s="1492">
        <f>SUMIF(修正!$A$45:$A$56,H63,修正!F45:F56)</f>
        <v>0</v>
      </c>
      <c r="J63" s="1493"/>
      <c r="K63" s="3212"/>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2.75">
      <c r="A64" s="628" t="s">
        <v>563</v>
      </c>
      <c r="B64" s="629">
        <f t="shared" si="17"/>
        <v>1235</v>
      </c>
      <c r="C64" s="371">
        <f t="shared" si="16"/>
        <v>0.2</v>
      </c>
      <c r="D64" s="2106">
        <v>0.25</v>
      </c>
      <c r="E64" s="632">
        <f>'数据-汇总表'!E12</f>
        <v>6701</v>
      </c>
      <c r="F64" s="627">
        <f t="shared" si="15"/>
        <v>828</v>
      </c>
      <c r="G64" s="1857" t="s">
        <v>913</v>
      </c>
      <c r="H64" s="1855" t="str">
        <f>IF(G64="商业",项目基本情况!B43,IF(G64="办公",项目基本情况!C43,IF(G64="住宅",项目基本情况!D43,项目基本情况!E43)))</f>
        <v>九级</v>
      </c>
      <c r="I64" s="1492">
        <f>SUMIF(修正!$A$45:$A$56,H64,修正!G45:G56)</f>
        <v>0.2</v>
      </c>
      <c r="J64" s="1493"/>
      <c r="K64" s="3212"/>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2.75">
      <c r="A65" s="628" t="s">
        <v>564</v>
      </c>
      <c r="B65" s="629">
        <f t="shared" si="17"/>
        <v>926</v>
      </c>
      <c r="C65" s="371">
        <f t="shared" si="16"/>
        <v>0.15</v>
      </c>
      <c r="D65" s="2106">
        <v>0.25</v>
      </c>
      <c r="E65" s="632">
        <f>'数据-汇总表'!E13</f>
        <v>12284</v>
      </c>
      <c r="F65" s="627">
        <f t="shared" si="15"/>
        <v>1137</v>
      </c>
      <c r="G65" s="1857" t="s">
        <v>913</v>
      </c>
      <c r="H65" s="1855" t="str">
        <f>IF(G65="商业",项目基本情况!B43,IF(G65="办公",项目基本情况!C43,IF(G65="住宅",项目基本情况!D43,项目基本情况!E43)))</f>
        <v>九级</v>
      </c>
      <c r="I65" s="1492">
        <f>SUMIF(修正!$A$45:$A$56,H65,修正!H45:H56)</f>
        <v>0.15</v>
      </c>
      <c r="J65" s="1493"/>
      <c r="K65" s="3212"/>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2.75">
      <c r="A66" s="628" t="s">
        <v>565</v>
      </c>
      <c r="B66" s="629">
        <f t="shared" si="17"/>
        <v>926</v>
      </c>
      <c r="C66" s="371">
        <f t="shared" si="16"/>
        <v>0.15</v>
      </c>
      <c r="D66" s="2106">
        <v>0.25</v>
      </c>
      <c r="E66" s="632">
        <f>'数据-汇总表'!E14</f>
        <v>0</v>
      </c>
      <c r="F66" s="627">
        <f t="shared" si="15"/>
        <v>0</v>
      </c>
      <c r="G66" s="1856" t="s">
        <v>2268</v>
      </c>
      <c r="H66" s="1859" t="str">
        <f>项目基本情况!B43</f>
        <v>九级</v>
      </c>
      <c r="I66" s="1492">
        <f>SUMIF(修正!$A$45:$A$56,H66,修正!H45:H56)</f>
        <v>0.15</v>
      </c>
      <c r="J66" s="1493"/>
      <c r="K66" s="3212"/>
      <c r="L66" s="2033"/>
      <c r="M66" s="2033"/>
      <c r="N66" s="2033"/>
      <c r="O66" s="2033"/>
      <c r="P66" s="2033"/>
      <c r="Q66" s="2033"/>
      <c r="R66" s="2033"/>
      <c r="S66" s="2033"/>
      <c r="T66" s="2033"/>
      <c r="U66" s="2033"/>
      <c r="V66" s="2033"/>
      <c r="W66" s="2033"/>
      <c r="X66" s="2033"/>
      <c r="Y66" s="2033"/>
      <c r="Z66" s="2033"/>
      <c r="AA66" s="2033"/>
      <c r="AB66" s="2033"/>
      <c r="AC66" s="2033"/>
    </row>
    <row r="67" spans="1:29" s="1296" customFormat="1" ht="13.5" thickBot="1">
      <c r="A67" s="628" t="s">
        <v>566</v>
      </c>
      <c r="B67" s="629">
        <f t="shared" si="17"/>
        <v>0</v>
      </c>
      <c r="C67" s="371">
        <f t="shared" si="16"/>
        <v>0</v>
      </c>
      <c r="D67" s="2106">
        <v>0.25</v>
      </c>
      <c r="E67" s="632">
        <f>'数据-汇总表'!E15</f>
        <v>0</v>
      </c>
      <c r="F67" s="627">
        <f t="shared" si="15"/>
        <v>0</v>
      </c>
      <c r="G67" s="1858" t="s">
        <v>2269</v>
      </c>
      <c r="H67" s="1860">
        <f>项目基本情况!C43</f>
        <v>0</v>
      </c>
      <c r="I67" s="1492">
        <f>SUMIF(修正!$A$45:$A$56,H67,修正!H45:H56)</f>
        <v>0</v>
      </c>
      <c r="J67" s="1493"/>
      <c r="K67" s="3212"/>
      <c r="L67" s="2033"/>
      <c r="M67" s="2033"/>
      <c r="N67" s="2033"/>
      <c r="O67" s="2033"/>
      <c r="P67" s="2033"/>
      <c r="Q67" s="2033"/>
      <c r="R67" s="2033"/>
      <c r="S67" s="2033"/>
      <c r="T67" s="2033"/>
      <c r="U67" s="2033"/>
      <c r="V67" s="2033"/>
      <c r="W67" s="2033"/>
      <c r="X67" s="2033"/>
      <c r="Y67" s="2033"/>
      <c r="Z67" s="2033"/>
      <c r="AA67" s="2033"/>
      <c r="AB67" s="2033"/>
      <c r="AC67" s="2033"/>
    </row>
    <row r="68" spans="1:29" s="1296" customFormat="1" ht="13.5" thickBot="1">
      <c r="A68" s="633" t="s">
        <v>567</v>
      </c>
      <c r="B68" s="634" t="s">
        <v>17</v>
      </c>
      <c r="C68" s="634" t="s">
        <v>18</v>
      </c>
      <c r="D68" s="634" t="s">
        <v>2280</v>
      </c>
      <c r="E68" s="634">
        <f>IF(B48="楼面地价",SUM(E58:E67),'数据-汇总表'!D3)</f>
        <v>60475.493000000002</v>
      </c>
      <c r="F68" s="635">
        <f>IF(B48="楼面地价",SUM(F58:F67),ROUND(C50*E68/10000,0))</f>
        <v>104467</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2021-12-1</v>
      </c>
      <c r="D70" s="2513">
        <f>EDATE(C70,-3)</f>
        <v>44440</v>
      </c>
      <c r="E70" s="2513">
        <f t="shared" ref="E70:N70" si="18">EDATE(D70,-3)</f>
        <v>44348</v>
      </c>
      <c r="F70" s="2513">
        <f t="shared" si="18"/>
        <v>44256</v>
      </c>
      <c r="G70" s="2513">
        <f t="shared" si="18"/>
        <v>44166</v>
      </c>
      <c r="H70" s="2513">
        <f t="shared" si="18"/>
        <v>44075</v>
      </c>
      <c r="I70" s="2513">
        <f t="shared" si="18"/>
        <v>43983</v>
      </c>
      <c r="J70" s="2513">
        <f t="shared" si="18"/>
        <v>43891</v>
      </c>
      <c r="K70" s="2513">
        <f t="shared" si="18"/>
        <v>43800</v>
      </c>
      <c r="L70" s="2513">
        <f t="shared" si="18"/>
        <v>43709</v>
      </c>
      <c r="M70" s="2513">
        <f t="shared" si="18"/>
        <v>43617</v>
      </c>
      <c r="N70" s="2513">
        <f t="shared" si="18"/>
        <v>43525</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5">
      <c r="A72" s="2418" t="s">
        <v>2511</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0" customFormat="1" ht="27" customHeight="1">
      <c r="A73" s="2520" t="s">
        <v>913</v>
      </c>
      <c r="B73" s="472" t="str">
        <f>"北京市平均增长率"&amp;TEXT(SUMIF(基准地价!N21:N25,A73,基准地价!P21:P25),"0.00%")</f>
        <v>北京市平均增长率0.00%</v>
      </c>
      <c r="C73" s="880">
        <v>100</v>
      </c>
      <c r="D73" s="721">
        <v>100</v>
      </c>
      <c r="E73" s="721">
        <f>D73-0.5</f>
        <v>99.5</v>
      </c>
      <c r="F73" s="721">
        <f>E73</f>
        <v>99.5</v>
      </c>
      <c r="G73" s="721">
        <f>F73-0.5</f>
        <v>99</v>
      </c>
      <c r="H73" s="721">
        <f>G73</f>
        <v>99</v>
      </c>
      <c r="I73" s="721">
        <f>H73-0.5</f>
        <v>98.5</v>
      </c>
      <c r="J73" s="721">
        <f>I73</f>
        <v>98.5</v>
      </c>
      <c r="K73" s="3337">
        <f>J73-$C$74</f>
        <v>98</v>
      </c>
      <c r="L73" s="3337">
        <f>K73</f>
        <v>98</v>
      </c>
      <c r="M73" s="3337">
        <f>L73-0.5</f>
        <v>97.5</v>
      </c>
      <c r="N73" s="3337">
        <f>M73</f>
        <v>97.5</v>
      </c>
      <c r="O73" s="2040"/>
      <c r="P73" s="2036"/>
      <c r="Q73" s="1902"/>
      <c r="R73" s="1902"/>
      <c r="S73" s="1902"/>
      <c r="T73" s="1902"/>
      <c r="U73" s="1902"/>
      <c r="V73" s="1902"/>
      <c r="W73" s="1902"/>
      <c r="X73" s="1902"/>
      <c r="Y73" s="1902"/>
      <c r="Z73" s="1902"/>
      <c r="AA73" s="1902"/>
      <c r="AB73" s="1902"/>
      <c r="AC73" s="1902"/>
    </row>
    <row r="74" spans="1:29" s="1200" customFormat="1" ht="15" customHeight="1" thickBot="1">
      <c r="A74" s="2511" t="s">
        <v>2624</v>
      </c>
      <c r="B74" s="2519"/>
      <c r="C74" s="3331">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0"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ht="27.75">
      <c r="A77" s="655" t="s">
        <v>571</v>
      </c>
      <c r="B77" s="656" t="s">
        <v>528</v>
      </c>
      <c r="C77" s="591" t="s">
        <v>3231</v>
      </c>
      <c r="D77" s="591" t="s">
        <v>3232</v>
      </c>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v>80</v>
      </c>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0（含）-0.5</v>
      </c>
      <c r="D81" s="673" t="str">
        <f t="shared" ref="D81:L81" si="20">D82&amp;"（含）"&amp;"-"&amp;E82</f>
        <v>0.5（含）-1</v>
      </c>
      <c r="E81" s="673" t="str">
        <f t="shared" si="20"/>
        <v>1（含）-1.5</v>
      </c>
      <c r="F81" s="673" t="str">
        <f t="shared" si="20"/>
        <v>1.5（含）-2</v>
      </c>
      <c r="G81" s="673" t="str">
        <f t="shared" si="20"/>
        <v>2（含）-2.5</v>
      </c>
      <c r="H81" s="673" t="str">
        <f t="shared" si="20"/>
        <v>2.5（含）-3</v>
      </c>
      <c r="I81" s="673" t="str">
        <f t="shared" si="20"/>
        <v>3（含）-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0</v>
      </c>
      <c r="D82" s="534">
        <v>0.5</v>
      </c>
      <c r="E82" s="534">
        <v>1</v>
      </c>
      <c r="F82" s="534">
        <v>1.5</v>
      </c>
      <c r="G82" s="534">
        <v>2</v>
      </c>
      <c r="H82" s="534">
        <v>2.5</v>
      </c>
      <c r="I82" s="534">
        <v>3</v>
      </c>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95</v>
      </c>
      <c r="E83" s="670">
        <f t="shared" ref="E83:M83" si="21">IF($B$48="单位面积地价",D83+$K13,D83-$K13)</f>
        <v>90</v>
      </c>
      <c r="F83" s="670">
        <f t="shared" si="21"/>
        <v>85</v>
      </c>
      <c r="G83" s="670">
        <f t="shared" si="21"/>
        <v>80</v>
      </c>
      <c r="H83" s="670">
        <f t="shared" si="21"/>
        <v>75</v>
      </c>
      <c r="I83" s="670">
        <f t="shared" si="21"/>
        <v>70</v>
      </c>
      <c r="J83" s="670">
        <f t="shared" si="21"/>
        <v>65</v>
      </c>
      <c r="K83" s="670">
        <f t="shared" si="21"/>
        <v>60</v>
      </c>
      <c r="L83" s="670">
        <f t="shared" si="21"/>
        <v>55</v>
      </c>
      <c r="M83" s="670">
        <f t="shared" si="21"/>
        <v>50</v>
      </c>
      <c r="N83" s="2044"/>
      <c r="O83" s="2044"/>
      <c r="P83" s="2043"/>
      <c r="Q83" s="2036"/>
      <c r="R83" s="2024"/>
      <c r="S83" s="2024"/>
      <c r="T83" s="2024"/>
      <c r="U83" s="2024"/>
      <c r="V83" s="2024"/>
      <c r="W83" s="2024"/>
      <c r="X83" s="2024"/>
      <c r="Y83" s="2024"/>
      <c r="Z83" s="2024"/>
      <c r="AA83" s="2024"/>
      <c r="AB83" s="2024"/>
      <c r="AC83" s="2024"/>
    </row>
    <row r="84" spans="1:29" s="1290" customFormat="1" ht="15.75" thickTop="1">
      <c r="A84" s="678"/>
      <c r="B84" s="664" t="str">
        <f>B14</f>
        <v>配建</v>
      </c>
      <c r="C84" s="679"/>
      <c r="D84" s="1324"/>
      <c r="E84" s="1325"/>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0" customFormat="1" ht="15.75" thickTop="1">
      <c r="A86" s="678"/>
      <c r="B86" s="664" t="str">
        <f>B15</f>
        <v>自持</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0"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0" customFormat="1" ht="15.75" thickTop="1">
      <c r="A88" s="678"/>
      <c r="B88" s="672" t="str">
        <f>B16</f>
        <v>限价区间</v>
      </c>
      <c r="C88" s="652" t="s">
        <v>3263</v>
      </c>
      <c r="D88" s="652" t="s">
        <v>3264</v>
      </c>
      <c r="E88" s="652" t="s">
        <v>3265</v>
      </c>
      <c r="F88" s="652" t="s">
        <v>3266</v>
      </c>
      <c r="G88" s="652" t="s">
        <v>3267</v>
      </c>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0" customFormat="1" ht="15.75" thickBot="1">
      <c r="A89" s="689"/>
      <c r="B89" s="690"/>
      <c r="C89" s="691">
        <v>100</v>
      </c>
      <c r="D89" s="691">
        <v>97</v>
      </c>
      <c r="E89" s="691">
        <v>94</v>
      </c>
      <c r="F89" s="691">
        <v>91</v>
      </c>
      <c r="G89" s="691">
        <v>88</v>
      </c>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0"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0" customFormat="1" ht="15.75" thickBot="1">
      <c r="A99" s="700"/>
      <c r="B99" s="669"/>
      <c r="C99" s="703">
        <v>100</v>
      </c>
      <c r="D99" s="670">
        <f>C99-$K25</f>
        <v>98</v>
      </c>
      <c r="E99" s="670">
        <f>D99-$K25</f>
        <v>96</v>
      </c>
      <c r="F99" s="670">
        <f>E99-$K25</f>
        <v>94</v>
      </c>
      <c r="G99" s="670">
        <f>F99-$K25</f>
        <v>92</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0"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0"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0" customFormat="1" ht="15.75" thickTop="1">
      <c r="A102" s="678"/>
      <c r="B102" s="1807" t="s">
        <v>2527</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0"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Top="1">
      <c r="A104" s="678"/>
      <c r="B104" s="2438" t="s">
        <v>2529</v>
      </c>
      <c r="C104" s="2439" t="s">
        <v>2530</v>
      </c>
      <c r="D104" s="2439" t="s">
        <v>2531</v>
      </c>
      <c r="E104" s="2439" t="s">
        <v>2532</v>
      </c>
      <c r="F104" s="2439" t="s">
        <v>2533</v>
      </c>
      <c r="G104" s="2439" t="s">
        <v>2534</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0" customFormat="1" ht="15.75" thickBot="1">
      <c r="A105" s="678"/>
      <c r="B105" s="672"/>
      <c r="C105" s="670">
        <v>100</v>
      </c>
      <c r="D105" s="670">
        <f>C105-$K31</f>
        <v>98</v>
      </c>
      <c r="E105" s="670">
        <f>D105-$K31</f>
        <v>96</v>
      </c>
      <c r="F105" s="670">
        <f>E105-$K31</f>
        <v>94</v>
      </c>
      <c r="G105" s="670">
        <f>F105-$K31</f>
        <v>92</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330" t="s">
        <v>3255</v>
      </c>
      <c r="D108" s="3330" t="s">
        <v>3257</v>
      </c>
      <c r="E108" s="3330" t="s">
        <v>3259</v>
      </c>
      <c r="F108" s="3330" t="s">
        <v>3261</v>
      </c>
      <c r="G108" s="3330" t="s">
        <v>3262</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99</v>
      </c>
      <c r="E109" s="670">
        <f t="shared" ref="E109:M109" si="23">D109-$K34</f>
        <v>98</v>
      </c>
      <c r="F109" s="670">
        <f t="shared" si="23"/>
        <v>97</v>
      </c>
      <c r="G109" s="670">
        <f t="shared" si="23"/>
        <v>96</v>
      </c>
      <c r="H109" s="670">
        <f t="shared" si="23"/>
        <v>95</v>
      </c>
      <c r="I109" s="670">
        <f t="shared" si="23"/>
        <v>94</v>
      </c>
      <c r="J109" s="670">
        <f t="shared" si="23"/>
        <v>93</v>
      </c>
      <c r="K109" s="670">
        <f t="shared" si="23"/>
        <v>92</v>
      </c>
      <c r="L109" s="670">
        <f t="shared" si="23"/>
        <v>91</v>
      </c>
      <c r="M109" s="670">
        <f t="shared" si="23"/>
        <v>90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329" t="s">
        <v>3250</v>
      </c>
      <c r="D110" s="3329" t="s">
        <v>3251</v>
      </c>
      <c r="E110" s="3329" t="s">
        <v>3252</v>
      </c>
      <c r="F110" s="3329" t="s">
        <v>3253</v>
      </c>
      <c r="G110" s="3329" t="s">
        <v>3254</v>
      </c>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99</v>
      </c>
      <c r="E111" s="670">
        <f t="shared" ref="E111:M111" si="24">D111-$K36</f>
        <v>98</v>
      </c>
      <c r="F111" s="670">
        <f t="shared" si="24"/>
        <v>97</v>
      </c>
      <c r="G111" s="670">
        <f t="shared" si="24"/>
        <v>96</v>
      </c>
      <c r="H111" s="670">
        <f t="shared" si="24"/>
        <v>95</v>
      </c>
      <c r="I111" s="670">
        <f t="shared" si="24"/>
        <v>94</v>
      </c>
      <c r="J111" s="670">
        <f t="shared" si="24"/>
        <v>93</v>
      </c>
      <c r="K111" s="670">
        <f t="shared" si="24"/>
        <v>92</v>
      </c>
      <c r="L111" s="670">
        <f t="shared" si="24"/>
        <v>91</v>
      </c>
      <c r="M111" s="670">
        <f t="shared" si="24"/>
        <v>90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0"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0"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20000(含)-30000</v>
      </c>
      <c r="F118" s="695" t="str">
        <f t="shared" si="25"/>
        <v>30000(含)-40000</v>
      </c>
      <c r="G118" s="695" t="str">
        <f t="shared" si="25"/>
        <v>40000(含)-50000</v>
      </c>
      <c r="H118" s="695" t="str">
        <f t="shared" si="25"/>
        <v>50000(含)-60000</v>
      </c>
      <c r="I118" s="695" t="str">
        <f t="shared" si="25"/>
        <v>60000(含)-</v>
      </c>
      <c r="J118" s="2775" t="str">
        <f t="shared" si="25"/>
        <v>(含)-</v>
      </c>
      <c r="K118" s="2775" t="str">
        <f t="shared" si="25"/>
        <v>(含)-</v>
      </c>
      <c r="L118" s="2776" t="str">
        <f t="shared" si="25"/>
        <v>(含)-</v>
      </c>
      <c r="M118" s="2777"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30000</v>
      </c>
      <c r="G119" s="721">
        <v>40000</v>
      </c>
      <c r="H119" s="721">
        <v>50000</v>
      </c>
      <c r="I119" s="721">
        <v>60000</v>
      </c>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v>100.5</v>
      </c>
      <c r="E120" s="717">
        <v>101</v>
      </c>
      <c r="F120" s="717">
        <v>101.5</v>
      </c>
      <c r="G120" s="717">
        <v>102</v>
      </c>
      <c r="H120" s="717">
        <v>102.5</v>
      </c>
      <c r="I120" s="717">
        <v>103</v>
      </c>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329" t="s">
        <v>3245</v>
      </c>
      <c r="D121" s="3329" t="s">
        <v>3247</v>
      </c>
      <c r="E121" s="3329" t="s">
        <v>3248</v>
      </c>
      <c r="F121" s="3329" t="s">
        <v>3249</v>
      </c>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9"/>
      <c r="B125" s="1807" t="s">
        <v>2408</v>
      </c>
      <c r="C125" s="1324" t="s">
        <v>3237</v>
      </c>
      <c r="D125" s="1324" t="s">
        <v>3239</v>
      </c>
      <c r="E125" s="1324" t="s">
        <v>3241</v>
      </c>
      <c r="F125" s="1324" t="s">
        <v>3242</v>
      </c>
      <c r="G125" s="1324" t="s">
        <v>3243</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0"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679"/>
      <c r="D127" s="679"/>
      <c r="E127" s="709"/>
      <c r="F127" s="709"/>
      <c r="G127" s="709"/>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0"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0"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4"/>
  <sheetViews>
    <sheetView topLeftCell="K4" zoomScale="80" zoomScaleNormal="80" workbookViewId="0">
      <selection activeCell="Y12" sqref="Y12"/>
    </sheetView>
  </sheetViews>
  <sheetFormatPr defaultRowHeight="13.5"/>
  <cols>
    <col min="1" max="1" width="56.75" style="3299" customWidth="1"/>
    <col min="2" max="2" width="6.25" style="3299" customWidth="1"/>
    <col min="3" max="5" width="13.875" style="3299" customWidth="1"/>
    <col min="6" max="7" width="8.75" style="3299" customWidth="1"/>
    <col min="8" max="8" width="7.875" style="3299" customWidth="1"/>
    <col min="9" max="9" width="21.125" style="3299" customWidth="1"/>
    <col min="10" max="10" width="7.875" style="3299" customWidth="1"/>
    <col min="11" max="12" width="9" style="3299" customWidth="1"/>
    <col min="13" max="14" width="10.625" style="3299" customWidth="1"/>
    <col min="15" max="15" width="14.375" style="3299" customWidth="1"/>
    <col min="16" max="16" width="6.25" style="3299" customWidth="1"/>
    <col min="17" max="17" width="21.25" style="3299" customWidth="1"/>
    <col min="18" max="18" width="7.875" style="3299" customWidth="1"/>
    <col min="19" max="19" width="9" style="3299"/>
    <col min="20" max="20" width="12.75" style="3299" bestFit="1" customWidth="1"/>
    <col min="21" max="21" width="9" style="3299"/>
    <col min="22" max="22" width="12.75" style="3299" bestFit="1" customWidth="1"/>
    <col min="23" max="23" width="18.875" style="3299" customWidth="1"/>
    <col min="24" max="24" width="12.75" style="3299" bestFit="1" customWidth="1"/>
    <col min="25" max="25" width="10.5" style="3299" bestFit="1" customWidth="1"/>
    <col min="26" max="26" width="12.75" style="3299" bestFit="1" customWidth="1"/>
    <col min="27" max="257" width="9" style="3299"/>
    <col min="258" max="258" width="139" style="3299" customWidth="1"/>
    <col min="259" max="259" width="6.25" style="3299" customWidth="1"/>
    <col min="260" max="262" width="13.875" style="3299" customWidth="1"/>
    <col min="263" max="263" width="25.625" style="3299" customWidth="1"/>
    <col min="264" max="264" width="7.875" style="3299" customWidth="1"/>
    <col min="265" max="265" width="40.625" style="3299" customWidth="1"/>
    <col min="266" max="266" width="7.875" style="3299" customWidth="1"/>
    <col min="267" max="268" width="9" style="3299" customWidth="1"/>
    <col min="269" max="270" width="10.625" style="3299" customWidth="1"/>
    <col min="271" max="271" width="14.375" style="3299" customWidth="1"/>
    <col min="272" max="272" width="6.25" style="3299" customWidth="1"/>
    <col min="273" max="273" width="75.625" style="3299" customWidth="1"/>
    <col min="274" max="274" width="7.875" style="3299" customWidth="1"/>
    <col min="275" max="513" width="9" style="3299"/>
    <col min="514" max="514" width="139" style="3299" customWidth="1"/>
    <col min="515" max="515" width="6.25" style="3299" customWidth="1"/>
    <col min="516" max="518" width="13.875" style="3299" customWidth="1"/>
    <col min="519" max="519" width="25.625" style="3299" customWidth="1"/>
    <col min="520" max="520" width="7.875" style="3299" customWidth="1"/>
    <col min="521" max="521" width="40.625" style="3299" customWidth="1"/>
    <col min="522" max="522" width="7.875" style="3299" customWidth="1"/>
    <col min="523" max="524" width="9" style="3299" customWidth="1"/>
    <col min="525" max="526" width="10.625" style="3299" customWidth="1"/>
    <col min="527" max="527" width="14.375" style="3299" customWidth="1"/>
    <col min="528" max="528" width="6.25" style="3299" customWidth="1"/>
    <col min="529" max="529" width="75.625" style="3299" customWidth="1"/>
    <col min="530" max="530" width="7.875" style="3299" customWidth="1"/>
    <col min="531" max="769" width="9" style="3299"/>
    <col min="770" max="770" width="139" style="3299" customWidth="1"/>
    <col min="771" max="771" width="6.25" style="3299" customWidth="1"/>
    <col min="772" max="774" width="13.875" style="3299" customWidth="1"/>
    <col min="775" max="775" width="25.625" style="3299" customWidth="1"/>
    <col min="776" max="776" width="7.875" style="3299" customWidth="1"/>
    <col min="777" max="777" width="40.625" style="3299" customWidth="1"/>
    <col min="778" max="778" width="7.875" style="3299" customWidth="1"/>
    <col min="779" max="780" width="9" style="3299" customWidth="1"/>
    <col min="781" max="782" width="10.625" style="3299" customWidth="1"/>
    <col min="783" max="783" width="14.375" style="3299" customWidth="1"/>
    <col min="784" max="784" width="6.25" style="3299" customWidth="1"/>
    <col min="785" max="785" width="75.625" style="3299" customWidth="1"/>
    <col min="786" max="786" width="7.875" style="3299" customWidth="1"/>
    <col min="787" max="1025" width="9" style="3299"/>
    <col min="1026" max="1026" width="139" style="3299" customWidth="1"/>
    <col min="1027" max="1027" width="6.25" style="3299" customWidth="1"/>
    <col min="1028" max="1030" width="13.875" style="3299" customWidth="1"/>
    <col min="1031" max="1031" width="25.625" style="3299" customWidth="1"/>
    <col min="1032" max="1032" width="7.875" style="3299" customWidth="1"/>
    <col min="1033" max="1033" width="40.625" style="3299" customWidth="1"/>
    <col min="1034" max="1034" width="7.875" style="3299" customWidth="1"/>
    <col min="1035" max="1036" width="9" style="3299" customWidth="1"/>
    <col min="1037" max="1038" width="10.625" style="3299" customWidth="1"/>
    <col min="1039" max="1039" width="14.375" style="3299" customWidth="1"/>
    <col min="1040" max="1040" width="6.25" style="3299" customWidth="1"/>
    <col min="1041" max="1041" width="75.625" style="3299" customWidth="1"/>
    <col min="1042" max="1042" width="7.875" style="3299" customWidth="1"/>
    <col min="1043" max="1281" width="9" style="3299"/>
    <col min="1282" max="1282" width="139" style="3299" customWidth="1"/>
    <col min="1283" max="1283" width="6.25" style="3299" customWidth="1"/>
    <col min="1284" max="1286" width="13.875" style="3299" customWidth="1"/>
    <col min="1287" max="1287" width="25.625" style="3299" customWidth="1"/>
    <col min="1288" max="1288" width="7.875" style="3299" customWidth="1"/>
    <col min="1289" max="1289" width="40.625" style="3299" customWidth="1"/>
    <col min="1290" max="1290" width="7.875" style="3299" customWidth="1"/>
    <col min="1291" max="1292" width="9" style="3299" customWidth="1"/>
    <col min="1293" max="1294" width="10.625" style="3299" customWidth="1"/>
    <col min="1295" max="1295" width="14.375" style="3299" customWidth="1"/>
    <col min="1296" max="1296" width="6.25" style="3299" customWidth="1"/>
    <col min="1297" max="1297" width="75.625" style="3299" customWidth="1"/>
    <col min="1298" max="1298" width="7.875" style="3299" customWidth="1"/>
    <col min="1299" max="1537" width="9" style="3299"/>
    <col min="1538" max="1538" width="139" style="3299" customWidth="1"/>
    <col min="1539" max="1539" width="6.25" style="3299" customWidth="1"/>
    <col min="1540" max="1542" width="13.875" style="3299" customWidth="1"/>
    <col min="1543" max="1543" width="25.625" style="3299" customWidth="1"/>
    <col min="1544" max="1544" width="7.875" style="3299" customWidth="1"/>
    <col min="1545" max="1545" width="40.625" style="3299" customWidth="1"/>
    <col min="1546" max="1546" width="7.875" style="3299" customWidth="1"/>
    <col min="1547" max="1548" width="9" style="3299" customWidth="1"/>
    <col min="1549" max="1550" width="10.625" style="3299" customWidth="1"/>
    <col min="1551" max="1551" width="14.375" style="3299" customWidth="1"/>
    <col min="1552" max="1552" width="6.25" style="3299" customWidth="1"/>
    <col min="1553" max="1553" width="75.625" style="3299" customWidth="1"/>
    <col min="1554" max="1554" width="7.875" style="3299" customWidth="1"/>
    <col min="1555" max="1793" width="9" style="3299"/>
    <col min="1794" max="1794" width="139" style="3299" customWidth="1"/>
    <col min="1795" max="1795" width="6.25" style="3299" customWidth="1"/>
    <col min="1796" max="1798" width="13.875" style="3299" customWidth="1"/>
    <col min="1799" max="1799" width="25.625" style="3299" customWidth="1"/>
    <col min="1800" max="1800" width="7.875" style="3299" customWidth="1"/>
    <col min="1801" max="1801" width="40.625" style="3299" customWidth="1"/>
    <col min="1802" max="1802" width="7.875" style="3299" customWidth="1"/>
    <col min="1803" max="1804" width="9" style="3299" customWidth="1"/>
    <col min="1805" max="1806" width="10.625" style="3299" customWidth="1"/>
    <col min="1807" max="1807" width="14.375" style="3299" customWidth="1"/>
    <col min="1808" max="1808" width="6.25" style="3299" customWidth="1"/>
    <col min="1809" max="1809" width="75.625" style="3299" customWidth="1"/>
    <col min="1810" max="1810" width="7.875" style="3299" customWidth="1"/>
    <col min="1811" max="2049" width="9" style="3299"/>
    <col min="2050" max="2050" width="139" style="3299" customWidth="1"/>
    <col min="2051" max="2051" width="6.25" style="3299" customWidth="1"/>
    <col min="2052" max="2054" width="13.875" style="3299" customWidth="1"/>
    <col min="2055" max="2055" width="25.625" style="3299" customWidth="1"/>
    <col min="2056" max="2056" width="7.875" style="3299" customWidth="1"/>
    <col min="2057" max="2057" width="40.625" style="3299" customWidth="1"/>
    <col min="2058" max="2058" width="7.875" style="3299" customWidth="1"/>
    <col min="2059" max="2060" width="9" style="3299" customWidth="1"/>
    <col min="2061" max="2062" width="10.625" style="3299" customWidth="1"/>
    <col min="2063" max="2063" width="14.375" style="3299" customWidth="1"/>
    <col min="2064" max="2064" width="6.25" style="3299" customWidth="1"/>
    <col min="2065" max="2065" width="75.625" style="3299" customWidth="1"/>
    <col min="2066" max="2066" width="7.875" style="3299" customWidth="1"/>
    <col min="2067" max="2305" width="9" style="3299"/>
    <col min="2306" max="2306" width="139" style="3299" customWidth="1"/>
    <col min="2307" max="2307" width="6.25" style="3299" customWidth="1"/>
    <col min="2308" max="2310" width="13.875" style="3299" customWidth="1"/>
    <col min="2311" max="2311" width="25.625" style="3299" customWidth="1"/>
    <col min="2312" max="2312" width="7.875" style="3299" customWidth="1"/>
    <col min="2313" max="2313" width="40.625" style="3299" customWidth="1"/>
    <col min="2314" max="2314" width="7.875" style="3299" customWidth="1"/>
    <col min="2315" max="2316" width="9" style="3299" customWidth="1"/>
    <col min="2317" max="2318" width="10.625" style="3299" customWidth="1"/>
    <col min="2319" max="2319" width="14.375" style="3299" customWidth="1"/>
    <col min="2320" max="2320" width="6.25" style="3299" customWidth="1"/>
    <col min="2321" max="2321" width="75.625" style="3299" customWidth="1"/>
    <col min="2322" max="2322" width="7.875" style="3299" customWidth="1"/>
    <col min="2323" max="2561" width="9" style="3299"/>
    <col min="2562" max="2562" width="139" style="3299" customWidth="1"/>
    <col min="2563" max="2563" width="6.25" style="3299" customWidth="1"/>
    <col min="2564" max="2566" width="13.875" style="3299" customWidth="1"/>
    <col min="2567" max="2567" width="25.625" style="3299" customWidth="1"/>
    <col min="2568" max="2568" width="7.875" style="3299" customWidth="1"/>
    <col min="2569" max="2569" width="40.625" style="3299" customWidth="1"/>
    <col min="2570" max="2570" width="7.875" style="3299" customWidth="1"/>
    <col min="2571" max="2572" width="9" style="3299" customWidth="1"/>
    <col min="2573" max="2574" width="10.625" style="3299" customWidth="1"/>
    <col min="2575" max="2575" width="14.375" style="3299" customWidth="1"/>
    <col min="2576" max="2576" width="6.25" style="3299" customWidth="1"/>
    <col min="2577" max="2577" width="75.625" style="3299" customWidth="1"/>
    <col min="2578" max="2578" width="7.875" style="3299" customWidth="1"/>
    <col min="2579" max="2817" width="9" style="3299"/>
    <col min="2818" max="2818" width="139" style="3299" customWidth="1"/>
    <col min="2819" max="2819" width="6.25" style="3299" customWidth="1"/>
    <col min="2820" max="2822" width="13.875" style="3299" customWidth="1"/>
    <col min="2823" max="2823" width="25.625" style="3299" customWidth="1"/>
    <col min="2824" max="2824" width="7.875" style="3299" customWidth="1"/>
    <col min="2825" max="2825" width="40.625" style="3299" customWidth="1"/>
    <col min="2826" max="2826" width="7.875" style="3299" customWidth="1"/>
    <col min="2827" max="2828" width="9" style="3299" customWidth="1"/>
    <col min="2829" max="2830" width="10.625" style="3299" customWidth="1"/>
    <col min="2831" max="2831" width="14.375" style="3299" customWidth="1"/>
    <col min="2832" max="2832" width="6.25" style="3299" customWidth="1"/>
    <col min="2833" max="2833" width="75.625" style="3299" customWidth="1"/>
    <col min="2834" max="2834" width="7.875" style="3299" customWidth="1"/>
    <col min="2835" max="3073" width="9" style="3299"/>
    <col min="3074" max="3074" width="139" style="3299" customWidth="1"/>
    <col min="3075" max="3075" width="6.25" style="3299" customWidth="1"/>
    <col min="3076" max="3078" width="13.875" style="3299" customWidth="1"/>
    <col min="3079" max="3079" width="25.625" style="3299" customWidth="1"/>
    <col min="3080" max="3080" width="7.875" style="3299" customWidth="1"/>
    <col min="3081" max="3081" width="40.625" style="3299" customWidth="1"/>
    <col min="3082" max="3082" width="7.875" style="3299" customWidth="1"/>
    <col min="3083" max="3084" width="9" style="3299" customWidth="1"/>
    <col min="3085" max="3086" width="10.625" style="3299" customWidth="1"/>
    <col min="3087" max="3087" width="14.375" style="3299" customWidth="1"/>
    <col min="3088" max="3088" width="6.25" style="3299" customWidth="1"/>
    <col min="3089" max="3089" width="75.625" style="3299" customWidth="1"/>
    <col min="3090" max="3090" width="7.875" style="3299" customWidth="1"/>
    <col min="3091" max="3329" width="9" style="3299"/>
    <col min="3330" max="3330" width="139" style="3299" customWidth="1"/>
    <col min="3331" max="3331" width="6.25" style="3299" customWidth="1"/>
    <col min="3332" max="3334" width="13.875" style="3299" customWidth="1"/>
    <col min="3335" max="3335" width="25.625" style="3299" customWidth="1"/>
    <col min="3336" max="3336" width="7.875" style="3299" customWidth="1"/>
    <col min="3337" max="3337" width="40.625" style="3299" customWidth="1"/>
    <col min="3338" max="3338" width="7.875" style="3299" customWidth="1"/>
    <col min="3339" max="3340" width="9" style="3299" customWidth="1"/>
    <col min="3341" max="3342" width="10.625" style="3299" customWidth="1"/>
    <col min="3343" max="3343" width="14.375" style="3299" customWidth="1"/>
    <col min="3344" max="3344" width="6.25" style="3299" customWidth="1"/>
    <col min="3345" max="3345" width="75.625" style="3299" customWidth="1"/>
    <col min="3346" max="3346" width="7.875" style="3299" customWidth="1"/>
    <col min="3347" max="3585" width="9" style="3299"/>
    <col min="3586" max="3586" width="139" style="3299" customWidth="1"/>
    <col min="3587" max="3587" width="6.25" style="3299" customWidth="1"/>
    <col min="3588" max="3590" width="13.875" style="3299" customWidth="1"/>
    <col min="3591" max="3591" width="25.625" style="3299" customWidth="1"/>
    <col min="3592" max="3592" width="7.875" style="3299" customWidth="1"/>
    <col min="3593" max="3593" width="40.625" style="3299" customWidth="1"/>
    <col min="3594" max="3594" width="7.875" style="3299" customWidth="1"/>
    <col min="3595" max="3596" width="9" style="3299" customWidth="1"/>
    <col min="3597" max="3598" width="10.625" style="3299" customWidth="1"/>
    <col min="3599" max="3599" width="14.375" style="3299" customWidth="1"/>
    <col min="3600" max="3600" width="6.25" style="3299" customWidth="1"/>
    <col min="3601" max="3601" width="75.625" style="3299" customWidth="1"/>
    <col min="3602" max="3602" width="7.875" style="3299" customWidth="1"/>
    <col min="3603" max="3841" width="9" style="3299"/>
    <col min="3842" max="3842" width="139" style="3299" customWidth="1"/>
    <col min="3843" max="3843" width="6.25" style="3299" customWidth="1"/>
    <col min="3844" max="3846" width="13.875" style="3299" customWidth="1"/>
    <col min="3847" max="3847" width="25.625" style="3299" customWidth="1"/>
    <col min="3848" max="3848" width="7.875" style="3299" customWidth="1"/>
    <col min="3849" max="3849" width="40.625" style="3299" customWidth="1"/>
    <col min="3850" max="3850" width="7.875" style="3299" customWidth="1"/>
    <col min="3851" max="3852" width="9" style="3299" customWidth="1"/>
    <col min="3853" max="3854" width="10.625" style="3299" customWidth="1"/>
    <col min="3855" max="3855" width="14.375" style="3299" customWidth="1"/>
    <col min="3856" max="3856" width="6.25" style="3299" customWidth="1"/>
    <col min="3857" max="3857" width="75.625" style="3299" customWidth="1"/>
    <col min="3858" max="3858" width="7.875" style="3299" customWidth="1"/>
    <col min="3859" max="4097" width="9" style="3299"/>
    <col min="4098" max="4098" width="139" style="3299" customWidth="1"/>
    <col min="4099" max="4099" width="6.25" style="3299" customWidth="1"/>
    <col min="4100" max="4102" width="13.875" style="3299" customWidth="1"/>
    <col min="4103" max="4103" width="25.625" style="3299" customWidth="1"/>
    <col min="4104" max="4104" width="7.875" style="3299" customWidth="1"/>
    <col min="4105" max="4105" width="40.625" style="3299" customWidth="1"/>
    <col min="4106" max="4106" width="7.875" style="3299" customWidth="1"/>
    <col min="4107" max="4108" width="9" style="3299" customWidth="1"/>
    <col min="4109" max="4110" width="10.625" style="3299" customWidth="1"/>
    <col min="4111" max="4111" width="14.375" style="3299" customWidth="1"/>
    <col min="4112" max="4112" width="6.25" style="3299" customWidth="1"/>
    <col min="4113" max="4113" width="75.625" style="3299" customWidth="1"/>
    <col min="4114" max="4114" width="7.875" style="3299" customWidth="1"/>
    <col min="4115" max="4353" width="9" style="3299"/>
    <col min="4354" max="4354" width="139" style="3299" customWidth="1"/>
    <col min="4355" max="4355" width="6.25" style="3299" customWidth="1"/>
    <col min="4356" max="4358" width="13.875" style="3299" customWidth="1"/>
    <col min="4359" max="4359" width="25.625" style="3299" customWidth="1"/>
    <col min="4360" max="4360" width="7.875" style="3299" customWidth="1"/>
    <col min="4361" max="4361" width="40.625" style="3299" customWidth="1"/>
    <col min="4362" max="4362" width="7.875" style="3299" customWidth="1"/>
    <col min="4363" max="4364" width="9" style="3299" customWidth="1"/>
    <col min="4365" max="4366" width="10.625" style="3299" customWidth="1"/>
    <col min="4367" max="4367" width="14.375" style="3299" customWidth="1"/>
    <col min="4368" max="4368" width="6.25" style="3299" customWidth="1"/>
    <col min="4369" max="4369" width="75.625" style="3299" customWidth="1"/>
    <col min="4370" max="4370" width="7.875" style="3299" customWidth="1"/>
    <col min="4371" max="4609" width="9" style="3299"/>
    <col min="4610" max="4610" width="139" style="3299" customWidth="1"/>
    <col min="4611" max="4611" width="6.25" style="3299" customWidth="1"/>
    <col min="4612" max="4614" width="13.875" style="3299" customWidth="1"/>
    <col min="4615" max="4615" width="25.625" style="3299" customWidth="1"/>
    <col min="4616" max="4616" width="7.875" style="3299" customWidth="1"/>
    <col min="4617" max="4617" width="40.625" style="3299" customWidth="1"/>
    <col min="4618" max="4618" width="7.875" style="3299" customWidth="1"/>
    <col min="4619" max="4620" width="9" style="3299" customWidth="1"/>
    <col min="4621" max="4622" width="10.625" style="3299" customWidth="1"/>
    <col min="4623" max="4623" width="14.375" style="3299" customWidth="1"/>
    <col min="4624" max="4624" width="6.25" style="3299" customWidth="1"/>
    <col min="4625" max="4625" width="75.625" style="3299" customWidth="1"/>
    <col min="4626" max="4626" width="7.875" style="3299" customWidth="1"/>
    <col min="4627" max="4865" width="9" style="3299"/>
    <col min="4866" max="4866" width="139" style="3299" customWidth="1"/>
    <col min="4867" max="4867" width="6.25" style="3299" customWidth="1"/>
    <col min="4868" max="4870" width="13.875" style="3299" customWidth="1"/>
    <col min="4871" max="4871" width="25.625" style="3299" customWidth="1"/>
    <col min="4872" max="4872" width="7.875" style="3299" customWidth="1"/>
    <col min="4873" max="4873" width="40.625" style="3299" customWidth="1"/>
    <col min="4874" max="4874" width="7.875" style="3299" customWidth="1"/>
    <col min="4875" max="4876" width="9" style="3299" customWidth="1"/>
    <col min="4877" max="4878" width="10.625" style="3299" customWidth="1"/>
    <col min="4879" max="4879" width="14.375" style="3299" customWidth="1"/>
    <col min="4880" max="4880" width="6.25" style="3299" customWidth="1"/>
    <col min="4881" max="4881" width="75.625" style="3299" customWidth="1"/>
    <col min="4882" max="4882" width="7.875" style="3299" customWidth="1"/>
    <col min="4883" max="5121" width="9" style="3299"/>
    <col min="5122" max="5122" width="139" style="3299" customWidth="1"/>
    <col min="5123" max="5123" width="6.25" style="3299" customWidth="1"/>
    <col min="5124" max="5126" width="13.875" style="3299" customWidth="1"/>
    <col min="5127" max="5127" width="25.625" style="3299" customWidth="1"/>
    <col min="5128" max="5128" width="7.875" style="3299" customWidth="1"/>
    <col min="5129" max="5129" width="40.625" style="3299" customWidth="1"/>
    <col min="5130" max="5130" width="7.875" style="3299" customWidth="1"/>
    <col min="5131" max="5132" width="9" style="3299" customWidth="1"/>
    <col min="5133" max="5134" width="10.625" style="3299" customWidth="1"/>
    <col min="5135" max="5135" width="14.375" style="3299" customWidth="1"/>
    <col min="5136" max="5136" width="6.25" style="3299" customWidth="1"/>
    <col min="5137" max="5137" width="75.625" style="3299" customWidth="1"/>
    <col min="5138" max="5138" width="7.875" style="3299" customWidth="1"/>
    <col min="5139" max="5377" width="9" style="3299"/>
    <col min="5378" max="5378" width="139" style="3299" customWidth="1"/>
    <col min="5379" max="5379" width="6.25" style="3299" customWidth="1"/>
    <col min="5380" max="5382" width="13.875" style="3299" customWidth="1"/>
    <col min="5383" max="5383" width="25.625" style="3299" customWidth="1"/>
    <col min="5384" max="5384" width="7.875" style="3299" customWidth="1"/>
    <col min="5385" max="5385" width="40.625" style="3299" customWidth="1"/>
    <col min="5386" max="5386" width="7.875" style="3299" customWidth="1"/>
    <col min="5387" max="5388" width="9" style="3299" customWidth="1"/>
    <col min="5389" max="5390" width="10.625" style="3299" customWidth="1"/>
    <col min="5391" max="5391" width="14.375" style="3299" customWidth="1"/>
    <col min="5392" max="5392" width="6.25" style="3299" customWidth="1"/>
    <col min="5393" max="5393" width="75.625" style="3299" customWidth="1"/>
    <col min="5394" max="5394" width="7.875" style="3299" customWidth="1"/>
    <col min="5395" max="5633" width="9" style="3299"/>
    <col min="5634" max="5634" width="139" style="3299" customWidth="1"/>
    <col min="5635" max="5635" width="6.25" style="3299" customWidth="1"/>
    <col min="5636" max="5638" width="13.875" style="3299" customWidth="1"/>
    <col min="5639" max="5639" width="25.625" style="3299" customWidth="1"/>
    <col min="5640" max="5640" width="7.875" style="3299" customWidth="1"/>
    <col min="5641" max="5641" width="40.625" style="3299" customWidth="1"/>
    <col min="5642" max="5642" width="7.875" style="3299" customWidth="1"/>
    <col min="5643" max="5644" width="9" style="3299" customWidth="1"/>
    <col min="5645" max="5646" width="10.625" style="3299" customWidth="1"/>
    <col min="5647" max="5647" width="14.375" style="3299" customWidth="1"/>
    <col min="5648" max="5648" width="6.25" style="3299" customWidth="1"/>
    <col min="5649" max="5649" width="75.625" style="3299" customWidth="1"/>
    <col min="5650" max="5650" width="7.875" style="3299" customWidth="1"/>
    <col min="5651" max="5889" width="9" style="3299"/>
    <col min="5890" max="5890" width="139" style="3299" customWidth="1"/>
    <col min="5891" max="5891" width="6.25" style="3299" customWidth="1"/>
    <col min="5892" max="5894" width="13.875" style="3299" customWidth="1"/>
    <col min="5895" max="5895" width="25.625" style="3299" customWidth="1"/>
    <col min="5896" max="5896" width="7.875" style="3299" customWidth="1"/>
    <col min="5897" max="5897" width="40.625" style="3299" customWidth="1"/>
    <col min="5898" max="5898" width="7.875" style="3299" customWidth="1"/>
    <col min="5899" max="5900" width="9" style="3299" customWidth="1"/>
    <col min="5901" max="5902" width="10.625" style="3299" customWidth="1"/>
    <col min="5903" max="5903" width="14.375" style="3299" customWidth="1"/>
    <col min="5904" max="5904" width="6.25" style="3299" customWidth="1"/>
    <col min="5905" max="5905" width="75.625" style="3299" customWidth="1"/>
    <col min="5906" max="5906" width="7.875" style="3299" customWidth="1"/>
    <col min="5907" max="6145" width="9" style="3299"/>
    <col min="6146" max="6146" width="139" style="3299" customWidth="1"/>
    <col min="6147" max="6147" width="6.25" style="3299" customWidth="1"/>
    <col min="6148" max="6150" width="13.875" style="3299" customWidth="1"/>
    <col min="6151" max="6151" width="25.625" style="3299" customWidth="1"/>
    <col min="6152" max="6152" width="7.875" style="3299" customWidth="1"/>
    <col min="6153" max="6153" width="40.625" style="3299" customWidth="1"/>
    <col min="6154" max="6154" width="7.875" style="3299" customWidth="1"/>
    <col min="6155" max="6156" width="9" style="3299" customWidth="1"/>
    <col min="6157" max="6158" width="10.625" style="3299" customWidth="1"/>
    <col min="6159" max="6159" width="14.375" style="3299" customWidth="1"/>
    <col min="6160" max="6160" width="6.25" style="3299" customWidth="1"/>
    <col min="6161" max="6161" width="75.625" style="3299" customWidth="1"/>
    <col min="6162" max="6162" width="7.875" style="3299" customWidth="1"/>
    <col min="6163" max="6401" width="9" style="3299"/>
    <col min="6402" max="6402" width="139" style="3299" customWidth="1"/>
    <col min="6403" max="6403" width="6.25" style="3299" customWidth="1"/>
    <col min="6404" max="6406" width="13.875" style="3299" customWidth="1"/>
    <col min="6407" max="6407" width="25.625" style="3299" customWidth="1"/>
    <col min="6408" max="6408" width="7.875" style="3299" customWidth="1"/>
    <col min="6409" max="6409" width="40.625" style="3299" customWidth="1"/>
    <col min="6410" max="6410" width="7.875" style="3299" customWidth="1"/>
    <col min="6411" max="6412" width="9" style="3299" customWidth="1"/>
    <col min="6413" max="6414" width="10.625" style="3299" customWidth="1"/>
    <col min="6415" max="6415" width="14.375" style="3299" customWidth="1"/>
    <col min="6416" max="6416" width="6.25" style="3299" customWidth="1"/>
    <col min="6417" max="6417" width="75.625" style="3299" customWidth="1"/>
    <col min="6418" max="6418" width="7.875" style="3299" customWidth="1"/>
    <col min="6419" max="6657" width="9" style="3299"/>
    <col min="6658" max="6658" width="139" style="3299" customWidth="1"/>
    <col min="6659" max="6659" width="6.25" style="3299" customWidth="1"/>
    <col min="6660" max="6662" width="13.875" style="3299" customWidth="1"/>
    <col min="6663" max="6663" width="25.625" style="3299" customWidth="1"/>
    <col min="6664" max="6664" width="7.875" style="3299" customWidth="1"/>
    <col min="6665" max="6665" width="40.625" style="3299" customWidth="1"/>
    <col min="6666" max="6666" width="7.875" style="3299" customWidth="1"/>
    <col min="6667" max="6668" width="9" style="3299" customWidth="1"/>
    <col min="6669" max="6670" width="10.625" style="3299" customWidth="1"/>
    <col min="6671" max="6671" width="14.375" style="3299" customWidth="1"/>
    <col min="6672" max="6672" width="6.25" style="3299" customWidth="1"/>
    <col min="6673" max="6673" width="75.625" style="3299" customWidth="1"/>
    <col min="6674" max="6674" width="7.875" style="3299" customWidth="1"/>
    <col min="6675" max="6913" width="9" style="3299"/>
    <col min="6914" max="6914" width="139" style="3299" customWidth="1"/>
    <col min="6915" max="6915" width="6.25" style="3299" customWidth="1"/>
    <col min="6916" max="6918" width="13.875" style="3299" customWidth="1"/>
    <col min="6919" max="6919" width="25.625" style="3299" customWidth="1"/>
    <col min="6920" max="6920" width="7.875" style="3299" customWidth="1"/>
    <col min="6921" max="6921" width="40.625" style="3299" customWidth="1"/>
    <col min="6922" max="6922" width="7.875" style="3299" customWidth="1"/>
    <col min="6923" max="6924" width="9" style="3299" customWidth="1"/>
    <col min="6925" max="6926" width="10.625" style="3299" customWidth="1"/>
    <col min="6927" max="6927" width="14.375" style="3299" customWidth="1"/>
    <col min="6928" max="6928" width="6.25" style="3299" customWidth="1"/>
    <col min="6929" max="6929" width="75.625" style="3299" customWidth="1"/>
    <col min="6930" max="6930" width="7.875" style="3299" customWidth="1"/>
    <col min="6931" max="7169" width="9" style="3299"/>
    <col min="7170" max="7170" width="139" style="3299" customWidth="1"/>
    <col min="7171" max="7171" width="6.25" style="3299" customWidth="1"/>
    <col min="7172" max="7174" width="13.875" style="3299" customWidth="1"/>
    <col min="7175" max="7175" width="25.625" style="3299" customWidth="1"/>
    <col min="7176" max="7176" width="7.875" style="3299" customWidth="1"/>
    <col min="7177" max="7177" width="40.625" style="3299" customWidth="1"/>
    <col min="7178" max="7178" width="7.875" style="3299" customWidth="1"/>
    <col min="7179" max="7180" width="9" style="3299" customWidth="1"/>
    <col min="7181" max="7182" width="10.625" style="3299" customWidth="1"/>
    <col min="7183" max="7183" width="14.375" style="3299" customWidth="1"/>
    <col min="7184" max="7184" width="6.25" style="3299" customWidth="1"/>
    <col min="7185" max="7185" width="75.625" style="3299" customWidth="1"/>
    <col min="7186" max="7186" width="7.875" style="3299" customWidth="1"/>
    <col min="7187" max="7425" width="9" style="3299"/>
    <col min="7426" max="7426" width="139" style="3299" customWidth="1"/>
    <col min="7427" max="7427" width="6.25" style="3299" customWidth="1"/>
    <col min="7428" max="7430" width="13.875" style="3299" customWidth="1"/>
    <col min="7431" max="7431" width="25.625" style="3299" customWidth="1"/>
    <col min="7432" max="7432" width="7.875" style="3299" customWidth="1"/>
    <col min="7433" max="7433" width="40.625" style="3299" customWidth="1"/>
    <col min="7434" max="7434" width="7.875" style="3299" customWidth="1"/>
    <col min="7435" max="7436" width="9" style="3299" customWidth="1"/>
    <col min="7437" max="7438" width="10.625" style="3299" customWidth="1"/>
    <col min="7439" max="7439" width="14.375" style="3299" customWidth="1"/>
    <col min="7440" max="7440" width="6.25" style="3299" customWidth="1"/>
    <col min="7441" max="7441" width="75.625" style="3299" customWidth="1"/>
    <col min="7442" max="7442" width="7.875" style="3299" customWidth="1"/>
    <col min="7443" max="7681" width="9" style="3299"/>
    <col min="7682" max="7682" width="139" style="3299" customWidth="1"/>
    <col min="7683" max="7683" width="6.25" style="3299" customWidth="1"/>
    <col min="7684" max="7686" width="13.875" style="3299" customWidth="1"/>
    <col min="7687" max="7687" width="25.625" style="3299" customWidth="1"/>
    <col min="7688" max="7688" width="7.875" style="3299" customWidth="1"/>
    <col min="7689" max="7689" width="40.625" style="3299" customWidth="1"/>
    <col min="7690" max="7690" width="7.875" style="3299" customWidth="1"/>
    <col min="7691" max="7692" width="9" style="3299" customWidth="1"/>
    <col min="7693" max="7694" width="10.625" style="3299" customWidth="1"/>
    <col min="7695" max="7695" width="14.375" style="3299" customWidth="1"/>
    <col min="7696" max="7696" width="6.25" style="3299" customWidth="1"/>
    <col min="7697" max="7697" width="75.625" style="3299" customWidth="1"/>
    <col min="7698" max="7698" width="7.875" style="3299" customWidth="1"/>
    <col min="7699" max="7937" width="9" style="3299"/>
    <col min="7938" max="7938" width="139" style="3299" customWidth="1"/>
    <col min="7939" max="7939" width="6.25" style="3299" customWidth="1"/>
    <col min="7940" max="7942" width="13.875" style="3299" customWidth="1"/>
    <col min="7943" max="7943" width="25.625" style="3299" customWidth="1"/>
    <col min="7944" max="7944" width="7.875" style="3299" customWidth="1"/>
    <col min="7945" max="7945" width="40.625" style="3299" customWidth="1"/>
    <col min="7946" max="7946" width="7.875" style="3299" customWidth="1"/>
    <col min="7947" max="7948" width="9" style="3299" customWidth="1"/>
    <col min="7949" max="7950" width="10.625" style="3299" customWidth="1"/>
    <col min="7951" max="7951" width="14.375" style="3299" customWidth="1"/>
    <col min="7952" max="7952" width="6.25" style="3299" customWidth="1"/>
    <col min="7953" max="7953" width="75.625" style="3299" customWidth="1"/>
    <col min="7954" max="7954" width="7.875" style="3299" customWidth="1"/>
    <col min="7955" max="8193" width="9" style="3299"/>
    <col min="8194" max="8194" width="139" style="3299" customWidth="1"/>
    <col min="8195" max="8195" width="6.25" style="3299" customWidth="1"/>
    <col min="8196" max="8198" width="13.875" style="3299" customWidth="1"/>
    <col min="8199" max="8199" width="25.625" style="3299" customWidth="1"/>
    <col min="8200" max="8200" width="7.875" style="3299" customWidth="1"/>
    <col min="8201" max="8201" width="40.625" style="3299" customWidth="1"/>
    <col min="8202" max="8202" width="7.875" style="3299" customWidth="1"/>
    <col min="8203" max="8204" width="9" style="3299" customWidth="1"/>
    <col min="8205" max="8206" width="10.625" style="3299" customWidth="1"/>
    <col min="8207" max="8207" width="14.375" style="3299" customWidth="1"/>
    <col min="8208" max="8208" width="6.25" style="3299" customWidth="1"/>
    <col min="8209" max="8209" width="75.625" style="3299" customWidth="1"/>
    <col min="8210" max="8210" width="7.875" style="3299" customWidth="1"/>
    <col min="8211" max="8449" width="9" style="3299"/>
    <col min="8450" max="8450" width="139" style="3299" customWidth="1"/>
    <col min="8451" max="8451" width="6.25" style="3299" customWidth="1"/>
    <col min="8452" max="8454" width="13.875" style="3299" customWidth="1"/>
    <col min="8455" max="8455" width="25.625" style="3299" customWidth="1"/>
    <col min="8456" max="8456" width="7.875" style="3299" customWidth="1"/>
    <col min="8457" max="8457" width="40.625" style="3299" customWidth="1"/>
    <col min="8458" max="8458" width="7.875" style="3299" customWidth="1"/>
    <col min="8459" max="8460" width="9" style="3299" customWidth="1"/>
    <col min="8461" max="8462" width="10.625" style="3299" customWidth="1"/>
    <col min="8463" max="8463" width="14.375" style="3299" customWidth="1"/>
    <col min="8464" max="8464" width="6.25" style="3299" customWidth="1"/>
    <col min="8465" max="8465" width="75.625" style="3299" customWidth="1"/>
    <col min="8466" max="8466" width="7.875" style="3299" customWidth="1"/>
    <col min="8467" max="8705" width="9" style="3299"/>
    <col min="8706" max="8706" width="139" style="3299" customWidth="1"/>
    <col min="8707" max="8707" width="6.25" style="3299" customWidth="1"/>
    <col min="8708" max="8710" width="13.875" style="3299" customWidth="1"/>
    <col min="8711" max="8711" width="25.625" style="3299" customWidth="1"/>
    <col min="8712" max="8712" width="7.875" style="3299" customWidth="1"/>
    <col min="8713" max="8713" width="40.625" style="3299" customWidth="1"/>
    <col min="8714" max="8714" width="7.875" style="3299" customWidth="1"/>
    <col min="8715" max="8716" width="9" style="3299" customWidth="1"/>
    <col min="8717" max="8718" width="10.625" style="3299" customWidth="1"/>
    <col min="8719" max="8719" width="14.375" style="3299" customWidth="1"/>
    <col min="8720" max="8720" width="6.25" style="3299" customWidth="1"/>
    <col min="8721" max="8721" width="75.625" style="3299" customWidth="1"/>
    <col min="8722" max="8722" width="7.875" style="3299" customWidth="1"/>
    <col min="8723" max="8961" width="9" style="3299"/>
    <col min="8962" max="8962" width="139" style="3299" customWidth="1"/>
    <col min="8963" max="8963" width="6.25" style="3299" customWidth="1"/>
    <col min="8964" max="8966" width="13.875" style="3299" customWidth="1"/>
    <col min="8967" max="8967" width="25.625" style="3299" customWidth="1"/>
    <col min="8968" max="8968" width="7.875" style="3299" customWidth="1"/>
    <col min="8969" max="8969" width="40.625" style="3299" customWidth="1"/>
    <col min="8970" max="8970" width="7.875" style="3299" customWidth="1"/>
    <col min="8971" max="8972" width="9" style="3299" customWidth="1"/>
    <col min="8973" max="8974" width="10.625" style="3299" customWidth="1"/>
    <col min="8975" max="8975" width="14.375" style="3299" customWidth="1"/>
    <col min="8976" max="8976" width="6.25" style="3299" customWidth="1"/>
    <col min="8977" max="8977" width="75.625" style="3299" customWidth="1"/>
    <col min="8978" max="8978" width="7.875" style="3299" customWidth="1"/>
    <col min="8979" max="9217" width="9" style="3299"/>
    <col min="9218" max="9218" width="139" style="3299" customWidth="1"/>
    <col min="9219" max="9219" width="6.25" style="3299" customWidth="1"/>
    <col min="9220" max="9222" width="13.875" style="3299" customWidth="1"/>
    <col min="9223" max="9223" width="25.625" style="3299" customWidth="1"/>
    <col min="9224" max="9224" width="7.875" style="3299" customWidth="1"/>
    <col min="9225" max="9225" width="40.625" style="3299" customWidth="1"/>
    <col min="9226" max="9226" width="7.875" style="3299" customWidth="1"/>
    <col min="9227" max="9228" width="9" style="3299" customWidth="1"/>
    <col min="9229" max="9230" width="10.625" style="3299" customWidth="1"/>
    <col min="9231" max="9231" width="14.375" style="3299" customWidth="1"/>
    <col min="9232" max="9232" width="6.25" style="3299" customWidth="1"/>
    <col min="9233" max="9233" width="75.625" style="3299" customWidth="1"/>
    <col min="9234" max="9234" width="7.875" style="3299" customWidth="1"/>
    <col min="9235" max="9473" width="9" style="3299"/>
    <col min="9474" max="9474" width="139" style="3299" customWidth="1"/>
    <col min="9475" max="9475" width="6.25" style="3299" customWidth="1"/>
    <col min="9476" max="9478" width="13.875" style="3299" customWidth="1"/>
    <col min="9479" max="9479" width="25.625" style="3299" customWidth="1"/>
    <col min="9480" max="9480" width="7.875" style="3299" customWidth="1"/>
    <col min="9481" max="9481" width="40.625" style="3299" customWidth="1"/>
    <col min="9482" max="9482" width="7.875" style="3299" customWidth="1"/>
    <col min="9483" max="9484" width="9" style="3299" customWidth="1"/>
    <col min="9485" max="9486" width="10.625" style="3299" customWidth="1"/>
    <col min="9487" max="9487" width="14.375" style="3299" customWidth="1"/>
    <col min="9488" max="9488" width="6.25" style="3299" customWidth="1"/>
    <col min="9489" max="9489" width="75.625" style="3299" customWidth="1"/>
    <col min="9490" max="9490" width="7.875" style="3299" customWidth="1"/>
    <col min="9491" max="9729" width="9" style="3299"/>
    <col min="9730" max="9730" width="139" style="3299" customWidth="1"/>
    <col min="9731" max="9731" width="6.25" style="3299" customWidth="1"/>
    <col min="9732" max="9734" width="13.875" style="3299" customWidth="1"/>
    <col min="9735" max="9735" width="25.625" style="3299" customWidth="1"/>
    <col min="9736" max="9736" width="7.875" style="3299" customWidth="1"/>
    <col min="9737" max="9737" width="40.625" style="3299" customWidth="1"/>
    <col min="9738" max="9738" width="7.875" style="3299" customWidth="1"/>
    <col min="9739" max="9740" width="9" style="3299" customWidth="1"/>
    <col min="9741" max="9742" width="10.625" style="3299" customWidth="1"/>
    <col min="9743" max="9743" width="14.375" style="3299" customWidth="1"/>
    <col min="9744" max="9744" width="6.25" style="3299" customWidth="1"/>
    <col min="9745" max="9745" width="75.625" style="3299" customWidth="1"/>
    <col min="9746" max="9746" width="7.875" style="3299" customWidth="1"/>
    <col min="9747" max="9985" width="9" style="3299"/>
    <col min="9986" max="9986" width="139" style="3299" customWidth="1"/>
    <col min="9987" max="9987" width="6.25" style="3299" customWidth="1"/>
    <col min="9988" max="9990" width="13.875" style="3299" customWidth="1"/>
    <col min="9991" max="9991" width="25.625" style="3299" customWidth="1"/>
    <col min="9992" max="9992" width="7.875" style="3299" customWidth="1"/>
    <col min="9993" max="9993" width="40.625" style="3299" customWidth="1"/>
    <col min="9994" max="9994" width="7.875" style="3299" customWidth="1"/>
    <col min="9995" max="9996" width="9" style="3299" customWidth="1"/>
    <col min="9997" max="9998" width="10.625" style="3299" customWidth="1"/>
    <col min="9999" max="9999" width="14.375" style="3299" customWidth="1"/>
    <col min="10000" max="10000" width="6.25" style="3299" customWidth="1"/>
    <col min="10001" max="10001" width="75.625" style="3299" customWidth="1"/>
    <col min="10002" max="10002" width="7.875" style="3299" customWidth="1"/>
    <col min="10003" max="10241" width="9" style="3299"/>
    <col min="10242" max="10242" width="139" style="3299" customWidth="1"/>
    <col min="10243" max="10243" width="6.25" style="3299" customWidth="1"/>
    <col min="10244" max="10246" width="13.875" style="3299" customWidth="1"/>
    <col min="10247" max="10247" width="25.625" style="3299" customWidth="1"/>
    <col min="10248" max="10248" width="7.875" style="3299" customWidth="1"/>
    <col min="10249" max="10249" width="40.625" style="3299" customWidth="1"/>
    <col min="10250" max="10250" width="7.875" style="3299" customWidth="1"/>
    <col min="10251" max="10252" width="9" style="3299" customWidth="1"/>
    <col min="10253" max="10254" width="10.625" style="3299" customWidth="1"/>
    <col min="10255" max="10255" width="14.375" style="3299" customWidth="1"/>
    <col min="10256" max="10256" width="6.25" style="3299" customWidth="1"/>
    <col min="10257" max="10257" width="75.625" style="3299" customWidth="1"/>
    <col min="10258" max="10258" width="7.875" style="3299" customWidth="1"/>
    <col min="10259" max="10497" width="9" style="3299"/>
    <col min="10498" max="10498" width="139" style="3299" customWidth="1"/>
    <col min="10499" max="10499" width="6.25" style="3299" customWidth="1"/>
    <col min="10500" max="10502" width="13.875" style="3299" customWidth="1"/>
    <col min="10503" max="10503" width="25.625" style="3299" customWidth="1"/>
    <col min="10504" max="10504" width="7.875" style="3299" customWidth="1"/>
    <col min="10505" max="10505" width="40.625" style="3299" customWidth="1"/>
    <col min="10506" max="10506" width="7.875" style="3299" customWidth="1"/>
    <col min="10507" max="10508" width="9" style="3299" customWidth="1"/>
    <col min="10509" max="10510" width="10.625" style="3299" customWidth="1"/>
    <col min="10511" max="10511" width="14.375" style="3299" customWidth="1"/>
    <col min="10512" max="10512" width="6.25" style="3299" customWidth="1"/>
    <col min="10513" max="10513" width="75.625" style="3299" customWidth="1"/>
    <col min="10514" max="10514" width="7.875" style="3299" customWidth="1"/>
    <col min="10515" max="10753" width="9" style="3299"/>
    <col min="10754" max="10754" width="139" style="3299" customWidth="1"/>
    <col min="10755" max="10755" width="6.25" style="3299" customWidth="1"/>
    <col min="10756" max="10758" width="13.875" style="3299" customWidth="1"/>
    <col min="10759" max="10759" width="25.625" style="3299" customWidth="1"/>
    <col min="10760" max="10760" width="7.875" style="3299" customWidth="1"/>
    <col min="10761" max="10761" width="40.625" style="3299" customWidth="1"/>
    <col min="10762" max="10762" width="7.875" style="3299" customWidth="1"/>
    <col min="10763" max="10764" width="9" style="3299" customWidth="1"/>
    <col min="10765" max="10766" width="10.625" style="3299" customWidth="1"/>
    <col min="10767" max="10767" width="14.375" style="3299" customWidth="1"/>
    <col min="10768" max="10768" width="6.25" style="3299" customWidth="1"/>
    <col min="10769" max="10769" width="75.625" style="3299" customWidth="1"/>
    <col min="10770" max="10770" width="7.875" style="3299" customWidth="1"/>
    <col min="10771" max="11009" width="9" style="3299"/>
    <col min="11010" max="11010" width="139" style="3299" customWidth="1"/>
    <col min="11011" max="11011" width="6.25" style="3299" customWidth="1"/>
    <col min="11012" max="11014" width="13.875" style="3299" customWidth="1"/>
    <col min="11015" max="11015" width="25.625" style="3299" customWidth="1"/>
    <col min="11016" max="11016" width="7.875" style="3299" customWidth="1"/>
    <col min="11017" max="11017" width="40.625" style="3299" customWidth="1"/>
    <col min="11018" max="11018" width="7.875" style="3299" customWidth="1"/>
    <col min="11019" max="11020" width="9" style="3299" customWidth="1"/>
    <col min="11021" max="11022" width="10.625" style="3299" customWidth="1"/>
    <col min="11023" max="11023" width="14.375" style="3299" customWidth="1"/>
    <col min="11024" max="11024" width="6.25" style="3299" customWidth="1"/>
    <col min="11025" max="11025" width="75.625" style="3299" customWidth="1"/>
    <col min="11026" max="11026" width="7.875" style="3299" customWidth="1"/>
    <col min="11027" max="11265" width="9" style="3299"/>
    <col min="11266" max="11266" width="139" style="3299" customWidth="1"/>
    <col min="11267" max="11267" width="6.25" style="3299" customWidth="1"/>
    <col min="11268" max="11270" width="13.875" style="3299" customWidth="1"/>
    <col min="11271" max="11271" width="25.625" style="3299" customWidth="1"/>
    <col min="11272" max="11272" width="7.875" style="3299" customWidth="1"/>
    <col min="11273" max="11273" width="40.625" style="3299" customWidth="1"/>
    <col min="11274" max="11274" width="7.875" style="3299" customWidth="1"/>
    <col min="11275" max="11276" width="9" style="3299" customWidth="1"/>
    <col min="11277" max="11278" width="10.625" style="3299" customWidth="1"/>
    <col min="11279" max="11279" width="14.375" style="3299" customWidth="1"/>
    <col min="11280" max="11280" width="6.25" style="3299" customWidth="1"/>
    <col min="11281" max="11281" width="75.625" style="3299" customWidth="1"/>
    <col min="11282" max="11282" width="7.875" style="3299" customWidth="1"/>
    <col min="11283" max="11521" width="9" style="3299"/>
    <col min="11522" max="11522" width="139" style="3299" customWidth="1"/>
    <col min="11523" max="11523" width="6.25" style="3299" customWidth="1"/>
    <col min="11524" max="11526" width="13.875" style="3299" customWidth="1"/>
    <col min="11527" max="11527" width="25.625" style="3299" customWidth="1"/>
    <col min="11528" max="11528" width="7.875" style="3299" customWidth="1"/>
    <col min="11529" max="11529" width="40.625" style="3299" customWidth="1"/>
    <col min="11530" max="11530" width="7.875" style="3299" customWidth="1"/>
    <col min="11531" max="11532" width="9" style="3299" customWidth="1"/>
    <col min="11533" max="11534" width="10.625" style="3299" customWidth="1"/>
    <col min="11535" max="11535" width="14.375" style="3299" customWidth="1"/>
    <col min="11536" max="11536" width="6.25" style="3299" customWidth="1"/>
    <col min="11537" max="11537" width="75.625" style="3299" customWidth="1"/>
    <col min="11538" max="11538" width="7.875" style="3299" customWidth="1"/>
    <col min="11539" max="11777" width="9" style="3299"/>
    <col min="11778" max="11778" width="139" style="3299" customWidth="1"/>
    <col min="11779" max="11779" width="6.25" style="3299" customWidth="1"/>
    <col min="11780" max="11782" width="13.875" style="3299" customWidth="1"/>
    <col min="11783" max="11783" width="25.625" style="3299" customWidth="1"/>
    <col min="11784" max="11784" width="7.875" style="3299" customWidth="1"/>
    <col min="11785" max="11785" width="40.625" style="3299" customWidth="1"/>
    <col min="11786" max="11786" width="7.875" style="3299" customWidth="1"/>
    <col min="11787" max="11788" width="9" style="3299" customWidth="1"/>
    <col min="11789" max="11790" width="10.625" style="3299" customWidth="1"/>
    <col min="11791" max="11791" width="14.375" style="3299" customWidth="1"/>
    <col min="11792" max="11792" width="6.25" style="3299" customWidth="1"/>
    <col min="11793" max="11793" width="75.625" style="3299" customWidth="1"/>
    <col min="11794" max="11794" width="7.875" style="3299" customWidth="1"/>
    <col min="11795" max="12033" width="9" style="3299"/>
    <col min="12034" max="12034" width="139" style="3299" customWidth="1"/>
    <col min="12035" max="12035" width="6.25" style="3299" customWidth="1"/>
    <col min="12036" max="12038" width="13.875" style="3299" customWidth="1"/>
    <col min="12039" max="12039" width="25.625" style="3299" customWidth="1"/>
    <col min="12040" max="12040" width="7.875" style="3299" customWidth="1"/>
    <col min="12041" max="12041" width="40.625" style="3299" customWidth="1"/>
    <col min="12042" max="12042" width="7.875" style="3299" customWidth="1"/>
    <col min="12043" max="12044" width="9" style="3299" customWidth="1"/>
    <col min="12045" max="12046" width="10.625" style="3299" customWidth="1"/>
    <col min="12047" max="12047" width="14.375" style="3299" customWidth="1"/>
    <col min="12048" max="12048" width="6.25" style="3299" customWidth="1"/>
    <col min="12049" max="12049" width="75.625" style="3299" customWidth="1"/>
    <col min="12050" max="12050" width="7.875" style="3299" customWidth="1"/>
    <col min="12051" max="12289" width="9" style="3299"/>
    <col min="12290" max="12290" width="139" style="3299" customWidth="1"/>
    <col min="12291" max="12291" width="6.25" style="3299" customWidth="1"/>
    <col min="12292" max="12294" width="13.875" style="3299" customWidth="1"/>
    <col min="12295" max="12295" width="25.625" style="3299" customWidth="1"/>
    <col min="12296" max="12296" width="7.875" style="3299" customWidth="1"/>
    <col min="12297" max="12297" width="40.625" style="3299" customWidth="1"/>
    <col min="12298" max="12298" width="7.875" style="3299" customWidth="1"/>
    <col min="12299" max="12300" width="9" style="3299" customWidth="1"/>
    <col min="12301" max="12302" width="10.625" style="3299" customWidth="1"/>
    <col min="12303" max="12303" width="14.375" style="3299" customWidth="1"/>
    <col min="12304" max="12304" width="6.25" style="3299" customWidth="1"/>
    <col min="12305" max="12305" width="75.625" style="3299" customWidth="1"/>
    <col min="12306" max="12306" width="7.875" style="3299" customWidth="1"/>
    <col min="12307" max="12545" width="9" style="3299"/>
    <col min="12546" max="12546" width="139" style="3299" customWidth="1"/>
    <col min="12547" max="12547" width="6.25" style="3299" customWidth="1"/>
    <col min="12548" max="12550" width="13.875" style="3299" customWidth="1"/>
    <col min="12551" max="12551" width="25.625" style="3299" customWidth="1"/>
    <col min="12552" max="12552" width="7.875" style="3299" customWidth="1"/>
    <col min="12553" max="12553" width="40.625" style="3299" customWidth="1"/>
    <col min="12554" max="12554" width="7.875" style="3299" customWidth="1"/>
    <col min="12555" max="12556" width="9" style="3299" customWidth="1"/>
    <col min="12557" max="12558" width="10.625" style="3299" customWidth="1"/>
    <col min="12559" max="12559" width="14.375" style="3299" customWidth="1"/>
    <col min="12560" max="12560" width="6.25" style="3299" customWidth="1"/>
    <col min="12561" max="12561" width="75.625" style="3299" customWidth="1"/>
    <col min="12562" max="12562" width="7.875" style="3299" customWidth="1"/>
    <col min="12563" max="12801" width="9" style="3299"/>
    <col min="12802" max="12802" width="139" style="3299" customWidth="1"/>
    <col min="12803" max="12803" width="6.25" style="3299" customWidth="1"/>
    <col min="12804" max="12806" width="13.875" style="3299" customWidth="1"/>
    <col min="12807" max="12807" width="25.625" style="3299" customWidth="1"/>
    <col min="12808" max="12808" width="7.875" style="3299" customWidth="1"/>
    <col min="12809" max="12809" width="40.625" style="3299" customWidth="1"/>
    <col min="12810" max="12810" width="7.875" style="3299" customWidth="1"/>
    <col min="12811" max="12812" width="9" style="3299" customWidth="1"/>
    <col min="12813" max="12814" width="10.625" style="3299" customWidth="1"/>
    <col min="12815" max="12815" width="14.375" style="3299" customWidth="1"/>
    <col min="12816" max="12816" width="6.25" style="3299" customWidth="1"/>
    <col min="12817" max="12817" width="75.625" style="3299" customWidth="1"/>
    <col min="12818" max="12818" width="7.875" style="3299" customWidth="1"/>
    <col min="12819" max="13057" width="9" style="3299"/>
    <col min="13058" max="13058" width="139" style="3299" customWidth="1"/>
    <col min="13059" max="13059" width="6.25" style="3299" customWidth="1"/>
    <col min="13060" max="13062" width="13.875" style="3299" customWidth="1"/>
    <col min="13063" max="13063" width="25.625" style="3299" customWidth="1"/>
    <col min="13064" max="13064" width="7.875" style="3299" customWidth="1"/>
    <col min="13065" max="13065" width="40.625" style="3299" customWidth="1"/>
    <col min="13066" max="13066" width="7.875" style="3299" customWidth="1"/>
    <col min="13067" max="13068" width="9" style="3299" customWidth="1"/>
    <col min="13069" max="13070" width="10.625" style="3299" customWidth="1"/>
    <col min="13071" max="13071" width="14.375" style="3299" customWidth="1"/>
    <col min="13072" max="13072" width="6.25" style="3299" customWidth="1"/>
    <col min="13073" max="13073" width="75.625" style="3299" customWidth="1"/>
    <col min="13074" max="13074" width="7.875" style="3299" customWidth="1"/>
    <col min="13075" max="13313" width="9" style="3299"/>
    <col min="13314" max="13314" width="139" style="3299" customWidth="1"/>
    <col min="13315" max="13315" width="6.25" style="3299" customWidth="1"/>
    <col min="13316" max="13318" width="13.875" style="3299" customWidth="1"/>
    <col min="13319" max="13319" width="25.625" style="3299" customWidth="1"/>
    <col min="13320" max="13320" width="7.875" style="3299" customWidth="1"/>
    <col min="13321" max="13321" width="40.625" style="3299" customWidth="1"/>
    <col min="13322" max="13322" width="7.875" style="3299" customWidth="1"/>
    <col min="13323" max="13324" width="9" style="3299" customWidth="1"/>
    <col min="13325" max="13326" width="10.625" style="3299" customWidth="1"/>
    <col min="13327" max="13327" width="14.375" style="3299" customWidth="1"/>
    <col min="13328" max="13328" width="6.25" style="3299" customWidth="1"/>
    <col min="13329" max="13329" width="75.625" style="3299" customWidth="1"/>
    <col min="13330" max="13330" width="7.875" style="3299" customWidth="1"/>
    <col min="13331" max="13569" width="9" style="3299"/>
    <col min="13570" max="13570" width="139" style="3299" customWidth="1"/>
    <col min="13571" max="13571" width="6.25" style="3299" customWidth="1"/>
    <col min="13572" max="13574" width="13.875" style="3299" customWidth="1"/>
    <col min="13575" max="13575" width="25.625" style="3299" customWidth="1"/>
    <col min="13576" max="13576" width="7.875" style="3299" customWidth="1"/>
    <col min="13577" max="13577" width="40.625" style="3299" customWidth="1"/>
    <col min="13578" max="13578" width="7.875" style="3299" customWidth="1"/>
    <col min="13579" max="13580" width="9" style="3299" customWidth="1"/>
    <col min="13581" max="13582" width="10.625" style="3299" customWidth="1"/>
    <col min="13583" max="13583" width="14.375" style="3299" customWidth="1"/>
    <col min="13584" max="13584" width="6.25" style="3299" customWidth="1"/>
    <col min="13585" max="13585" width="75.625" style="3299" customWidth="1"/>
    <col min="13586" max="13586" width="7.875" style="3299" customWidth="1"/>
    <col min="13587" max="13825" width="9" style="3299"/>
    <col min="13826" max="13826" width="139" style="3299" customWidth="1"/>
    <col min="13827" max="13827" width="6.25" style="3299" customWidth="1"/>
    <col min="13828" max="13830" width="13.875" style="3299" customWidth="1"/>
    <col min="13831" max="13831" width="25.625" style="3299" customWidth="1"/>
    <col min="13832" max="13832" width="7.875" style="3299" customWidth="1"/>
    <col min="13833" max="13833" width="40.625" style="3299" customWidth="1"/>
    <col min="13834" max="13834" width="7.875" style="3299" customWidth="1"/>
    <col min="13835" max="13836" width="9" style="3299" customWidth="1"/>
    <col min="13837" max="13838" width="10.625" style="3299" customWidth="1"/>
    <col min="13839" max="13839" width="14.375" style="3299" customWidth="1"/>
    <col min="13840" max="13840" width="6.25" style="3299" customWidth="1"/>
    <col min="13841" max="13841" width="75.625" style="3299" customWidth="1"/>
    <col min="13842" max="13842" width="7.875" style="3299" customWidth="1"/>
    <col min="13843" max="14081" width="9" style="3299"/>
    <col min="14082" max="14082" width="139" style="3299" customWidth="1"/>
    <col min="14083" max="14083" width="6.25" style="3299" customWidth="1"/>
    <col min="14084" max="14086" width="13.875" style="3299" customWidth="1"/>
    <col min="14087" max="14087" width="25.625" style="3299" customWidth="1"/>
    <col min="14088" max="14088" width="7.875" style="3299" customWidth="1"/>
    <col min="14089" max="14089" width="40.625" style="3299" customWidth="1"/>
    <col min="14090" max="14090" width="7.875" style="3299" customWidth="1"/>
    <col min="14091" max="14092" width="9" style="3299" customWidth="1"/>
    <col min="14093" max="14094" width="10.625" style="3299" customWidth="1"/>
    <col min="14095" max="14095" width="14.375" style="3299" customWidth="1"/>
    <col min="14096" max="14096" width="6.25" style="3299" customWidth="1"/>
    <col min="14097" max="14097" width="75.625" style="3299" customWidth="1"/>
    <col min="14098" max="14098" width="7.875" style="3299" customWidth="1"/>
    <col min="14099" max="14337" width="9" style="3299"/>
    <col min="14338" max="14338" width="139" style="3299" customWidth="1"/>
    <col min="14339" max="14339" width="6.25" style="3299" customWidth="1"/>
    <col min="14340" max="14342" width="13.875" style="3299" customWidth="1"/>
    <col min="14343" max="14343" width="25.625" style="3299" customWidth="1"/>
    <col min="14344" max="14344" width="7.875" style="3299" customWidth="1"/>
    <col min="14345" max="14345" width="40.625" style="3299" customWidth="1"/>
    <col min="14346" max="14346" width="7.875" style="3299" customWidth="1"/>
    <col min="14347" max="14348" width="9" style="3299" customWidth="1"/>
    <col min="14349" max="14350" width="10.625" style="3299" customWidth="1"/>
    <col min="14351" max="14351" width="14.375" style="3299" customWidth="1"/>
    <col min="14352" max="14352" width="6.25" style="3299" customWidth="1"/>
    <col min="14353" max="14353" width="75.625" style="3299" customWidth="1"/>
    <col min="14354" max="14354" width="7.875" style="3299" customWidth="1"/>
    <col min="14355" max="14593" width="9" style="3299"/>
    <col min="14594" max="14594" width="139" style="3299" customWidth="1"/>
    <col min="14595" max="14595" width="6.25" style="3299" customWidth="1"/>
    <col min="14596" max="14598" width="13.875" style="3299" customWidth="1"/>
    <col min="14599" max="14599" width="25.625" style="3299" customWidth="1"/>
    <col min="14600" max="14600" width="7.875" style="3299" customWidth="1"/>
    <col min="14601" max="14601" width="40.625" style="3299" customWidth="1"/>
    <col min="14602" max="14602" width="7.875" style="3299" customWidth="1"/>
    <col min="14603" max="14604" width="9" style="3299" customWidth="1"/>
    <col min="14605" max="14606" width="10.625" style="3299" customWidth="1"/>
    <col min="14607" max="14607" width="14.375" style="3299" customWidth="1"/>
    <col min="14608" max="14608" width="6.25" style="3299" customWidth="1"/>
    <col min="14609" max="14609" width="75.625" style="3299" customWidth="1"/>
    <col min="14610" max="14610" width="7.875" style="3299" customWidth="1"/>
    <col min="14611" max="14849" width="9" style="3299"/>
    <col min="14850" max="14850" width="139" style="3299" customWidth="1"/>
    <col min="14851" max="14851" width="6.25" style="3299" customWidth="1"/>
    <col min="14852" max="14854" width="13.875" style="3299" customWidth="1"/>
    <col min="14855" max="14855" width="25.625" style="3299" customWidth="1"/>
    <col min="14856" max="14856" width="7.875" style="3299" customWidth="1"/>
    <col min="14857" max="14857" width="40.625" style="3299" customWidth="1"/>
    <col min="14858" max="14858" width="7.875" style="3299" customWidth="1"/>
    <col min="14859" max="14860" width="9" style="3299" customWidth="1"/>
    <col min="14861" max="14862" width="10.625" style="3299" customWidth="1"/>
    <col min="14863" max="14863" width="14.375" style="3299" customWidth="1"/>
    <col min="14864" max="14864" width="6.25" style="3299" customWidth="1"/>
    <col min="14865" max="14865" width="75.625" style="3299" customWidth="1"/>
    <col min="14866" max="14866" width="7.875" style="3299" customWidth="1"/>
    <col min="14867" max="15105" width="9" style="3299"/>
    <col min="15106" max="15106" width="139" style="3299" customWidth="1"/>
    <col min="15107" max="15107" width="6.25" style="3299" customWidth="1"/>
    <col min="15108" max="15110" width="13.875" style="3299" customWidth="1"/>
    <col min="15111" max="15111" width="25.625" style="3299" customWidth="1"/>
    <col min="15112" max="15112" width="7.875" style="3299" customWidth="1"/>
    <col min="15113" max="15113" width="40.625" style="3299" customWidth="1"/>
    <col min="15114" max="15114" width="7.875" style="3299" customWidth="1"/>
    <col min="15115" max="15116" width="9" style="3299" customWidth="1"/>
    <col min="15117" max="15118" width="10.625" style="3299" customWidth="1"/>
    <col min="15119" max="15119" width="14.375" style="3299" customWidth="1"/>
    <col min="15120" max="15120" width="6.25" style="3299" customWidth="1"/>
    <col min="15121" max="15121" width="75.625" style="3299" customWidth="1"/>
    <col min="15122" max="15122" width="7.875" style="3299" customWidth="1"/>
    <col min="15123" max="15361" width="9" style="3299"/>
    <col min="15362" max="15362" width="139" style="3299" customWidth="1"/>
    <col min="15363" max="15363" width="6.25" style="3299" customWidth="1"/>
    <col min="15364" max="15366" width="13.875" style="3299" customWidth="1"/>
    <col min="15367" max="15367" width="25.625" style="3299" customWidth="1"/>
    <col min="15368" max="15368" width="7.875" style="3299" customWidth="1"/>
    <col min="15369" max="15369" width="40.625" style="3299" customWidth="1"/>
    <col min="15370" max="15370" width="7.875" style="3299" customWidth="1"/>
    <col min="15371" max="15372" width="9" style="3299" customWidth="1"/>
    <col min="15373" max="15374" width="10.625" style="3299" customWidth="1"/>
    <col min="15375" max="15375" width="14.375" style="3299" customWidth="1"/>
    <col min="15376" max="15376" width="6.25" style="3299" customWidth="1"/>
    <col min="15377" max="15377" width="75.625" style="3299" customWidth="1"/>
    <col min="15378" max="15378" width="7.875" style="3299" customWidth="1"/>
    <col min="15379" max="15617" width="9" style="3299"/>
    <col min="15618" max="15618" width="139" style="3299" customWidth="1"/>
    <col min="15619" max="15619" width="6.25" style="3299" customWidth="1"/>
    <col min="15620" max="15622" width="13.875" style="3299" customWidth="1"/>
    <col min="15623" max="15623" width="25.625" style="3299" customWidth="1"/>
    <col min="15624" max="15624" width="7.875" style="3299" customWidth="1"/>
    <col min="15625" max="15625" width="40.625" style="3299" customWidth="1"/>
    <col min="15626" max="15626" width="7.875" style="3299" customWidth="1"/>
    <col min="15627" max="15628" width="9" style="3299" customWidth="1"/>
    <col min="15629" max="15630" width="10.625" style="3299" customWidth="1"/>
    <col min="15631" max="15631" width="14.375" style="3299" customWidth="1"/>
    <col min="15632" max="15632" width="6.25" style="3299" customWidth="1"/>
    <col min="15633" max="15633" width="75.625" style="3299" customWidth="1"/>
    <col min="15634" max="15634" width="7.875" style="3299" customWidth="1"/>
    <col min="15635" max="15873" width="9" style="3299"/>
    <col min="15874" max="15874" width="139" style="3299" customWidth="1"/>
    <col min="15875" max="15875" width="6.25" style="3299" customWidth="1"/>
    <col min="15876" max="15878" width="13.875" style="3299" customWidth="1"/>
    <col min="15879" max="15879" width="25.625" style="3299" customWidth="1"/>
    <col min="15880" max="15880" width="7.875" style="3299" customWidth="1"/>
    <col min="15881" max="15881" width="40.625" style="3299" customWidth="1"/>
    <col min="15882" max="15882" width="7.875" style="3299" customWidth="1"/>
    <col min="15883" max="15884" width="9" style="3299" customWidth="1"/>
    <col min="15885" max="15886" width="10.625" style="3299" customWidth="1"/>
    <col min="15887" max="15887" width="14.375" style="3299" customWidth="1"/>
    <col min="15888" max="15888" width="6.25" style="3299" customWidth="1"/>
    <col min="15889" max="15889" width="75.625" style="3299" customWidth="1"/>
    <col min="15890" max="15890" width="7.875" style="3299" customWidth="1"/>
    <col min="15891" max="16129" width="9" style="3299"/>
    <col min="16130" max="16130" width="139" style="3299" customWidth="1"/>
    <col min="16131" max="16131" width="6.25" style="3299" customWidth="1"/>
    <col min="16132" max="16134" width="13.875" style="3299" customWidth="1"/>
    <col min="16135" max="16135" width="25.625" style="3299" customWidth="1"/>
    <col min="16136" max="16136" width="7.875" style="3299" customWidth="1"/>
    <col min="16137" max="16137" width="40.625" style="3299" customWidth="1"/>
    <col min="16138" max="16138" width="7.875" style="3299" customWidth="1"/>
    <col min="16139" max="16140" width="9" style="3299" customWidth="1"/>
    <col min="16141" max="16142" width="10.625" style="3299" customWidth="1"/>
    <col min="16143" max="16143" width="14.375" style="3299" customWidth="1"/>
    <col min="16144" max="16144" width="6.25" style="3299" customWidth="1"/>
    <col min="16145" max="16145" width="75.625" style="3299" customWidth="1"/>
    <col min="16146" max="16146" width="7.875" style="3299" customWidth="1"/>
    <col min="16147" max="16384" width="9" style="3299"/>
  </cols>
  <sheetData>
    <row r="1" spans="1:26" ht="27">
      <c r="A1" s="3299" t="s">
        <v>3133</v>
      </c>
      <c r="B1" s="3299" t="s">
        <v>3134</v>
      </c>
      <c r="C1" s="3299" t="s">
        <v>3135</v>
      </c>
      <c r="D1" s="3299" t="s">
        <v>3136</v>
      </c>
      <c r="E1" s="3299" t="s">
        <v>3137</v>
      </c>
      <c r="F1" s="3299" t="s">
        <v>2019</v>
      </c>
      <c r="G1" s="3316" t="s">
        <v>3210</v>
      </c>
      <c r="H1" s="3299" t="s">
        <v>3138</v>
      </c>
      <c r="I1" s="3299" t="s">
        <v>3139</v>
      </c>
      <c r="J1" s="3299" t="s">
        <v>3140</v>
      </c>
      <c r="K1" s="3299" t="s">
        <v>3141</v>
      </c>
      <c r="L1" s="3299" t="s">
        <v>3142</v>
      </c>
      <c r="M1" s="3299" t="s">
        <v>3143</v>
      </c>
      <c r="N1" s="3299" t="s">
        <v>3144</v>
      </c>
      <c r="O1" s="3299" t="s">
        <v>3145</v>
      </c>
      <c r="P1" s="3299" t="s">
        <v>3146</v>
      </c>
      <c r="Q1" s="3299" t="s">
        <v>3147</v>
      </c>
      <c r="R1" s="3299" t="s">
        <v>3148</v>
      </c>
      <c r="S1" s="3316" t="s">
        <v>3211</v>
      </c>
      <c r="T1" s="3316" t="s">
        <v>3212</v>
      </c>
      <c r="U1" s="3316" t="s">
        <v>3213</v>
      </c>
      <c r="V1" s="3316" t="s">
        <v>3215</v>
      </c>
      <c r="W1" s="3316" t="s">
        <v>3216</v>
      </c>
    </row>
    <row r="2" spans="1:26" ht="42.75" customHeight="1">
      <c r="A2" s="3316" t="s">
        <v>3214</v>
      </c>
      <c r="B2" s="3299" t="s">
        <v>1933</v>
      </c>
      <c r="C2" s="3299" t="s">
        <v>3150</v>
      </c>
      <c r="D2" s="3299">
        <v>44474.33</v>
      </c>
      <c r="E2" s="3299">
        <v>95931.32</v>
      </c>
      <c r="F2" s="3299" t="s">
        <v>3164</v>
      </c>
      <c r="G2" s="3299">
        <f>ROUND(E2/D2,2)</f>
        <v>2.16</v>
      </c>
      <c r="H2" s="3299" t="s">
        <v>3152</v>
      </c>
      <c r="I2" s="3299" t="s">
        <v>3165</v>
      </c>
      <c r="J2" s="3299" t="s">
        <v>3154</v>
      </c>
      <c r="K2" s="3299" t="s">
        <v>3155</v>
      </c>
      <c r="L2" s="3299" t="s">
        <v>3166</v>
      </c>
      <c r="M2" s="3299">
        <v>179200</v>
      </c>
      <c r="N2" s="3299">
        <v>224000</v>
      </c>
      <c r="O2" s="3299">
        <v>23350</v>
      </c>
      <c r="P2" s="3299">
        <v>25</v>
      </c>
      <c r="Q2" s="3299" t="s">
        <v>3167</v>
      </c>
      <c r="R2" s="3299" t="s">
        <v>3163</v>
      </c>
      <c r="S2" s="3299">
        <v>70000</v>
      </c>
      <c r="V2" s="3299">
        <f>(N2-27158*1.3)/63369*10000/0.8</f>
        <v>37221.393741419306</v>
      </c>
      <c r="W2" s="3316" t="s">
        <v>3217</v>
      </c>
    </row>
    <row r="3" spans="1:26" s="3317" customFormat="1" ht="67.5">
      <c r="A3" s="3317" t="s">
        <v>3149</v>
      </c>
      <c r="B3" s="3317" t="s">
        <v>1933</v>
      </c>
      <c r="C3" s="3317" t="s">
        <v>3150</v>
      </c>
      <c r="D3" s="3317">
        <v>104979.3</v>
      </c>
      <c r="E3" s="3317">
        <v>177256.92</v>
      </c>
      <c r="F3" s="3317" t="s">
        <v>3151</v>
      </c>
      <c r="G3" s="3317">
        <f t="shared" ref="G3:G14" si="0">ROUND(E3/D3,2)</f>
        <v>1.69</v>
      </c>
      <c r="H3" s="3317" t="s">
        <v>3152</v>
      </c>
      <c r="I3" s="3317" t="s">
        <v>3153</v>
      </c>
      <c r="J3" s="3317" t="s">
        <v>3154</v>
      </c>
      <c r="K3" s="3317" t="s">
        <v>3155</v>
      </c>
      <c r="L3" s="3317" t="s">
        <v>3156</v>
      </c>
      <c r="M3" s="3317">
        <v>447000</v>
      </c>
      <c r="N3" s="3317">
        <v>451600</v>
      </c>
      <c r="O3" s="3317">
        <v>25477</v>
      </c>
      <c r="P3" s="3317">
        <v>1.03</v>
      </c>
      <c r="Q3" s="3317" t="s">
        <v>3157</v>
      </c>
      <c r="R3" s="3317" t="s">
        <v>3158</v>
      </c>
      <c r="S3" s="3317">
        <v>45000</v>
      </c>
      <c r="V3" s="3317">
        <f>ROUND(N3/(E3-3162.856)*10000,0)</f>
        <v>25940</v>
      </c>
      <c r="W3" s="3318"/>
      <c r="X3" s="3317">
        <f>O3/S3</f>
        <v>0.56615555555555552</v>
      </c>
    </row>
    <row r="4" spans="1:26" ht="54">
      <c r="A4" s="3299" t="s">
        <v>3159</v>
      </c>
      <c r="B4" s="3299" t="s">
        <v>1933</v>
      </c>
      <c r="C4" s="3299" t="s">
        <v>3150</v>
      </c>
      <c r="D4" s="3299">
        <v>124063.23</v>
      </c>
      <c r="E4" s="3299">
        <v>240662.81</v>
      </c>
      <c r="F4" s="3299" t="s">
        <v>3160</v>
      </c>
      <c r="G4" s="3299">
        <f t="shared" si="0"/>
        <v>1.94</v>
      </c>
      <c r="H4" s="3299" t="s">
        <v>3152</v>
      </c>
      <c r="I4" s="3299" t="s">
        <v>3161</v>
      </c>
      <c r="J4" s="3299" t="s">
        <v>3154</v>
      </c>
      <c r="K4" s="3299" t="s">
        <v>3155</v>
      </c>
      <c r="L4" s="3299" t="s">
        <v>3156</v>
      </c>
      <c r="M4" s="3299">
        <v>358000</v>
      </c>
      <c r="N4" s="3299">
        <v>411500</v>
      </c>
      <c r="O4" s="3299">
        <v>17099</v>
      </c>
      <c r="P4" s="3299">
        <v>14.94</v>
      </c>
      <c r="Q4" s="3299" t="s">
        <v>3162</v>
      </c>
      <c r="R4" s="3299" t="s">
        <v>3163</v>
      </c>
      <c r="S4" s="3299">
        <v>62000</v>
      </c>
      <c r="V4" s="3319">
        <f>(N4+11500*2)/(E4-11500)*10000</f>
        <v>18960.319084933544</v>
      </c>
      <c r="W4" s="3316" t="s">
        <v>3218</v>
      </c>
    </row>
    <row r="5" spans="1:26" s="3321" customFormat="1" ht="67.5">
      <c r="A5" s="3321" t="s">
        <v>3168</v>
      </c>
      <c r="B5" s="3321" t="s">
        <v>1933</v>
      </c>
      <c r="C5" s="3321" t="s">
        <v>3150</v>
      </c>
      <c r="D5" s="3321">
        <v>37814.6</v>
      </c>
      <c r="E5" s="3321">
        <v>77172</v>
      </c>
      <c r="F5" s="3321" t="s">
        <v>3169</v>
      </c>
      <c r="G5" s="3321">
        <f t="shared" si="0"/>
        <v>2.04</v>
      </c>
      <c r="H5" s="3321" t="s">
        <v>3152</v>
      </c>
      <c r="I5" s="3321" t="s">
        <v>3170</v>
      </c>
      <c r="J5" s="3321">
        <v>0</v>
      </c>
      <c r="K5" s="3321" t="s">
        <v>3171</v>
      </c>
      <c r="L5" s="3321" t="s">
        <v>3171</v>
      </c>
      <c r="M5" s="3321">
        <v>113100</v>
      </c>
      <c r="N5" s="3321">
        <v>124000</v>
      </c>
      <c r="O5" s="3321">
        <v>16068</v>
      </c>
      <c r="P5" s="3321">
        <v>9.64</v>
      </c>
      <c r="Q5" s="3321" t="s">
        <v>3172</v>
      </c>
      <c r="R5" s="3321" t="s">
        <v>3163</v>
      </c>
      <c r="V5" s="3321">
        <f>ROUND((N5-2.2*0.3*50000)/(E5-50000)*10000,0)</f>
        <v>33490</v>
      </c>
      <c r="W5" s="3322" t="s">
        <v>3219</v>
      </c>
    </row>
    <row r="6" spans="1:26" s="3324" customFormat="1" ht="40.5">
      <c r="A6" s="3324" t="s">
        <v>3173</v>
      </c>
      <c r="B6" s="3324" t="s">
        <v>1933</v>
      </c>
      <c r="C6" s="3324" t="s">
        <v>3150</v>
      </c>
      <c r="D6" s="3324">
        <v>27525.64</v>
      </c>
      <c r="E6" s="3324">
        <v>50251</v>
      </c>
      <c r="F6" s="3324" t="s">
        <v>3174</v>
      </c>
      <c r="G6" s="3324">
        <f t="shared" si="0"/>
        <v>1.83</v>
      </c>
      <c r="H6" s="3324" t="s">
        <v>3152</v>
      </c>
      <c r="I6" s="3324" t="s">
        <v>3170</v>
      </c>
      <c r="J6" s="3324">
        <v>0</v>
      </c>
      <c r="K6" s="3324" t="s">
        <v>3175</v>
      </c>
      <c r="L6" s="3324" t="s">
        <v>3175</v>
      </c>
      <c r="M6" s="3324">
        <v>90000</v>
      </c>
      <c r="N6" s="3324">
        <v>134800</v>
      </c>
      <c r="O6" s="3324">
        <v>26825</v>
      </c>
      <c r="P6" s="3324">
        <v>49.78</v>
      </c>
      <c r="Q6" s="3324" t="s">
        <v>3176</v>
      </c>
      <c r="R6" s="3324" t="s">
        <v>3163</v>
      </c>
      <c r="T6" s="3325">
        <v>7.0000000000000007E-2</v>
      </c>
      <c r="U6" s="3324">
        <v>54000</v>
      </c>
      <c r="V6" s="3326">
        <f>ROUND((N6)/47051*10000,0)</f>
        <v>28650</v>
      </c>
      <c r="W6" s="3326" t="s">
        <v>3221</v>
      </c>
      <c r="X6" s="3326" t="s">
        <v>3224</v>
      </c>
    </row>
    <row r="7" spans="1:26" s="3319" customFormat="1" ht="81">
      <c r="A7" s="3319" t="s">
        <v>3177</v>
      </c>
      <c r="B7" s="3319" t="s">
        <v>1933</v>
      </c>
      <c r="C7" s="3319" t="s">
        <v>3150</v>
      </c>
      <c r="D7" s="3319">
        <v>99023.27</v>
      </c>
      <c r="E7" s="3319">
        <v>220184.56</v>
      </c>
      <c r="F7" s="3319" t="s">
        <v>3178</v>
      </c>
      <c r="G7" s="3319">
        <f>ROUND(E7/D7,2)</f>
        <v>2.2200000000000002</v>
      </c>
      <c r="H7" s="3319" t="s">
        <v>3152</v>
      </c>
      <c r="I7" s="3319" t="s">
        <v>3170</v>
      </c>
      <c r="J7" s="3319">
        <v>0</v>
      </c>
      <c r="K7" s="3319" t="s">
        <v>3179</v>
      </c>
      <c r="L7" s="3319" t="s">
        <v>3179</v>
      </c>
      <c r="M7" s="3319">
        <v>380000</v>
      </c>
      <c r="N7" s="3319">
        <v>467000</v>
      </c>
      <c r="O7" s="3319">
        <v>21209</v>
      </c>
      <c r="P7" s="3319">
        <v>22.89</v>
      </c>
      <c r="Q7" s="3319" t="s">
        <v>3180</v>
      </c>
      <c r="R7" s="3319" t="s">
        <v>3181</v>
      </c>
      <c r="U7" s="3319">
        <v>43000</v>
      </c>
      <c r="V7" s="3319">
        <f>ROUND(N7/215924*10000,0)</f>
        <v>21628</v>
      </c>
      <c r="W7" s="3320" t="s">
        <v>3235</v>
      </c>
      <c r="X7" s="3320" t="s">
        <v>3228</v>
      </c>
      <c r="Y7" s="3320">
        <v>5325.1409999999996</v>
      </c>
      <c r="Z7" s="3319">
        <f>215924/(D7-Y7)</f>
        <v>2.3044643719620059</v>
      </c>
    </row>
    <row r="8" spans="1:26" s="3319" customFormat="1" ht="54">
      <c r="A8" s="3319" t="s">
        <v>3182</v>
      </c>
      <c r="B8" s="3319" t="s">
        <v>1933</v>
      </c>
      <c r="C8" s="3319" t="s">
        <v>3150</v>
      </c>
      <c r="D8" s="3319">
        <v>73240.63</v>
      </c>
      <c r="E8" s="3319">
        <v>153989</v>
      </c>
      <c r="F8" s="3319" t="s">
        <v>3169</v>
      </c>
      <c r="G8" s="3319">
        <f t="shared" si="0"/>
        <v>2.1</v>
      </c>
      <c r="H8" s="3319" t="s">
        <v>3152</v>
      </c>
      <c r="I8" s="3319" t="s">
        <v>3183</v>
      </c>
      <c r="J8" s="3319">
        <v>0</v>
      </c>
      <c r="K8" s="3319" t="s">
        <v>3184</v>
      </c>
      <c r="L8" s="3319" t="s">
        <v>3184</v>
      </c>
      <c r="M8" s="3319">
        <v>332000</v>
      </c>
      <c r="N8" s="3319">
        <v>332000</v>
      </c>
      <c r="O8" s="3319">
        <v>21559</v>
      </c>
      <c r="P8" s="3319">
        <v>0</v>
      </c>
      <c r="Q8" s="3319" t="s">
        <v>3185</v>
      </c>
      <c r="R8" s="3319" t="s">
        <v>3158</v>
      </c>
      <c r="S8" s="3319">
        <v>45446</v>
      </c>
      <c r="U8" s="3319">
        <v>38000</v>
      </c>
      <c r="V8" s="3319">
        <f>ROUND(N8/149909*10000,0)</f>
        <v>22147</v>
      </c>
      <c r="W8" s="3320" t="s">
        <v>3223</v>
      </c>
      <c r="X8" s="3320" t="s">
        <v>3332</v>
      </c>
      <c r="Y8" s="3319">
        <v>5100</v>
      </c>
    </row>
    <row r="9" spans="1:26" s="3321" customFormat="1" ht="27">
      <c r="A9" s="3321" t="s">
        <v>3186</v>
      </c>
      <c r="B9" s="3321" t="s">
        <v>1933</v>
      </c>
      <c r="C9" s="3321" t="s">
        <v>3150</v>
      </c>
      <c r="D9" s="3321">
        <v>39084.339999999997</v>
      </c>
      <c r="E9" s="3321">
        <v>59071</v>
      </c>
      <c r="F9" s="3321" t="s">
        <v>3187</v>
      </c>
      <c r="G9" s="3321">
        <f t="shared" si="0"/>
        <v>1.51</v>
      </c>
      <c r="H9" s="3321" t="s">
        <v>3152</v>
      </c>
      <c r="I9" s="3321" t="s">
        <v>3183</v>
      </c>
      <c r="J9" s="3321">
        <v>0</v>
      </c>
      <c r="K9" s="3321" t="s">
        <v>3188</v>
      </c>
      <c r="L9" s="3321" t="s">
        <v>3188</v>
      </c>
      <c r="M9" s="3321">
        <v>132000</v>
      </c>
      <c r="N9" s="3321">
        <v>188000</v>
      </c>
      <c r="O9" s="3321">
        <v>31826</v>
      </c>
      <c r="P9" s="3321">
        <v>42.42</v>
      </c>
      <c r="Q9" s="3321" t="s">
        <v>3189</v>
      </c>
      <c r="R9" s="3321" t="s">
        <v>3158</v>
      </c>
      <c r="S9" s="3321">
        <v>52508</v>
      </c>
      <c r="U9" s="3321">
        <v>51000</v>
      </c>
      <c r="V9" s="3321">
        <f>ROUND((N9)/55607*10000,0)</f>
        <v>33809</v>
      </c>
      <c r="W9" s="3322" t="s">
        <v>3220</v>
      </c>
      <c r="X9" s="3322" t="s">
        <v>3225</v>
      </c>
    </row>
    <row r="10" spans="1:26" s="3319" customFormat="1" ht="40.5">
      <c r="A10" s="3319" t="s">
        <v>3190</v>
      </c>
      <c r="B10" s="3319" t="s">
        <v>1933</v>
      </c>
      <c r="C10" s="3319" t="s">
        <v>3150</v>
      </c>
      <c r="D10" s="3319">
        <v>51248.95</v>
      </c>
      <c r="E10" s="3319">
        <v>78434</v>
      </c>
      <c r="F10" s="3319" t="s">
        <v>3191</v>
      </c>
      <c r="G10" s="3319">
        <f t="shared" si="0"/>
        <v>1.53</v>
      </c>
      <c r="H10" s="3319" t="s">
        <v>3152</v>
      </c>
      <c r="I10" s="3319" t="s">
        <v>3192</v>
      </c>
      <c r="J10" s="3319">
        <v>0</v>
      </c>
      <c r="K10" s="3319" t="s">
        <v>3188</v>
      </c>
      <c r="L10" s="3319" t="s">
        <v>3188</v>
      </c>
      <c r="M10" s="3319">
        <v>153000</v>
      </c>
      <c r="N10" s="3319">
        <v>183000</v>
      </c>
      <c r="O10" s="3319">
        <v>23332</v>
      </c>
      <c r="P10" s="3319">
        <v>19.61</v>
      </c>
      <c r="Q10" s="3319" t="s">
        <v>3193</v>
      </c>
      <c r="R10" s="3319" t="s">
        <v>3158</v>
      </c>
      <c r="S10" s="3319">
        <v>52508</v>
      </c>
      <c r="U10" s="3319">
        <v>50000</v>
      </c>
      <c r="V10" s="3319">
        <f>ROUND((N10-22462*1.3)/52408*10000,0)</f>
        <v>29347</v>
      </c>
      <c r="W10" s="3320" t="s">
        <v>3222</v>
      </c>
      <c r="X10" s="3320" t="s">
        <v>3229</v>
      </c>
      <c r="Y10" s="3319">
        <v>4455.8069999999998</v>
      </c>
    </row>
    <row r="11" spans="1:26" s="3323" customFormat="1" ht="27">
      <c r="A11" s="3323" t="s">
        <v>3194</v>
      </c>
      <c r="B11" s="3323" t="s">
        <v>1933</v>
      </c>
      <c r="C11" s="3323" t="s">
        <v>3150</v>
      </c>
      <c r="D11" s="3323">
        <v>29550.2</v>
      </c>
      <c r="E11" s="3323">
        <v>54407</v>
      </c>
      <c r="F11" s="3323">
        <v>1.84</v>
      </c>
      <c r="G11" s="3323">
        <f t="shared" si="0"/>
        <v>1.84</v>
      </c>
      <c r="H11" s="3323" t="s">
        <v>3152</v>
      </c>
      <c r="I11" s="3323" t="s">
        <v>3183</v>
      </c>
      <c r="J11" s="3323">
        <v>0</v>
      </c>
      <c r="K11" s="3323" t="s">
        <v>3195</v>
      </c>
      <c r="L11" s="3323" t="s">
        <v>3195</v>
      </c>
      <c r="M11" s="3323">
        <v>60300</v>
      </c>
      <c r="N11" s="3323">
        <v>84000</v>
      </c>
      <c r="O11" s="3323">
        <v>15439</v>
      </c>
      <c r="P11" s="3323">
        <v>39.299999999999997</v>
      </c>
      <c r="Q11" s="3323" t="s">
        <v>3196</v>
      </c>
      <c r="R11" s="3323" t="s">
        <v>3181</v>
      </c>
      <c r="S11" s="3323">
        <v>30000</v>
      </c>
    </row>
    <row r="12" spans="1:26" ht="40.5">
      <c r="A12" s="3299" t="s">
        <v>3197</v>
      </c>
      <c r="B12" s="3299" t="s">
        <v>1933</v>
      </c>
      <c r="C12" s="3299" t="s">
        <v>3150</v>
      </c>
      <c r="D12" s="3299">
        <v>115506.3</v>
      </c>
      <c r="E12" s="3299">
        <v>280243</v>
      </c>
      <c r="F12" s="3299">
        <v>2.4300000000000002</v>
      </c>
      <c r="G12" s="3299">
        <f t="shared" si="0"/>
        <v>2.4300000000000002</v>
      </c>
      <c r="H12" s="3299" t="s">
        <v>3152</v>
      </c>
      <c r="I12" s="3299" t="s">
        <v>3183</v>
      </c>
      <c r="J12" s="3299">
        <v>0</v>
      </c>
      <c r="K12" s="3299" t="s">
        <v>3195</v>
      </c>
      <c r="L12" s="3299" t="s">
        <v>3195</v>
      </c>
      <c r="M12" s="3299">
        <v>650000</v>
      </c>
      <c r="N12" s="3299">
        <v>666000</v>
      </c>
      <c r="O12" s="3299">
        <v>23765</v>
      </c>
      <c r="P12" s="3299">
        <v>2.46</v>
      </c>
      <c r="Q12" s="3299" t="s">
        <v>3198</v>
      </c>
      <c r="R12" s="3299" t="s">
        <v>3158</v>
      </c>
      <c r="S12" s="3299">
        <v>51581</v>
      </c>
      <c r="U12" s="3299">
        <v>49000</v>
      </c>
    </row>
    <row r="13" spans="1:26" s="3323" customFormat="1" ht="54">
      <c r="A13" s="3323" t="s">
        <v>3199</v>
      </c>
      <c r="B13" s="3323" t="s">
        <v>1933</v>
      </c>
      <c r="C13" s="3323" t="s">
        <v>3200</v>
      </c>
      <c r="D13" s="3323">
        <v>69229.279999999999</v>
      </c>
      <c r="E13" s="3323">
        <v>173073</v>
      </c>
      <c r="F13" s="3323">
        <v>2.5</v>
      </c>
      <c r="G13" s="3323">
        <f t="shared" si="0"/>
        <v>2.5</v>
      </c>
      <c r="H13" s="3323" t="s">
        <v>3152</v>
      </c>
      <c r="I13" s="3323" t="s">
        <v>3201</v>
      </c>
      <c r="J13" s="3323">
        <v>0</v>
      </c>
      <c r="K13" s="3323" t="s">
        <v>3195</v>
      </c>
      <c r="L13" s="3323" t="s">
        <v>3195</v>
      </c>
      <c r="M13" s="3323">
        <v>181000</v>
      </c>
      <c r="N13" s="3323">
        <v>255000</v>
      </c>
      <c r="O13" s="3323">
        <v>14734</v>
      </c>
      <c r="P13" s="3323">
        <v>40.880000000000003</v>
      </c>
      <c r="Q13" s="3323" t="s">
        <v>3202</v>
      </c>
      <c r="R13" s="3323" t="s">
        <v>3158</v>
      </c>
      <c r="S13" s="3323">
        <v>25600</v>
      </c>
    </row>
    <row r="14" spans="1:26" ht="40.5">
      <c r="A14" s="3299" t="s">
        <v>3203</v>
      </c>
      <c r="B14" s="3299" t="s">
        <v>1933</v>
      </c>
      <c r="C14" s="3299" t="s">
        <v>3150</v>
      </c>
      <c r="D14" s="3299">
        <v>65453.36</v>
      </c>
      <c r="E14" s="3299">
        <v>148992</v>
      </c>
      <c r="F14" s="3299">
        <v>2.2799999999999998</v>
      </c>
      <c r="G14" s="3299">
        <f t="shared" si="0"/>
        <v>2.2799999999999998</v>
      </c>
      <c r="H14" s="3299" t="s">
        <v>3152</v>
      </c>
      <c r="I14" s="3299" t="s">
        <v>3204</v>
      </c>
      <c r="J14" s="3299">
        <v>0</v>
      </c>
      <c r="K14" s="3299" t="s">
        <v>3205</v>
      </c>
      <c r="L14" s="3299" t="s">
        <v>3205</v>
      </c>
      <c r="M14" s="3299">
        <v>143500</v>
      </c>
      <c r="N14" s="3299">
        <v>143500</v>
      </c>
      <c r="O14" s="3299">
        <v>9631</v>
      </c>
      <c r="P14" s="3299">
        <v>0</v>
      </c>
      <c r="Q14" s="3299" t="s">
        <v>3206</v>
      </c>
      <c r="R14" s="3299" t="s">
        <v>3181</v>
      </c>
    </row>
  </sheetData>
  <phoneticPr fontId="2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tabSelected="1" view="pageBreakPreview" topLeftCell="A7" zoomScale="90" zoomScaleNormal="80" zoomScaleSheetLayoutView="90" workbookViewId="0">
      <selection activeCell="C30" sqref="C3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31" s="1921" customFormat="1" ht="18" customHeight="1">
      <c r="A2" s="1980" t="s">
        <v>461</v>
      </c>
      <c r="B2" s="1984">
        <f ca="1">C36</f>
        <v>117035</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1674</v>
      </c>
      <c r="B3" s="1986">
        <f ca="1">ROUND(B2*10000/IF(B1="",'数据-汇总表'!E3,INDIRECT("'数据-取费表'!K"&amp;$K$1)),0)</f>
        <v>18543</v>
      </c>
      <c r="C3" s="1983"/>
      <c r="D3" s="1983"/>
      <c r="E3" s="1983"/>
      <c r="F3" s="1983"/>
      <c r="G3" s="1983"/>
      <c r="H3" s="1983"/>
      <c r="I3" s="1983"/>
      <c r="J3" s="1983"/>
      <c r="K3" s="1983"/>
      <c r="L3" s="289">
        <f ca="1">B2/'数据-汇总表'!F19</f>
        <v>2.8207666753923601</v>
      </c>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50664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3378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1832</v>
      </c>
      <c r="B6" s="2543"/>
      <c r="C6" s="2544">
        <f>SUM(C10:K10)</f>
        <v>197924</v>
      </c>
      <c r="D6" s="2543"/>
      <c r="E6" s="2543"/>
      <c r="F6" s="2543"/>
      <c r="G6" s="2543"/>
      <c r="H6" s="2543"/>
      <c r="I6" s="2543"/>
      <c r="J6" s="2543"/>
      <c r="K6" s="2545"/>
      <c r="L6" s="3190"/>
      <c r="M6" s="3190"/>
      <c r="N6" s="3190"/>
      <c r="O6" s="3190"/>
      <c r="P6" s="3190"/>
      <c r="Q6" s="3190"/>
      <c r="R6" s="3190"/>
      <c r="S6" s="3190"/>
      <c r="T6" s="3190"/>
      <c r="U6" s="3190"/>
      <c r="V6" s="3190"/>
      <c r="W6" s="3190"/>
      <c r="X6" s="3190"/>
      <c r="Y6" s="3190"/>
      <c r="Z6" s="3190"/>
    </row>
    <row r="7" spans="1:31" s="1992" customFormat="1" ht="15">
      <c r="A7" s="2546" t="s">
        <v>464</v>
      </c>
      <c r="B7" s="2547" t="s">
        <v>465</v>
      </c>
      <c r="C7" s="429" t="s">
        <v>3390</v>
      </c>
      <c r="D7" s="429" t="s">
        <v>3115</v>
      </c>
      <c r="E7" s="429" t="s">
        <v>35</v>
      </c>
      <c r="F7" s="429"/>
      <c r="G7" s="429"/>
      <c r="H7" s="429"/>
      <c r="I7" s="429"/>
      <c r="J7" s="429"/>
      <c r="K7" s="430"/>
      <c r="L7" s="1992">
        <f>C6/(C9+D9+E9)</f>
        <v>3.272796800515541</v>
      </c>
      <c r="AA7" s="1991"/>
      <c r="AB7" s="1991"/>
      <c r="AC7" s="1991"/>
      <c r="AD7" s="1991"/>
      <c r="AE7" s="1991"/>
    </row>
    <row r="8" spans="1:31" s="1994" customFormat="1" ht="13.5" customHeight="1">
      <c r="A8" s="792" t="s">
        <v>1835</v>
      </c>
      <c r="B8" s="258" t="s">
        <v>466</v>
      </c>
      <c r="C8" s="2548">
        <f>'不动产比较法-住宅'!B3</f>
        <v>44068</v>
      </c>
      <c r="D8" s="2548">
        <f>'不动产比较法-仓储'!B3</f>
        <v>11806</v>
      </c>
      <c r="E8" s="2548">
        <f>'不动产比较法-车位'!B3</f>
        <v>5839</v>
      </c>
      <c r="F8" s="2548"/>
      <c r="G8" s="2548"/>
      <c r="H8" s="2548"/>
      <c r="I8" s="2548"/>
      <c r="J8" s="2548"/>
      <c r="K8" s="2549"/>
      <c r="AA8" s="1993"/>
      <c r="AB8" s="1993"/>
      <c r="AC8" s="1993"/>
      <c r="AD8" s="1993"/>
      <c r="AE8" s="1993"/>
    </row>
    <row r="9" spans="1:31" s="1994" customFormat="1" ht="13.5" customHeight="1">
      <c r="A9" s="792" t="s">
        <v>1836</v>
      </c>
      <c r="B9" s="258" t="s">
        <v>467</v>
      </c>
      <c r="C9" s="3400">
        <f>SUMIF('数据-汇总表'!$C19:$C33,'剩余法-待开发'!C7,'数据-汇总表'!$E19:$E33)</f>
        <v>41490.493000000002</v>
      </c>
      <c r="D9" s="434">
        <f>SUMIF('数据-汇总表'!$C19:$C33,'剩余法-待开发'!D7,'数据-汇总表'!$E19:$E33)</f>
        <v>6701</v>
      </c>
      <c r="E9" s="434">
        <f>SUMIF('数据-汇总表'!$C19:$C33,'剩余法-待开发'!E7,'数据-汇总表'!$E19:$E33)</f>
        <v>12284</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4">
        <f>(D9+E9)/C9</f>
        <v>0.45757470271563172</v>
      </c>
      <c r="AA9" s="1993"/>
      <c r="AB9" s="1993"/>
      <c r="AC9" s="1993"/>
      <c r="AD9" s="1993"/>
      <c r="AE9" s="1993"/>
    </row>
    <row r="10" spans="1:31" s="1994" customFormat="1" ht="13.5" customHeight="1" thickBot="1">
      <c r="A10" s="2550" t="s">
        <v>1837</v>
      </c>
      <c r="B10" s="2536" t="s">
        <v>468</v>
      </c>
      <c r="C10" s="2737">
        <f>'不动产比较法-住宅'!B2</f>
        <v>182840</v>
      </c>
      <c r="D10" s="2737">
        <f>'不动产比较法-仓储'!B2</f>
        <v>7911</v>
      </c>
      <c r="E10" s="2737">
        <f>'不动产比较法-车位'!B2</f>
        <v>7173</v>
      </c>
      <c r="F10" s="2551"/>
      <c r="G10" s="2551"/>
      <c r="H10" s="2551"/>
      <c r="I10" s="2551"/>
      <c r="J10" s="2551"/>
      <c r="K10" s="2552"/>
      <c r="L10" s="1994">
        <f>E10/'不动产比较法-车位'!F3</f>
        <v>13.559546313799622</v>
      </c>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0"/>
      <c r="M11" s="3190"/>
      <c r="N11" s="3190"/>
      <c r="O11" s="3190"/>
      <c r="P11" s="3190"/>
      <c r="Q11" s="3190"/>
      <c r="R11" s="3190"/>
      <c r="S11" s="3190"/>
      <c r="T11" s="3190"/>
      <c r="U11" s="3190"/>
      <c r="V11" s="3190"/>
      <c r="W11" s="3190"/>
      <c r="X11" s="3190"/>
      <c r="Y11" s="3190"/>
      <c r="Z11" s="3190"/>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1"/>
      <c r="M12" s="3191"/>
      <c r="N12" s="3191"/>
      <c r="O12" s="3191"/>
      <c r="P12" s="3191"/>
      <c r="Q12" s="3191"/>
      <c r="R12" s="3191"/>
      <c r="S12" s="3191"/>
      <c r="T12" s="3191"/>
      <c r="U12" s="3191"/>
      <c r="V12" s="3191"/>
      <c r="W12" s="3191"/>
      <c r="X12" s="3191"/>
      <c r="Y12" s="3191"/>
      <c r="Z12" s="3191"/>
    </row>
    <row r="13" spans="1:31" s="1995" customFormat="1" ht="13.5" customHeight="1">
      <c r="A13" s="2556" t="s">
        <v>1838</v>
      </c>
      <c r="B13" s="2557" t="s">
        <v>473</v>
      </c>
      <c r="C13" s="443">
        <f ca="1">IF(B1="",'数据-取费表'!P16,INDIRECT("'数据-取费表'!p"&amp;$K$1)+INDIRECT("'数据-取费表'!t"&amp;$K$1))</f>
        <v>27070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2">
        <f ca="1">ROUND(C13*F14,0)</f>
        <v>1354</v>
      </c>
      <c r="D14" s="2558"/>
      <c r="E14" s="2559"/>
      <c r="F14" s="2561">
        <f>'数据-取费表'!B33</f>
        <v>0.05</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2">
        <f ca="1">ROUND(IF(B1="",SUMIF('数据-取费表'!C:C,"住宅",'数据-取费表'!P:P)*F15,IF(INDIRECT("'数据-取费表'!c"&amp;$K$1)="住宅",INDIRECT("'数据-取费表'!P"&amp;$K$1)*F15,0)),0)</f>
        <v>1660</v>
      </c>
      <c r="D15" s="2558"/>
      <c r="E15" s="2559"/>
      <c r="F15" s="2561">
        <f>'数据-取费表'!B34</f>
        <v>0.08</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2">
        <f ca="1">ROUND(D16*E16/10000,0)</f>
        <v>1262</v>
      </c>
      <c r="D16" s="2558">
        <f ca="1">IF(B1="",'数据-汇总表'!E3,INDIRECT("'数据-取费表'!K"&amp;$K$1)+INDIRECT("'数据-取费表'!S"&amp;$K$1))</f>
        <v>63115.493000000002</v>
      </c>
      <c r="E16" s="52">
        <f>'数据-取费表'!B35</f>
        <v>200</v>
      </c>
      <c r="F16" s="2561"/>
      <c r="G16" s="2526"/>
      <c r="H16" s="2527"/>
      <c r="I16" s="2527"/>
      <c r="J16" s="2527"/>
      <c r="K16" s="2528"/>
      <c r="AA16" s="1995"/>
      <c r="AB16" s="1995"/>
      <c r="AC16" s="1995"/>
      <c r="AD16" s="1995"/>
      <c r="AE16" s="1995"/>
    </row>
    <row r="17" spans="1:26" s="1995" customFormat="1" ht="13.5" customHeight="1">
      <c r="A17" s="2556" t="s">
        <v>1842</v>
      </c>
      <c r="B17" s="2557" t="s">
        <v>479</v>
      </c>
      <c r="C17" s="2562">
        <f ca="1">ROUND(C13*F17,0)</f>
        <v>406</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31752</v>
      </c>
      <c r="D18" s="2567"/>
      <c r="E18" s="461"/>
      <c r="F18" s="461"/>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189</v>
      </c>
      <c r="D19" s="2568">
        <f ca="1">D16</f>
        <v>63115.493000000002</v>
      </c>
      <c r="E19" s="2522">
        <f>'数据-取费表'!B32</f>
        <v>30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1097</v>
      </c>
      <c r="D20" s="2568"/>
      <c r="E20" s="2522"/>
      <c r="F20" s="2569"/>
      <c r="G20" s="2771"/>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2">
        <f ca="1">ROUND(D21*E21/10000,0)</f>
        <v>664</v>
      </c>
      <c r="D21" s="2558">
        <f ca="1">IF(B1="",'数据-汇总表'!E5,IF(INDIRECT("'数据-取费表'!c"&amp;$K$1)="住宅",INDIRECT("'数据-取费表'!k"&amp;$K$1),0))</f>
        <v>41490.493000000002</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2">
        <f ca="1">ROUND(D22*E22/10000,0)</f>
        <v>433</v>
      </c>
      <c r="D22" s="2558">
        <f ca="1">IF(B1="",'数据-汇总表'!E6,IF(INDIRECT("'数据-取费表'!c"&amp;$K$1)="住宅",INDIRECT("'数据-取费表'!s"&amp;$K$1),INDIRECT("'数据-取费表'!k"&amp;$K$1)+INDIRECT("'数据-取费表'!s"&amp;$K$1)))</f>
        <v>21625</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3" t="s">
        <v>2810</v>
      </c>
      <c r="C23" s="2566">
        <f ca="1">ROUND((C18+C19+C20)*F23,0)</f>
        <v>826</v>
      </c>
      <c r="D23" s="461"/>
      <c r="E23" s="461"/>
      <c r="F23" s="2570">
        <f>'数据-取费表'!B37</f>
        <v>2.5000000000000001E-2</v>
      </c>
      <c r="G23" s="2526" t="s">
        <v>2413</v>
      </c>
      <c r="H23" s="2527"/>
      <c r="I23" s="2527"/>
      <c r="J23" s="2527"/>
      <c r="K23" s="2528"/>
      <c r="L23" s="3192"/>
      <c r="M23" s="3192"/>
      <c r="N23" s="3192"/>
      <c r="O23" s="1996"/>
      <c r="P23" s="1996"/>
      <c r="Q23" s="1996"/>
      <c r="R23" s="1996"/>
      <c r="S23" s="1996"/>
      <c r="T23" s="1996"/>
      <c r="U23" s="1996"/>
      <c r="V23" s="1996"/>
      <c r="W23" s="1996"/>
      <c r="X23" s="1996"/>
      <c r="Y23" s="1996"/>
      <c r="Z23" s="1996"/>
    </row>
    <row r="24" spans="1:26" s="1995" customFormat="1" ht="13.5" customHeight="1">
      <c r="A24" s="2564" t="s">
        <v>1849</v>
      </c>
      <c r="B24" s="2743" t="s">
        <v>2813</v>
      </c>
      <c r="C24" s="2566">
        <f>ROUND(C6*F24,0)</f>
        <v>4948</v>
      </c>
      <c r="D24" s="468"/>
      <c r="E24" s="466"/>
      <c r="F24" s="2570">
        <f>'数据-取费表'!B38</f>
        <v>2.5000000000000001E-2</v>
      </c>
      <c r="G24" s="2535" t="s">
        <v>493</v>
      </c>
      <c r="H24" s="2529"/>
      <c r="I24" s="2529"/>
      <c r="J24" s="2529"/>
      <c r="K24" s="276"/>
      <c r="L24" s="3192"/>
      <c r="M24" s="3192"/>
      <c r="N24" s="3192"/>
      <c r="O24" s="1996"/>
      <c r="P24" s="1996"/>
      <c r="Q24" s="1996"/>
      <c r="R24" s="1996"/>
      <c r="S24" s="1996"/>
      <c r="T24" s="1996"/>
      <c r="U24" s="1996"/>
      <c r="V24" s="1996"/>
      <c r="W24" s="1996"/>
      <c r="X24" s="1996"/>
      <c r="Y24" s="1996"/>
      <c r="Z24" s="1996"/>
    </row>
    <row r="25" spans="1:26" s="1998" customFormat="1" ht="13.5" customHeight="1">
      <c r="A25" s="2564" t="s">
        <v>1850</v>
      </c>
      <c r="B25" s="2743" t="s">
        <v>2811</v>
      </c>
      <c r="C25" s="460">
        <f>ROUND(F25/(1+'数据-取费表'!C42),4)</f>
        <v>2.9000000000000001E-2</v>
      </c>
      <c r="D25" s="455" t="s">
        <v>2805</v>
      </c>
      <c r="E25" s="462"/>
      <c r="F25" s="2570">
        <f>IF(项目基本情况!B8="出让",0,'数据-取费表'!B48+'数据-取费表'!B49)</f>
        <v>3.0499999999999999E-2</v>
      </c>
      <c r="G25" s="2534" t="s">
        <v>2275</v>
      </c>
      <c r="H25" s="2527"/>
      <c r="I25" s="2527"/>
      <c r="J25" s="2527"/>
      <c r="K25" s="2528"/>
      <c r="L25" s="3193"/>
      <c r="M25" s="3193"/>
      <c r="N25" s="3193"/>
      <c r="O25" s="3193"/>
      <c r="P25" s="3193"/>
      <c r="Q25" s="3193"/>
      <c r="R25" s="3193"/>
      <c r="S25" s="3193"/>
      <c r="T25" s="3193"/>
      <c r="U25" s="3193"/>
      <c r="V25" s="3193"/>
      <c r="W25" s="3193"/>
      <c r="X25" s="3193"/>
      <c r="Y25" s="3193"/>
      <c r="Z25" s="3193"/>
    </row>
    <row r="26" spans="1:26" s="1997" customFormat="1" ht="13.5" customHeight="1">
      <c r="A26" s="2564" t="s">
        <v>1851</v>
      </c>
      <c r="B26" s="2744" t="s">
        <v>2812</v>
      </c>
      <c r="C26" s="2571">
        <f ca="1">C28</f>
        <v>1259</v>
      </c>
      <c r="D26" s="460">
        <f ca="1">C27</f>
        <v>6.7900000000000002E-2</v>
      </c>
      <c r="E26" s="462" t="s">
        <v>489</v>
      </c>
      <c r="F26" s="464">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2"/>
      <c r="M26" s="3192"/>
      <c r="N26" s="3192"/>
      <c r="O26" s="3192"/>
      <c r="P26" s="3192"/>
      <c r="Q26" s="3192"/>
      <c r="R26" s="3192"/>
      <c r="S26" s="3192"/>
      <c r="T26" s="3192"/>
      <c r="U26" s="3192"/>
      <c r="V26" s="3192"/>
      <c r="W26" s="3192"/>
      <c r="X26" s="3192"/>
      <c r="Y26" s="3192"/>
      <c r="Z26" s="3192"/>
    </row>
    <row r="27" spans="1:26" s="1999" customFormat="1" ht="13.5" customHeight="1">
      <c r="A27" s="792" t="s">
        <v>1846</v>
      </c>
      <c r="B27" s="2572" t="s">
        <v>490</v>
      </c>
      <c r="C27" s="2573">
        <f ca="1">ROUND(IF('数据-取费表'!B22&lt;=1,(1+C25)*F26*'数据-取费表'!B24,(1+C25)*(POWER((1+F26),'数据-取费表'!B24)-1)),4)</f>
        <v>6.7900000000000002E-2</v>
      </c>
      <c r="D27" s="465"/>
      <c r="E27" s="466"/>
      <c r="F27" s="467"/>
      <c r="G27" s="2421" t="str">
        <f>IF('数据-取费表'!B22&lt;=1,"（1+取得税费率/(1+5%)）×年利率×建设期","（1+取得税费率）/(1+5%)×((1+年利率)^建设期-1)")</f>
        <v>（1+取得税费率）/(1+5%)×((1+年利率)^建设期-1)</v>
      </c>
      <c r="H27" s="2529"/>
      <c r="I27" s="2529"/>
      <c r="J27" s="2529"/>
      <c r="K27" s="276"/>
      <c r="L27" s="3194"/>
      <c r="M27" s="3194"/>
      <c r="N27" s="3194"/>
      <c r="O27" s="3194"/>
      <c r="P27" s="3194"/>
      <c r="Q27" s="3194"/>
      <c r="R27" s="3194"/>
      <c r="S27" s="3194"/>
      <c r="T27" s="3194"/>
      <c r="U27" s="3194"/>
      <c r="V27" s="3194"/>
      <c r="W27" s="3194"/>
      <c r="X27" s="3194"/>
      <c r="Y27" s="3194"/>
      <c r="Z27" s="3194"/>
    </row>
    <row r="28" spans="1:26" s="1999" customFormat="1" ht="13.5" customHeight="1">
      <c r="A28" s="792" t="s">
        <v>1847</v>
      </c>
      <c r="B28" s="2572" t="s">
        <v>2814</v>
      </c>
      <c r="C28" s="2574">
        <f ca="1">ROUND(IF('数据-取费表'!B22&lt;=1,(C18+C19+C20+C23+C24)*F26*'数据-取费表'!B24/2,(C18+C19+C20+C23+C24)*(POWER((1+F26),'数据-取费表'!B24/2)-1)),0)</f>
        <v>1259</v>
      </c>
      <c r="D28" s="465"/>
      <c r="E28" s="466"/>
      <c r="F28" s="467"/>
      <c r="G28" s="2421" t="str">
        <f>IF('数据-取费表'!B22&lt;=1,"（1）-（4）项×年利率×建设期÷2","（1）-（4）项×((1+年利率)^(建设期÷2)-1)")</f>
        <v>（1）-（4）项×((1+年利率)^(建设期÷2)-1)</v>
      </c>
      <c r="H28" s="2529"/>
      <c r="I28" s="2529"/>
      <c r="J28" s="2529"/>
      <c r="K28" s="276"/>
      <c r="L28" s="3194"/>
      <c r="M28" s="3194"/>
      <c r="N28" s="3194"/>
      <c r="O28" s="3194"/>
      <c r="P28" s="3194"/>
      <c r="Q28" s="3194"/>
      <c r="R28" s="3194"/>
      <c r="S28" s="3194"/>
      <c r="T28" s="3194"/>
      <c r="U28" s="3194"/>
      <c r="V28" s="3194"/>
      <c r="W28" s="3194"/>
      <c r="X28" s="3194"/>
      <c r="Y28" s="3194"/>
      <c r="Z28" s="3194"/>
    </row>
    <row r="29" spans="1:26" s="1999" customFormat="1" ht="13.5" customHeight="1">
      <c r="A29" s="2575" t="s">
        <v>1852</v>
      </c>
      <c r="B29" s="2565" t="s">
        <v>491</v>
      </c>
      <c r="C29" s="2566">
        <f>ROUND(C6*F29/(1+'数据-取费表'!C42),0)</f>
        <v>10367</v>
      </c>
      <c r="D29" s="461"/>
      <c r="E29" s="461"/>
      <c r="F29" s="2745">
        <f>'数据-取费表'!B41</f>
        <v>5.5000000000000007E-2</v>
      </c>
      <c r="G29" s="2535" t="s">
        <v>492</v>
      </c>
      <c r="H29" s="2527"/>
      <c r="I29" s="2527"/>
      <c r="J29" s="2527"/>
      <c r="K29" s="2528"/>
      <c r="L29" s="3194"/>
      <c r="M29" s="3194"/>
      <c r="N29" s="3194"/>
      <c r="O29" s="3194"/>
      <c r="P29" s="3194"/>
      <c r="Q29" s="3194"/>
      <c r="R29" s="3194"/>
      <c r="S29" s="3194"/>
      <c r="T29" s="3194"/>
      <c r="U29" s="3194"/>
      <c r="V29" s="3194"/>
      <c r="W29" s="3194"/>
      <c r="X29" s="3194"/>
      <c r="Y29" s="3194"/>
      <c r="Z29" s="3194"/>
    </row>
    <row r="30" spans="1:26" s="2000" customFormat="1" ht="13.5" customHeight="1">
      <c r="A30" s="1561" t="s">
        <v>1853</v>
      </c>
      <c r="B30" s="2576" t="s">
        <v>494</v>
      </c>
      <c r="C30" s="2571">
        <f ca="1">C31</f>
        <v>50438</v>
      </c>
      <c r="D30" s="470">
        <f ca="1">C32</f>
        <v>9.69E-2</v>
      </c>
      <c r="E30" s="462" t="s">
        <v>489</v>
      </c>
      <c r="F30" s="464"/>
      <c r="G30" s="2534" t="s">
        <v>2914</v>
      </c>
      <c r="H30" s="2527"/>
      <c r="I30" s="2527"/>
      <c r="J30" s="2527"/>
      <c r="K30" s="2528"/>
      <c r="L30" s="3195"/>
      <c r="M30" s="3195"/>
      <c r="N30" s="3195"/>
      <c r="O30" s="3195"/>
      <c r="P30" s="3195"/>
      <c r="Q30" s="3195"/>
      <c r="R30" s="3195"/>
      <c r="S30" s="3195"/>
      <c r="T30" s="3195"/>
      <c r="U30" s="3195"/>
      <c r="V30" s="3195"/>
      <c r="W30" s="3195"/>
      <c r="X30" s="3195"/>
      <c r="Y30" s="3195"/>
      <c r="Z30" s="3195"/>
    </row>
    <row r="31" spans="1:26" s="1999" customFormat="1" ht="13.5" customHeight="1">
      <c r="A31" s="792" t="s">
        <v>1846</v>
      </c>
      <c r="B31" s="2572"/>
      <c r="C31" s="443">
        <f ca="1">C18+C19+C20+C23+C24+C26+C29</f>
        <v>50438</v>
      </c>
      <c r="D31" s="465"/>
      <c r="E31" s="466"/>
      <c r="F31" s="467"/>
      <c r="G31" s="258"/>
      <c r="H31" s="2529"/>
      <c r="I31" s="2529"/>
      <c r="J31" s="2529"/>
      <c r="K31" s="276"/>
      <c r="L31" s="3194"/>
      <c r="M31" s="3194"/>
      <c r="N31" s="3194"/>
      <c r="O31" s="3194"/>
      <c r="P31" s="3194"/>
      <c r="Q31" s="3194"/>
      <c r="R31" s="3194"/>
      <c r="S31" s="3194"/>
      <c r="T31" s="3194"/>
      <c r="U31" s="3194"/>
      <c r="V31" s="3194"/>
      <c r="W31" s="3194"/>
      <c r="X31" s="3194"/>
      <c r="Y31" s="3194"/>
      <c r="Z31" s="3194"/>
    </row>
    <row r="32" spans="1:26" s="1999" customFormat="1" ht="13.5" customHeight="1">
      <c r="A32" s="792" t="s">
        <v>1847</v>
      </c>
      <c r="B32" s="2572"/>
      <c r="C32" s="52">
        <f ca="1">ROUND(C25+D26,4)</f>
        <v>9.69E-2</v>
      </c>
      <c r="D32" s="465"/>
      <c r="E32" s="466"/>
      <c r="F32" s="467"/>
      <c r="G32" s="258"/>
      <c r="H32" s="2529"/>
      <c r="I32" s="2529"/>
      <c r="J32" s="2529"/>
      <c r="K32" s="276"/>
      <c r="L32" s="3194"/>
      <c r="M32" s="3194"/>
      <c r="N32" s="3194"/>
      <c r="O32" s="3194"/>
      <c r="P32" s="3194"/>
      <c r="Q32" s="3194"/>
      <c r="R32" s="3194"/>
      <c r="S32" s="3194"/>
      <c r="T32" s="3194"/>
      <c r="U32" s="3194"/>
      <c r="V32" s="3194"/>
      <c r="W32" s="3194"/>
      <c r="X32" s="3194"/>
      <c r="Y32" s="3194"/>
      <c r="Z32" s="3194"/>
    </row>
    <row r="33" spans="1:26" s="2001" customFormat="1" ht="13.5" customHeight="1">
      <c r="A33" s="2742" t="s">
        <v>2809</v>
      </c>
      <c r="B33" s="2740" t="s">
        <v>2807</v>
      </c>
      <c r="C33" s="471">
        <f ca="1">C35</f>
        <v>4657</v>
      </c>
      <c r="D33" s="460">
        <f ca="1">C34</f>
        <v>0.1235</v>
      </c>
      <c r="E33" s="462" t="s">
        <v>489</v>
      </c>
      <c r="F33" s="472">
        <f ca="1">IF(B1="",'数据-取费表'!Q16,INDIRECT("'数据-取费表'!q"&amp;$K$1))</f>
        <v>0.12</v>
      </c>
      <c r="G33" s="2530"/>
      <c r="H33" s="2531"/>
      <c r="I33" s="2531"/>
      <c r="J33" s="2531"/>
      <c r="K33" s="2532"/>
      <c r="L33" s="3196"/>
      <c r="M33" s="3196"/>
      <c r="N33" s="3196"/>
      <c r="O33" s="3196"/>
      <c r="P33" s="3196"/>
      <c r="Q33" s="3196"/>
      <c r="R33" s="3196"/>
      <c r="S33" s="3196"/>
      <c r="T33" s="3196"/>
      <c r="U33" s="3196"/>
      <c r="V33" s="3196"/>
      <c r="W33" s="3196"/>
      <c r="X33" s="3196"/>
      <c r="Y33" s="3196"/>
      <c r="Z33" s="3196"/>
    </row>
    <row r="34" spans="1:26" s="2002" customFormat="1" ht="13.5" customHeight="1">
      <c r="A34" s="368" t="s">
        <v>1846</v>
      </c>
      <c r="B34" s="2577" t="s">
        <v>495</v>
      </c>
      <c r="C34" s="465">
        <f ca="1">ROUND((1+C25)*F33,4)</f>
        <v>0.1235</v>
      </c>
      <c r="D34" s="465"/>
      <c r="E34" s="466"/>
      <c r="F34" s="473"/>
      <c r="G34" s="258" t="s">
        <v>2276</v>
      </c>
      <c r="H34" s="2529"/>
      <c r="I34" s="2529"/>
      <c r="J34" s="2529"/>
      <c r="K34" s="276"/>
      <c r="L34" s="3197"/>
      <c r="M34" s="3197"/>
      <c r="N34" s="3197"/>
      <c r="O34" s="3197"/>
      <c r="P34" s="3197"/>
      <c r="Q34" s="3197"/>
      <c r="R34" s="3197"/>
      <c r="S34" s="3197"/>
      <c r="T34" s="3197"/>
      <c r="U34" s="3197"/>
      <c r="V34" s="3197"/>
      <c r="W34" s="3197"/>
      <c r="X34" s="3197"/>
      <c r="Y34" s="3197"/>
      <c r="Z34" s="3197"/>
    </row>
    <row r="35" spans="1:26" s="2002" customFormat="1" ht="13.5" customHeight="1" thickBot="1">
      <c r="A35" s="1562" t="s">
        <v>1847</v>
      </c>
      <c r="B35" s="2741" t="s">
        <v>2815</v>
      </c>
      <c r="C35" s="1554">
        <f ca="1">ROUND((C18+C19+C20+C23+C24)*F33,0)</f>
        <v>4657</v>
      </c>
      <c r="D35" s="1555"/>
      <c r="E35" s="2578"/>
      <c r="F35" s="1556"/>
      <c r="G35" s="2536"/>
      <c r="H35" s="2537"/>
      <c r="I35" s="2537"/>
      <c r="J35" s="2537"/>
      <c r="K35" s="2538"/>
      <c r="L35" s="3197"/>
      <c r="M35" s="3197"/>
      <c r="N35" s="3197"/>
      <c r="O35" s="3197"/>
      <c r="P35" s="3197"/>
      <c r="Q35" s="3197"/>
      <c r="R35" s="3197"/>
      <c r="S35" s="3197"/>
      <c r="T35" s="3197"/>
      <c r="U35" s="3197"/>
      <c r="V35" s="3197"/>
      <c r="W35" s="3197"/>
      <c r="X35" s="3197"/>
      <c r="Y35" s="3197"/>
      <c r="Z35" s="3197"/>
    </row>
    <row r="36" spans="1:26" s="1964" customFormat="1" ht="13.5" customHeight="1" thickBot="1">
      <c r="A36" s="281" t="s">
        <v>1834</v>
      </c>
      <c r="B36" s="2540"/>
      <c r="C36" s="2579">
        <f ca="1">ROUND((C6-C30-C33)/(1+D30+D33),0)</f>
        <v>117035</v>
      </c>
      <c r="D36" s="2540"/>
      <c r="E36" s="2540"/>
      <c r="F36" s="2540"/>
      <c r="G36" s="2539" t="s">
        <v>2816</v>
      </c>
      <c r="H36" s="2540"/>
      <c r="I36" s="2540"/>
      <c r="J36" s="2540"/>
      <c r="K36" s="2541"/>
      <c r="L36" s="3191"/>
      <c r="M36" s="3191"/>
      <c r="N36" s="3191"/>
      <c r="O36" s="3191"/>
      <c r="P36" s="3191"/>
      <c r="Q36" s="3191"/>
      <c r="R36" s="3191"/>
      <c r="S36" s="3191"/>
      <c r="T36" s="3191"/>
      <c r="U36" s="3191"/>
      <c r="V36" s="3191"/>
      <c r="W36" s="3191"/>
      <c r="X36" s="3191"/>
      <c r="Y36" s="3191"/>
      <c r="Z36" s="3191"/>
    </row>
    <row r="37" spans="1:26" s="1994" customFormat="1">
      <c r="A37" s="3198"/>
      <c r="C37" s="3199"/>
      <c r="E37" s="3198"/>
    </row>
    <row r="38" spans="1:26" s="1994" customFormat="1" ht="12.75" customHeight="1">
      <c r="A38" s="3198"/>
      <c r="C38" s="3199"/>
      <c r="E38" s="3198"/>
    </row>
    <row r="39" spans="1:26" s="1994" customFormat="1">
      <c r="A39" s="3198"/>
      <c r="C39" s="3199"/>
      <c r="E39" s="3198"/>
    </row>
    <row r="40" spans="1:26" s="1994" customFormat="1">
      <c r="A40" s="3198"/>
      <c r="C40" s="3199"/>
      <c r="E40" s="3198"/>
    </row>
    <row r="41" spans="1:26" s="1994" customFormat="1">
      <c r="A41" s="3198"/>
      <c r="C41" s="3199"/>
      <c r="E41" s="3198"/>
    </row>
    <row r="42" spans="1:26" s="1994" customFormat="1">
      <c r="A42" s="3198"/>
      <c r="C42" s="3199"/>
      <c r="E42" s="3198"/>
    </row>
    <row r="43" spans="1:26" s="1994" customFormat="1">
      <c r="A43" s="3198"/>
      <c r="C43" s="3199"/>
      <c r="E43" s="3198"/>
    </row>
    <row r="44" spans="1:26" s="1994" customFormat="1">
      <c r="A44" s="3198"/>
      <c r="C44" s="3199"/>
      <c r="E44" s="3198"/>
    </row>
    <row r="45" spans="1:26" s="1994" customFormat="1">
      <c r="A45" s="3198"/>
      <c r="C45" s="3199"/>
      <c r="E45" s="3198"/>
    </row>
    <row r="46" spans="1:26" s="1994" customFormat="1">
      <c r="A46" s="3198"/>
      <c r="C46" s="3199"/>
      <c r="E46" s="3198"/>
    </row>
    <row r="47" spans="1:26" s="1994" customFormat="1">
      <c r="A47" s="3198"/>
      <c r="C47" s="3199"/>
      <c r="E47" s="3198"/>
    </row>
    <row r="48" spans="1:26"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row r="226" spans="1:5" s="1994" customFormat="1">
      <c r="A226" s="3198"/>
      <c r="C226" s="3199"/>
      <c r="E226" s="3198"/>
    </row>
    <row r="227" spans="1:5" s="1994" customFormat="1">
      <c r="A227" s="3198"/>
      <c r="C227" s="3199"/>
      <c r="E227" s="3198"/>
    </row>
    <row r="228" spans="1:5" s="1994" customFormat="1">
      <c r="A228" s="3198"/>
      <c r="C228" s="3199"/>
      <c r="E228" s="3198"/>
    </row>
    <row r="229" spans="1:5" s="1994" customFormat="1">
      <c r="A229" s="3198"/>
      <c r="C229" s="3199"/>
      <c r="E229" s="3198"/>
    </row>
    <row r="230" spans="1:5" s="1994" customFormat="1">
      <c r="A230" s="3198"/>
      <c r="C230" s="3199"/>
      <c r="E230" s="3198"/>
    </row>
    <row r="231" spans="1:5" s="1994" customFormat="1">
      <c r="A231" s="3198"/>
      <c r="C231" s="3199"/>
      <c r="E231" s="3198"/>
    </row>
    <row r="232" spans="1:5" s="1994" customFormat="1">
      <c r="A232" s="3198"/>
      <c r="C232" s="3199"/>
      <c r="E232" s="3198"/>
    </row>
    <row r="233" spans="1:5" s="1994" customFormat="1">
      <c r="A233" s="3198"/>
      <c r="C233" s="3199"/>
      <c r="E233" s="3198"/>
    </row>
    <row r="234" spans="1:5" s="1994" customFormat="1">
      <c r="A234" s="3198"/>
      <c r="C234" s="3199"/>
      <c r="E234" s="3198"/>
    </row>
    <row r="235" spans="1:5" s="1994" customFormat="1">
      <c r="A235" s="3198"/>
      <c r="C235" s="3199"/>
      <c r="E235" s="3198"/>
    </row>
    <row r="236" spans="1:5" s="1994" customFormat="1">
      <c r="A236" s="3198"/>
      <c r="C236" s="3199"/>
      <c r="E236" s="3198"/>
    </row>
    <row r="237" spans="1:5" s="1994" customFormat="1">
      <c r="A237" s="3198"/>
      <c r="C237" s="3199"/>
      <c r="E237" s="3198"/>
    </row>
    <row r="238" spans="1:5" s="1994" customFormat="1">
      <c r="A238" s="3198"/>
      <c r="C238" s="3199"/>
      <c r="E238" s="3198"/>
    </row>
    <row r="239" spans="1:5" s="1994" customFormat="1">
      <c r="A239" s="3198"/>
      <c r="C239" s="3199"/>
      <c r="E239" s="3198"/>
    </row>
    <row r="240" spans="1:5" s="1994" customFormat="1">
      <c r="A240" s="3198"/>
      <c r="C240" s="3199"/>
      <c r="E240" s="3198"/>
    </row>
    <row r="241" spans="1:5" s="1994" customFormat="1">
      <c r="A241" s="3198"/>
      <c r="C241" s="3199"/>
      <c r="E241" s="3198"/>
    </row>
    <row r="242" spans="1:5" s="1994" customFormat="1">
      <c r="A242" s="3198"/>
      <c r="C242" s="3199"/>
      <c r="E242" s="3198"/>
    </row>
    <row r="243" spans="1:5" s="1994" customFormat="1">
      <c r="A243" s="3198"/>
      <c r="C243" s="3199"/>
      <c r="E243" s="3198"/>
    </row>
    <row r="244" spans="1:5" s="1994" customFormat="1">
      <c r="A244" s="3198"/>
      <c r="C244" s="3199"/>
      <c r="E244" s="3198"/>
    </row>
    <row r="245" spans="1:5" s="1994" customFormat="1">
      <c r="A245" s="3198"/>
      <c r="C245" s="3199"/>
      <c r="E245" s="3198"/>
    </row>
    <row r="246" spans="1:5" s="1994" customFormat="1">
      <c r="A246" s="3198"/>
      <c r="C246" s="3199"/>
      <c r="E246" s="3198"/>
    </row>
    <row r="247" spans="1:5" s="1994" customFormat="1">
      <c r="A247" s="3198"/>
      <c r="C247" s="3199"/>
      <c r="E247" s="3198"/>
    </row>
    <row r="248" spans="1:5" s="1994" customFormat="1">
      <c r="A248" s="3198"/>
      <c r="C248" s="3199"/>
      <c r="E248" s="3198"/>
    </row>
    <row r="249" spans="1:5" s="1994" customFormat="1">
      <c r="A249" s="3198"/>
      <c r="C249" s="3199"/>
      <c r="E249" s="3198"/>
    </row>
    <row r="250" spans="1:5" s="1994" customFormat="1">
      <c r="A250" s="3198"/>
      <c r="C250" s="3199"/>
      <c r="E250" s="3198"/>
    </row>
    <row r="251" spans="1:5" s="1994" customFormat="1">
      <c r="A251" s="3198"/>
      <c r="C251" s="3199"/>
      <c r="E251" s="3198"/>
    </row>
    <row r="252" spans="1:5" s="1994" customFormat="1">
      <c r="A252" s="3198"/>
      <c r="C252" s="3199"/>
      <c r="E252" s="3198"/>
    </row>
    <row r="253" spans="1:5" s="1994" customFormat="1">
      <c r="A253" s="3198"/>
      <c r="C253" s="3199"/>
      <c r="E253" s="3198"/>
    </row>
    <row r="254" spans="1:5" s="1994" customFormat="1">
      <c r="A254" s="3198"/>
      <c r="C254" s="3199"/>
      <c r="E254" s="3198"/>
    </row>
    <row r="255" spans="1:5" s="1994" customFormat="1">
      <c r="A255" s="3198"/>
      <c r="C255" s="3199"/>
      <c r="E255" s="3198"/>
    </row>
    <row r="256" spans="1:5" s="1994" customFormat="1">
      <c r="A256" s="3198"/>
      <c r="C256" s="3199"/>
      <c r="E256" s="3198"/>
    </row>
    <row r="257" spans="1:5" s="1994" customFormat="1">
      <c r="A257" s="3198"/>
      <c r="C257" s="3199"/>
      <c r="E257" s="3198"/>
    </row>
    <row r="258" spans="1:5" s="1994" customFormat="1">
      <c r="A258" s="3198"/>
      <c r="C258" s="3199"/>
      <c r="E258" s="3198"/>
    </row>
    <row r="259" spans="1:5" s="1994" customFormat="1">
      <c r="A259" s="3198"/>
      <c r="C259" s="3199"/>
      <c r="E259" s="3198"/>
    </row>
    <row r="260" spans="1:5" s="1994" customFormat="1">
      <c r="A260" s="3198"/>
      <c r="C260" s="3199"/>
      <c r="E260" s="3198"/>
    </row>
    <row r="261" spans="1:5" s="1994" customFormat="1">
      <c r="A261" s="3198"/>
      <c r="C261" s="3199"/>
      <c r="E261" s="3198"/>
    </row>
    <row r="262" spans="1:5" s="1994" customFormat="1">
      <c r="A262" s="3198"/>
      <c r="C262" s="3199"/>
      <c r="E262" s="3198"/>
    </row>
    <row r="263" spans="1:5" s="1994" customFormat="1">
      <c r="A263" s="3198"/>
      <c r="C263" s="3199"/>
      <c r="E263" s="3198"/>
    </row>
    <row r="264" spans="1:5" s="1994" customFormat="1">
      <c r="A264" s="3198"/>
      <c r="C264" s="3199"/>
      <c r="E264" s="3198"/>
    </row>
    <row r="265" spans="1:5" s="1994" customFormat="1">
      <c r="A265" s="3198"/>
      <c r="C265" s="3199"/>
      <c r="E265" s="3198"/>
    </row>
    <row r="266" spans="1:5" s="1994" customFormat="1">
      <c r="A266" s="3198"/>
      <c r="C266" s="3199"/>
      <c r="E266" s="3198"/>
    </row>
    <row r="267" spans="1:5" s="1994" customFormat="1">
      <c r="A267" s="3198"/>
      <c r="C267" s="3199"/>
      <c r="E267" s="3198"/>
    </row>
    <row r="268" spans="1:5" s="1994" customFormat="1">
      <c r="A268" s="3198"/>
      <c r="C268" s="3199"/>
      <c r="E268" s="3198"/>
    </row>
    <row r="269" spans="1:5" s="1994" customFormat="1">
      <c r="A269" s="3198"/>
      <c r="C269" s="3199"/>
      <c r="E269" s="3198"/>
    </row>
    <row r="270" spans="1:5" s="1994" customFormat="1">
      <c r="A270" s="3198"/>
      <c r="C270" s="3199"/>
      <c r="E270" s="3198"/>
    </row>
    <row r="271" spans="1:5" s="1994" customFormat="1">
      <c r="A271" s="3198"/>
      <c r="C271" s="3199"/>
      <c r="E271" s="3198"/>
    </row>
    <row r="272" spans="1:5" s="1994" customFormat="1">
      <c r="A272" s="3198"/>
      <c r="C272" s="3199"/>
      <c r="E272" s="3198"/>
    </row>
    <row r="273" spans="1:5" s="1994" customFormat="1">
      <c r="A273" s="3198"/>
      <c r="C273" s="3199"/>
      <c r="E273" s="3198"/>
    </row>
    <row r="274" spans="1:5" s="1994" customFormat="1">
      <c r="A274" s="3198"/>
      <c r="C274" s="3199"/>
      <c r="E274" s="3198"/>
    </row>
    <row r="275" spans="1:5" s="1994" customFormat="1">
      <c r="A275" s="3198"/>
      <c r="C275" s="3199"/>
      <c r="E275" s="3198"/>
    </row>
    <row r="276" spans="1:5" s="1994" customFormat="1">
      <c r="A276" s="3198"/>
      <c r="C276" s="3199"/>
      <c r="E276" s="3198"/>
    </row>
    <row r="277" spans="1:5" s="1994" customFormat="1">
      <c r="A277" s="3198"/>
      <c r="C277" s="3199"/>
      <c r="E277" s="3198"/>
    </row>
    <row r="278" spans="1:5" s="1994" customFormat="1">
      <c r="A278" s="3198"/>
      <c r="C278" s="3199"/>
      <c r="E278" s="3198"/>
    </row>
    <row r="279" spans="1:5" s="1994" customFormat="1">
      <c r="A279" s="3198"/>
      <c r="C279" s="3199"/>
      <c r="E279" s="3198"/>
    </row>
    <row r="280" spans="1:5" s="1994" customFormat="1">
      <c r="A280" s="3198"/>
      <c r="C280" s="3199"/>
      <c r="E280" s="3198"/>
    </row>
    <row r="281" spans="1:5" s="1994" customFormat="1">
      <c r="A281" s="3198"/>
      <c r="C281" s="3199"/>
      <c r="E281" s="3198"/>
    </row>
    <row r="282" spans="1:5" s="1994" customFormat="1">
      <c r="A282" s="3198"/>
      <c r="C282" s="3199"/>
      <c r="E282" s="3198"/>
    </row>
    <row r="283" spans="1:5" s="1994" customFormat="1">
      <c r="A283" s="3198"/>
      <c r="C283" s="3199"/>
      <c r="E283" s="3198"/>
    </row>
    <row r="284" spans="1:5" s="1994" customFormat="1">
      <c r="A284" s="3198"/>
      <c r="C284" s="3199"/>
      <c r="E284" s="3198"/>
    </row>
    <row r="285" spans="1:5" s="1994" customFormat="1">
      <c r="A285" s="3198"/>
      <c r="C285" s="3199"/>
      <c r="E285" s="3198"/>
    </row>
    <row r="286" spans="1:5" s="1994" customFormat="1">
      <c r="A286" s="3198"/>
      <c r="C286" s="3199"/>
      <c r="E286" s="3198"/>
    </row>
    <row r="287" spans="1:5" s="1994" customFormat="1">
      <c r="A287" s="3198"/>
      <c r="C287" s="3199"/>
      <c r="E287" s="3198"/>
    </row>
    <row r="288" spans="1:5" s="1994" customFormat="1">
      <c r="A288" s="3198"/>
      <c r="C288" s="3199"/>
      <c r="E288" s="3198"/>
    </row>
    <row r="289" spans="1:5" s="1994" customFormat="1">
      <c r="A289" s="3198"/>
      <c r="C289" s="3199"/>
      <c r="E289" s="3198"/>
    </row>
    <row r="290" spans="1:5" s="1994" customFormat="1">
      <c r="A290" s="3198"/>
      <c r="C290" s="3199"/>
      <c r="E290" s="3198"/>
    </row>
    <row r="291" spans="1:5" s="1994" customFormat="1">
      <c r="A291" s="3198"/>
      <c r="C291" s="3199"/>
      <c r="E291" s="3198"/>
    </row>
    <row r="292" spans="1:5" s="1994" customFormat="1">
      <c r="A292" s="3198"/>
      <c r="C292" s="3199"/>
      <c r="E292" s="3198"/>
    </row>
    <row r="293" spans="1:5" s="1994" customFormat="1">
      <c r="A293" s="3198"/>
      <c r="C293" s="3199"/>
      <c r="E293" s="3198"/>
    </row>
    <row r="294" spans="1:5" s="1994" customFormat="1">
      <c r="A294" s="3198"/>
      <c r="C294" s="3199"/>
      <c r="E294" s="3198"/>
    </row>
    <row r="295" spans="1:5" s="1994" customFormat="1">
      <c r="A295" s="3198"/>
      <c r="C295" s="3199"/>
      <c r="E295" s="3198"/>
    </row>
    <row r="296" spans="1:5" s="1994" customFormat="1">
      <c r="A296" s="3198"/>
      <c r="C296" s="3199"/>
      <c r="E296" s="3198"/>
    </row>
    <row r="297" spans="1:5" s="1994" customFormat="1">
      <c r="A297" s="3198"/>
      <c r="C297" s="3199"/>
      <c r="E297" s="3198"/>
    </row>
    <row r="298" spans="1:5" s="1994" customFormat="1">
      <c r="A298" s="3198"/>
      <c r="C298" s="3199"/>
      <c r="E298" s="3198"/>
    </row>
    <row r="299" spans="1:5" s="1994" customFormat="1">
      <c r="A299" s="3198"/>
      <c r="C299" s="3199"/>
      <c r="E299" s="3198"/>
    </row>
    <row r="300" spans="1:5" s="1994" customFormat="1">
      <c r="A300" s="3198"/>
      <c r="C300" s="3199"/>
      <c r="E300" s="3198"/>
    </row>
    <row r="301" spans="1:5" s="1994" customFormat="1">
      <c r="A301" s="3198"/>
      <c r="C301" s="3199"/>
      <c r="E301" s="3198"/>
    </row>
    <row r="302" spans="1:5" s="1994" customFormat="1">
      <c r="A302" s="3198"/>
      <c r="C302" s="3199"/>
      <c r="E302" s="3198"/>
    </row>
    <row r="303" spans="1:5" s="1994" customFormat="1">
      <c r="A303" s="3198"/>
      <c r="C303" s="3199"/>
      <c r="E303" s="3198"/>
    </row>
    <row r="304" spans="1:5" s="1994" customFormat="1">
      <c r="A304" s="3198"/>
      <c r="C304" s="3199"/>
      <c r="E304" s="3198"/>
    </row>
    <row r="305" spans="1:5" s="1994" customFormat="1">
      <c r="A305" s="3198"/>
      <c r="C305" s="3199"/>
      <c r="E305" s="3198"/>
    </row>
    <row r="306" spans="1:5" s="1994" customFormat="1">
      <c r="A306" s="3198"/>
      <c r="C306" s="3199"/>
      <c r="E306" s="3198"/>
    </row>
    <row r="307" spans="1:5" s="1994" customFormat="1">
      <c r="A307" s="3198"/>
      <c r="C307" s="3199"/>
      <c r="E307" s="3198"/>
    </row>
    <row r="308" spans="1:5" s="1994" customFormat="1">
      <c r="A308" s="3198"/>
      <c r="C308" s="3199"/>
      <c r="E308" s="3198"/>
    </row>
    <row r="309" spans="1:5" s="1994" customFormat="1">
      <c r="A309" s="3198"/>
      <c r="C309" s="3199"/>
      <c r="E309" s="3198"/>
    </row>
    <row r="310" spans="1:5" s="1994" customFormat="1">
      <c r="A310" s="3198"/>
      <c r="C310" s="3199"/>
      <c r="E310" s="3198"/>
    </row>
    <row r="311" spans="1:5" s="1994" customFormat="1">
      <c r="A311" s="3198"/>
      <c r="C311" s="3199"/>
      <c r="E311" s="3198"/>
    </row>
    <row r="312" spans="1:5" s="1994" customFormat="1">
      <c r="A312" s="3198"/>
      <c r="C312" s="3199"/>
      <c r="E312" s="3198"/>
    </row>
    <row r="313" spans="1:5" s="1994" customFormat="1">
      <c r="A313" s="3198"/>
      <c r="C313" s="3199"/>
      <c r="E313" s="3198"/>
    </row>
    <row r="314" spans="1:5" s="1994" customFormat="1">
      <c r="A314" s="3198"/>
      <c r="C314" s="3199"/>
      <c r="E314" s="3198"/>
    </row>
    <row r="315" spans="1:5" s="1994" customFormat="1">
      <c r="A315" s="3198"/>
      <c r="C315" s="3199"/>
      <c r="E315" s="3198"/>
    </row>
    <row r="316" spans="1:5" s="1994" customFormat="1">
      <c r="A316" s="3198"/>
      <c r="C316" s="3199"/>
      <c r="E316" s="3198"/>
    </row>
    <row r="317" spans="1:5" s="1994" customFormat="1">
      <c r="A317" s="3198"/>
      <c r="C317" s="3199"/>
      <c r="E317" s="3198"/>
    </row>
    <row r="318" spans="1:5" s="1994" customFormat="1">
      <c r="A318" s="3198"/>
      <c r="C318" s="3199"/>
      <c r="E318" s="3198"/>
    </row>
    <row r="319" spans="1:5" s="1994" customFormat="1">
      <c r="A319" s="3198"/>
      <c r="C319" s="3199"/>
      <c r="E319" s="3198"/>
    </row>
    <row r="320" spans="1:5" s="1994" customFormat="1">
      <c r="A320" s="3198"/>
      <c r="C320" s="3199"/>
      <c r="E320" s="3198"/>
    </row>
    <row r="321" spans="1:5" s="1994" customFormat="1">
      <c r="A321" s="3198"/>
      <c r="C321" s="3199"/>
      <c r="E321" s="3198"/>
    </row>
    <row r="322" spans="1:5" s="1994" customFormat="1">
      <c r="A322" s="3198"/>
      <c r="C322" s="3199"/>
      <c r="E322" s="3198"/>
    </row>
    <row r="323" spans="1:5" s="1994" customFormat="1">
      <c r="A323" s="3198"/>
      <c r="C323" s="3199"/>
      <c r="E323" s="3198"/>
    </row>
    <row r="324" spans="1:5" s="1994" customFormat="1">
      <c r="A324" s="3198"/>
      <c r="C324" s="3199"/>
      <c r="E324" s="3198"/>
    </row>
    <row r="325" spans="1:5" s="1994" customFormat="1">
      <c r="A325" s="3198"/>
      <c r="C325" s="3199"/>
      <c r="E325" s="3198"/>
    </row>
    <row r="326" spans="1:5" s="1994" customFormat="1">
      <c r="A326" s="3198"/>
      <c r="C326" s="3199"/>
      <c r="E326" s="3198"/>
    </row>
    <row r="327" spans="1:5" s="1994" customFormat="1">
      <c r="A327" s="3198"/>
      <c r="C327" s="3199"/>
      <c r="E327" s="3198"/>
    </row>
    <row r="328" spans="1:5" s="1994" customFormat="1">
      <c r="A328" s="3198"/>
      <c r="C328" s="3199"/>
      <c r="E328" s="3198"/>
    </row>
    <row r="329" spans="1:5" s="1994" customFormat="1">
      <c r="A329" s="3198"/>
      <c r="C329" s="3199"/>
      <c r="E329" s="3198"/>
    </row>
    <row r="330" spans="1:5" s="1994" customFormat="1">
      <c r="A330" s="3198"/>
      <c r="C330" s="3199"/>
      <c r="E330" s="3198"/>
    </row>
    <row r="331" spans="1:5" s="1994" customFormat="1">
      <c r="A331" s="3198"/>
      <c r="C331" s="3199"/>
      <c r="E331" s="3198"/>
    </row>
    <row r="332" spans="1:5" s="1994" customFormat="1">
      <c r="A332" s="3198"/>
      <c r="C332" s="3199"/>
      <c r="E332" s="3198"/>
    </row>
    <row r="333" spans="1:5" s="1994" customFormat="1">
      <c r="A333" s="3198"/>
      <c r="C333" s="3199"/>
      <c r="E333" s="3198"/>
    </row>
    <row r="334" spans="1:5" s="1994" customFormat="1">
      <c r="A334" s="3198"/>
      <c r="C334" s="3199"/>
      <c r="E334" s="3198"/>
    </row>
    <row r="335" spans="1:5" s="1994" customFormat="1">
      <c r="A335" s="3198"/>
      <c r="C335" s="3199"/>
      <c r="E335" s="3198"/>
    </row>
    <row r="336" spans="1:5" s="1994" customFormat="1">
      <c r="A336" s="3198"/>
      <c r="C336" s="3199"/>
      <c r="E336" s="3198"/>
    </row>
    <row r="337" spans="1:5" s="1994" customFormat="1">
      <c r="A337" s="3198"/>
      <c r="C337" s="3199"/>
      <c r="E337" s="3198"/>
    </row>
    <row r="338" spans="1:5" s="1994" customFormat="1">
      <c r="A338" s="3198"/>
      <c r="C338" s="3199"/>
      <c r="E338" s="3198"/>
    </row>
    <row r="339" spans="1:5" s="1994" customFormat="1">
      <c r="A339" s="3198"/>
      <c r="C339" s="3199"/>
      <c r="E339" s="3198"/>
    </row>
    <row r="340" spans="1:5" s="1994" customFormat="1">
      <c r="A340" s="3198"/>
      <c r="C340" s="3199"/>
      <c r="E340" s="3198"/>
    </row>
    <row r="341" spans="1:5" s="1994" customFormat="1">
      <c r="A341" s="3198"/>
      <c r="C341" s="3199"/>
      <c r="E341" s="3198"/>
    </row>
    <row r="342" spans="1:5" s="1994" customFormat="1">
      <c r="A342" s="3198"/>
      <c r="C342" s="3199"/>
      <c r="E342" s="3198"/>
    </row>
    <row r="343" spans="1:5" s="1994" customFormat="1">
      <c r="A343" s="3198"/>
      <c r="C343" s="3199"/>
      <c r="E343" s="3198"/>
    </row>
    <row r="344" spans="1:5" s="1994" customFormat="1">
      <c r="A344" s="3198"/>
      <c r="C344" s="3199"/>
      <c r="E344" s="3198"/>
    </row>
    <row r="345" spans="1:5" s="1994" customFormat="1">
      <c r="A345" s="3198"/>
      <c r="C345" s="3199"/>
      <c r="E345" s="3198"/>
    </row>
    <row r="346" spans="1:5" s="1994" customFormat="1">
      <c r="A346" s="3198"/>
      <c r="C346" s="3199"/>
      <c r="E346" s="3198"/>
    </row>
    <row r="347" spans="1:5" s="1994" customFormat="1">
      <c r="A347" s="3198"/>
      <c r="C347" s="3199"/>
      <c r="E347" s="3198"/>
    </row>
    <row r="348" spans="1:5" s="1994" customFormat="1">
      <c r="A348" s="3198"/>
      <c r="C348" s="3199"/>
      <c r="E348" s="3198"/>
    </row>
    <row r="349" spans="1:5" s="1994" customFormat="1">
      <c r="A349" s="3198"/>
      <c r="C349" s="3199"/>
      <c r="E349" s="3198"/>
    </row>
    <row r="350" spans="1:5" s="1994" customFormat="1">
      <c r="A350" s="3198"/>
      <c r="C350" s="3199"/>
      <c r="E350" s="3198"/>
    </row>
    <row r="351" spans="1:5" s="1994" customFormat="1">
      <c r="A351" s="3198"/>
      <c r="C351" s="3199"/>
      <c r="E351" s="3198"/>
    </row>
    <row r="352" spans="1:5" s="1994" customFormat="1">
      <c r="A352" s="3198"/>
      <c r="C352" s="3199"/>
      <c r="E352" s="3198"/>
    </row>
    <row r="353" spans="1:5" s="1994" customFormat="1">
      <c r="A353" s="3198"/>
      <c r="C353" s="3199"/>
      <c r="E353" s="3198"/>
    </row>
    <row r="354" spans="1:5" s="1994" customFormat="1">
      <c r="A354" s="3198"/>
      <c r="C354" s="3199"/>
      <c r="E354" s="3198"/>
    </row>
    <row r="355" spans="1:5" s="1994" customFormat="1">
      <c r="A355" s="3198"/>
      <c r="C355" s="3199"/>
      <c r="E355" s="3198"/>
    </row>
    <row r="356" spans="1:5" s="1994" customFormat="1">
      <c r="A356" s="3198"/>
      <c r="C356" s="3199"/>
      <c r="E356" s="3198"/>
    </row>
    <row r="357" spans="1:5" s="1994" customFormat="1">
      <c r="A357" s="3198"/>
      <c r="C357" s="3199"/>
      <c r="E357" s="3198"/>
    </row>
    <row r="358" spans="1:5" s="1994" customFormat="1">
      <c r="A358" s="3198"/>
      <c r="C358" s="3199"/>
      <c r="E358" s="3198"/>
    </row>
    <row r="359" spans="1:5" s="1994" customFormat="1">
      <c r="A359" s="3198"/>
      <c r="C359" s="3199"/>
      <c r="E359" s="3198"/>
    </row>
    <row r="360" spans="1:5" s="1994" customFormat="1">
      <c r="A360" s="3198"/>
      <c r="C360" s="3199"/>
      <c r="E360" s="3198"/>
    </row>
    <row r="361" spans="1:5" s="1994" customFormat="1">
      <c r="A361" s="3198"/>
      <c r="C361" s="3199"/>
      <c r="E361" s="3198"/>
    </row>
    <row r="362" spans="1:5" s="1994" customFormat="1">
      <c r="A362" s="3198"/>
      <c r="C362" s="3199"/>
      <c r="E362" s="3198"/>
    </row>
    <row r="363" spans="1:5" s="1994" customFormat="1">
      <c r="A363" s="3198"/>
      <c r="C363" s="3199"/>
      <c r="E363" s="3198"/>
    </row>
    <row r="364" spans="1:5" s="1994" customFormat="1">
      <c r="A364" s="3198"/>
      <c r="C364" s="3199"/>
      <c r="E364" s="3198"/>
    </row>
    <row r="365" spans="1:5" s="1994" customFormat="1">
      <c r="A365" s="3198"/>
      <c r="C365" s="3199"/>
      <c r="E365" s="3198"/>
    </row>
    <row r="366" spans="1:5" s="1994" customFormat="1">
      <c r="A366" s="3198"/>
      <c r="C366" s="3199"/>
      <c r="E366" s="3198"/>
    </row>
    <row r="367" spans="1:5" s="1994" customFormat="1">
      <c r="A367" s="3198"/>
      <c r="C367" s="3199"/>
      <c r="E367" s="3198"/>
    </row>
    <row r="368" spans="1:5" s="1994" customFormat="1">
      <c r="A368" s="3198"/>
      <c r="C368" s="3199"/>
      <c r="E368" s="3198"/>
    </row>
    <row r="369" spans="1:5" s="1994" customFormat="1">
      <c r="A369" s="3198"/>
      <c r="C369" s="3199"/>
      <c r="E369" s="3198"/>
    </row>
    <row r="370" spans="1:5" s="1994" customFormat="1">
      <c r="A370" s="3198"/>
      <c r="C370" s="3199"/>
      <c r="E370" s="3198"/>
    </row>
    <row r="371" spans="1:5" s="1994" customFormat="1">
      <c r="A371" s="3198"/>
      <c r="C371" s="3199"/>
      <c r="E371" s="3198"/>
    </row>
    <row r="372" spans="1:5" s="1994" customFormat="1">
      <c r="A372" s="3198"/>
      <c r="C372" s="3199"/>
      <c r="E372" s="3198"/>
    </row>
    <row r="373" spans="1:5" s="1994" customFormat="1">
      <c r="A373" s="3198"/>
      <c r="C373" s="3199"/>
      <c r="E373" s="3198"/>
    </row>
    <row r="374" spans="1:5" s="1994" customFormat="1">
      <c r="A374" s="3198"/>
      <c r="C374" s="3199"/>
      <c r="E374" s="3198"/>
    </row>
    <row r="375" spans="1:5" s="1994" customFormat="1">
      <c r="A375" s="3198"/>
      <c r="C375" s="3199"/>
      <c r="E375" s="3198"/>
    </row>
    <row r="376" spans="1:5" s="1994" customFormat="1">
      <c r="A376" s="3198"/>
      <c r="C376" s="3199"/>
      <c r="E376" s="3198"/>
    </row>
    <row r="377" spans="1:5" s="1994" customFormat="1">
      <c r="A377" s="3198"/>
      <c r="C377" s="3199"/>
      <c r="E377" s="3198"/>
    </row>
    <row r="378" spans="1:5" s="1994" customFormat="1">
      <c r="A378" s="3198"/>
      <c r="C378" s="3199"/>
      <c r="E378" s="3198"/>
    </row>
    <row r="379" spans="1:5" s="1994" customFormat="1">
      <c r="A379" s="3198"/>
      <c r="C379" s="3199"/>
      <c r="E379" s="3198"/>
    </row>
    <row r="380" spans="1:5" s="1994" customFormat="1">
      <c r="A380" s="3198"/>
      <c r="C380" s="3199"/>
      <c r="E380" s="3198"/>
    </row>
    <row r="381" spans="1:5" s="1994" customFormat="1">
      <c r="A381" s="3198"/>
      <c r="C381" s="3199"/>
      <c r="E381" s="3198"/>
    </row>
    <row r="382" spans="1:5" s="1994" customFormat="1">
      <c r="A382" s="3198"/>
      <c r="C382" s="3199"/>
      <c r="E382" s="3198"/>
    </row>
    <row r="383" spans="1:5" s="1994" customFormat="1">
      <c r="A383" s="3198"/>
      <c r="C383" s="3199"/>
      <c r="E383" s="3198"/>
    </row>
    <row r="384" spans="1:5" s="1994" customFormat="1">
      <c r="A384" s="3198"/>
      <c r="C384" s="3199"/>
      <c r="E384" s="3198"/>
    </row>
    <row r="385" spans="1:5" s="1994" customFormat="1">
      <c r="A385" s="3198"/>
      <c r="C385" s="3199"/>
      <c r="E385" s="3198"/>
    </row>
    <row r="386" spans="1:5" s="1994" customFormat="1">
      <c r="A386" s="3198"/>
      <c r="C386" s="3199"/>
      <c r="E386" s="3198"/>
    </row>
    <row r="387" spans="1:5" s="1994" customFormat="1">
      <c r="A387" s="3198"/>
      <c r="C387" s="3199"/>
      <c r="E387" s="3198"/>
    </row>
    <row r="388" spans="1:5" s="1994" customFormat="1">
      <c r="A388" s="3198"/>
      <c r="C388" s="3199"/>
      <c r="E388" s="3198"/>
    </row>
    <row r="389" spans="1:5" s="1994" customFormat="1">
      <c r="A389" s="3198"/>
      <c r="C389" s="3199"/>
      <c r="E389" s="3198"/>
    </row>
    <row r="390" spans="1:5" s="1994" customFormat="1">
      <c r="A390" s="3198"/>
      <c r="C390" s="3199"/>
      <c r="E390" s="3198"/>
    </row>
    <row r="391" spans="1:5" s="1994" customFormat="1">
      <c r="A391" s="3198"/>
      <c r="C391" s="3199"/>
      <c r="E391" s="3198"/>
    </row>
    <row r="392" spans="1:5" s="1994" customFormat="1">
      <c r="A392" s="3198"/>
      <c r="C392" s="3199"/>
      <c r="E392" s="3198"/>
    </row>
    <row r="393" spans="1:5" s="1994" customFormat="1">
      <c r="A393" s="3198"/>
      <c r="C393" s="3199"/>
      <c r="E393" s="3198"/>
    </row>
    <row r="394" spans="1:5" s="1994" customFormat="1">
      <c r="A394" s="3198"/>
      <c r="C394" s="3199"/>
      <c r="E394" s="3198"/>
    </row>
    <row r="395" spans="1:5" s="1994" customFormat="1">
      <c r="A395" s="3198"/>
      <c r="C395" s="3199"/>
      <c r="E395" s="3198"/>
    </row>
    <row r="396" spans="1:5" s="1994" customFormat="1">
      <c r="A396" s="3198"/>
      <c r="C396" s="3199"/>
      <c r="E396" s="3198"/>
    </row>
    <row r="397" spans="1:5" s="1994" customFormat="1">
      <c r="A397" s="3198"/>
      <c r="C397" s="3199"/>
      <c r="E397" s="3198"/>
    </row>
    <row r="398" spans="1:5" s="1994" customFormat="1">
      <c r="A398" s="3198"/>
      <c r="C398" s="3199"/>
      <c r="E398" s="3198"/>
    </row>
    <row r="399" spans="1:5" s="1994" customFormat="1">
      <c r="A399" s="3198"/>
      <c r="C399" s="3199"/>
      <c r="E399" s="3198"/>
    </row>
    <row r="400" spans="1:5" s="1994" customFormat="1">
      <c r="A400" s="3198"/>
      <c r="C400" s="3199"/>
      <c r="E400" s="3198"/>
    </row>
    <row r="401" spans="1:5" s="1994" customFormat="1">
      <c r="A401" s="3198"/>
      <c r="C401" s="3199"/>
      <c r="E401" s="3198"/>
    </row>
    <row r="402" spans="1:5" s="1994" customFormat="1">
      <c r="A402" s="3198"/>
      <c r="C402" s="3199"/>
      <c r="E402" s="3198"/>
    </row>
    <row r="403" spans="1:5" s="1994" customFormat="1">
      <c r="A403" s="3198"/>
      <c r="C403" s="3199"/>
      <c r="E403" s="3198"/>
    </row>
    <row r="404" spans="1:5" s="1994" customFormat="1">
      <c r="A404" s="3198"/>
      <c r="C404" s="3199"/>
      <c r="E404" s="3198"/>
    </row>
    <row r="405" spans="1:5" s="1994" customFormat="1">
      <c r="A405" s="3198"/>
      <c r="C405" s="3199"/>
      <c r="E405" s="3198"/>
    </row>
    <row r="406" spans="1:5" s="1994" customFormat="1">
      <c r="A406" s="3198"/>
      <c r="C406" s="3199"/>
      <c r="E406" s="3198"/>
    </row>
    <row r="407" spans="1:5" s="1994" customFormat="1">
      <c r="A407" s="3198"/>
      <c r="C407" s="3199"/>
      <c r="E407" s="3198"/>
    </row>
    <row r="408" spans="1:5" s="1994" customFormat="1">
      <c r="A408" s="3198"/>
      <c r="C408" s="3199"/>
      <c r="E408" s="3198"/>
    </row>
    <row r="409" spans="1:5" s="1994" customFormat="1">
      <c r="A409" s="3198"/>
      <c r="C409" s="3199"/>
      <c r="E409" s="3198"/>
    </row>
    <row r="410" spans="1:5" s="1994" customFormat="1">
      <c r="A410" s="3198"/>
      <c r="C410" s="3199"/>
      <c r="E410" s="3198"/>
    </row>
    <row r="411" spans="1:5" s="1994" customFormat="1">
      <c r="A411" s="3198"/>
      <c r="C411" s="3199"/>
      <c r="E411" s="3198"/>
    </row>
    <row r="412" spans="1:5" s="1994" customFormat="1">
      <c r="A412" s="3198"/>
      <c r="C412" s="3199"/>
      <c r="E412" s="3198"/>
    </row>
    <row r="413" spans="1:5" s="1994" customFormat="1">
      <c r="A413" s="3198"/>
      <c r="C413" s="3199"/>
      <c r="E413" s="3198"/>
    </row>
    <row r="414" spans="1:5" s="1994" customFormat="1">
      <c r="A414" s="3198"/>
      <c r="C414" s="3199"/>
      <c r="E414" s="3198"/>
    </row>
    <row r="415" spans="1:5" s="1994" customFormat="1">
      <c r="A415" s="3198"/>
      <c r="C415" s="3199"/>
      <c r="E415" s="3198"/>
    </row>
    <row r="416" spans="1:5" s="1994" customFormat="1">
      <c r="A416" s="3198"/>
      <c r="C416" s="3199"/>
      <c r="E416" s="3198"/>
    </row>
    <row r="417" spans="1:5" s="1994" customFormat="1">
      <c r="A417" s="3198"/>
      <c r="C417" s="3199"/>
      <c r="E417" s="3198"/>
    </row>
    <row r="418" spans="1:5" s="1994" customFormat="1">
      <c r="A418" s="3198"/>
      <c r="C418" s="3199"/>
      <c r="E418" s="3198"/>
    </row>
    <row r="419" spans="1:5" s="1994" customFormat="1">
      <c r="A419" s="3198"/>
      <c r="C419" s="3199"/>
      <c r="E419" s="3198"/>
    </row>
    <row r="420" spans="1:5" s="1994" customFormat="1">
      <c r="A420" s="3198"/>
      <c r="C420" s="3199"/>
      <c r="E420" s="3198"/>
    </row>
    <row r="421" spans="1:5" s="1994" customFormat="1">
      <c r="A421" s="3198"/>
      <c r="C421" s="3199"/>
      <c r="E421" s="3198"/>
    </row>
    <row r="422" spans="1:5" s="1994" customFormat="1">
      <c r="A422" s="3198"/>
      <c r="C422" s="3199"/>
      <c r="E422" s="3198"/>
    </row>
    <row r="423" spans="1:5" s="1994" customFormat="1">
      <c r="A423" s="3198"/>
      <c r="C423" s="3199"/>
      <c r="E423" s="3198"/>
    </row>
    <row r="424" spans="1:5" s="1994" customFormat="1">
      <c r="A424" s="3198"/>
      <c r="C424" s="3199"/>
      <c r="E424" s="3198"/>
    </row>
    <row r="425" spans="1:5" s="1994" customFormat="1">
      <c r="A425" s="3198"/>
      <c r="C425" s="3199"/>
      <c r="E425" s="3198"/>
    </row>
    <row r="426" spans="1:5" s="1994" customFormat="1">
      <c r="A426" s="3198"/>
      <c r="C426" s="3199"/>
      <c r="E426" s="3198"/>
    </row>
    <row r="427" spans="1:5" s="1994" customFormat="1">
      <c r="A427" s="3198"/>
      <c r="C427" s="3199"/>
      <c r="E427" s="3198"/>
    </row>
    <row r="428" spans="1:5" s="1994" customFormat="1">
      <c r="A428" s="3198"/>
      <c r="C428" s="3199"/>
      <c r="E428" s="3198"/>
    </row>
    <row r="429" spans="1:5" s="1994" customFormat="1">
      <c r="A429" s="3198"/>
      <c r="C429" s="3199"/>
      <c r="E429" s="3198"/>
    </row>
    <row r="430" spans="1:5" s="1994" customFormat="1">
      <c r="A430" s="3198"/>
      <c r="C430" s="3199"/>
      <c r="E430" s="3198"/>
    </row>
    <row r="431" spans="1:5" s="1994" customFormat="1">
      <c r="A431" s="3198"/>
      <c r="C431" s="3199"/>
      <c r="E431" s="3198"/>
    </row>
    <row r="432" spans="1:5" s="1994" customFormat="1">
      <c r="A432" s="3198"/>
      <c r="C432" s="3199"/>
      <c r="E432" s="3198"/>
    </row>
    <row r="433" spans="1:5" s="1994" customFormat="1">
      <c r="A433" s="3198"/>
      <c r="C433" s="3199"/>
      <c r="E433" s="3198"/>
    </row>
    <row r="434" spans="1:5" s="1994" customFormat="1">
      <c r="A434" s="3198"/>
      <c r="C434" s="3199"/>
      <c r="E434" s="3198"/>
    </row>
    <row r="435" spans="1:5" s="1994" customFormat="1">
      <c r="A435" s="3198"/>
      <c r="C435" s="3199"/>
      <c r="E435" s="3198"/>
    </row>
    <row r="436" spans="1:5" s="1994" customFormat="1">
      <c r="A436" s="3198"/>
      <c r="C436" s="3199"/>
      <c r="E436" s="3198"/>
    </row>
    <row r="437" spans="1:5" s="1994" customFormat="1">
      <c r="A437" s="3198"/>
      <c r="C437" s="3199"/>
      <c r="E437" s="3198"/>
    </row>
    <row r="438" spans="1:5" s="1994" customFormat="1">
      <c r="A438" s="3198"/>
      <c r="C438" s="3199"/>
      <c r="E438" s="3198"/>
    </row>
    <row r="439" spans="1:5" s="1994" customFormat="1">
      <c r="A439" s="3198"/>
      <c r="C439" s="3199"/>
      <c r="E439" s="3198"/>
    </row>
    <row r="440" spans="1:5" s="1994" customFormat="1">
      <c r="A440" s="3198"/>
      <c r="C440" s="3199"/>
      <c r="E440" s="3198"/>
    </row>
    <row r="441" spans="1:5" s="1994" customFormat="1">
      <c r="A441" s="3198"/>
      <c r="C441" s="3199"/>
      <c r="E441" s="3198"/>
    </row>
    <row r="442" spans="1:5" s="1994" customFormat="1">
      <c r="A442" s="3198"/>
      <c r="C442" s="3199"/>
      <c r="E442" s="3198"/>
    </row>
    <row r="443" spans="1:5" s="1994" customFormat="1">
      <c r="A443" s="3198"/>
      <c r="C443" s="3199"/>
      <c r="E443" s="3198"/>
    </row>
    <row r="444" spans="1:5" s="1994" customFormat="1">
      <c r="A444" s="3198"/>
      <c r="C444" s="3199"/>
      <c r="E444" s="3198"/>
    </row>
    <row r="445" spans="1:5" s="1994" customFormat="1">
      <c r="A445" s="3198"/>
      <c r="C445" s="3199"/>
      <c r="E445" s="3198"/>
    </row>
    <row r="446" spans="1:5" s="1994" customFormat="1">
      <c r="A446" s="3198"/>
      <c r="C446" s="3199"/>
      <c r="E446" s="3198"/>
    </row>
    <row r="447" spans="1:5" s="1994" customFormat="1">
      <c r="A447" s="3198"/>
      <c r="C447" s="3199"/>
      <c r="E447" s="3198"/>
    </row>
    <row r="448" spans="1:5" s="1994" customFormat="1">
      <c r="A448" s="3198"/>
      <c r="C448" s="3199"/>
      <c r="E448" s="3198"/>
    </row>
    <row r="449" spans="1:5" s="1994" customFormat="1">
      <c r="A449" s="3198"/>
      <c r="C449" s="3199"/>
      <c r="E449" s="3198"/>
    </row>
    <row r="450" spans="1:5" s="1994" customFormat="1">
      <c r="A450" s="3198"/>
      <c r="C450" s="3199"/>
      <c r="E450" s="3198"/>
    </row>
    <row r="451" spans="1:5" s="1994" customFormat="1">
      <c r="A451" s="3198"/>
      <c r="C451" s="3199"/>
      <c r="E451" s="3198"/>
    </row>
    <row r="452" spans="1:5" s="1994" customFormat="1">
      <c r="A452" s="3198"/>
      <c r="C452" s="3199"/>
      <c r="E452" s="3198"/>
    </row>
    <row r="453" spans="1:5" s="1994" customFormat="1">
      <c r="A453" s="3198"/>
      <c r="C453" s="3199"/>
      <c r="E453" s="3198"/>
    </row>
    <row r="454" spans="1:5" s="1994" customFormat="1">
      <c r="A454" s="3198"/>
      <c r="C454" s="3199"/>
      <c r="E454" s="3198"/>
    </row>
    <row r="455" spans="1:5" s="1994" customFormat="1">
      <c r="A455" s="3198"/>
      <c r="C455" s="3199"/>
      <c r="E455" s="3198"/>
    </row>
    <row r="456" spans="1:5" s="1994" customFormat="1">
      <c r="A456" s="3198"/>
      <c r="C456" s="3199"/>
      <c r="E456" s="3198"/>
    </row>
    <row r="457" spans="1:5" s="1994" customFormat="1">
      <c r="A457" s="3198"/>
      <c r="C457" s="3199"/>
      <c r="E457" s="3198"/>
    </row>
    <row r="458" spans="1:5" s="1994" customFormat="1">
      <c r="A458" s="3198"/>
      <c r="C458" s="3199"/>
      <c r="E458" s="3198"/>
    </row>
    <row r="459" spans="1:5" s="1994" customFormat="1">
      <c r="A459" s="3198"/>
      <c r="C459" s="3199"/>
      <c r="E459" s="3198"/>
    </row>
    <row r="460" spans="1:5" s="1994" customFormat="1">
      <c r="A460" s="3198"/>
      <c r="C460" s="3199"/>
      <c r="E460" s="3198"/>
    </row>
    <row r="461" spans="1:5" s="1994" customFormat="1">
      <c r="A461" s="3198"/>
      <c r="C461" s="3199"/>
      <c r="E461" s="3198"/>
    </row>
    <row r="462" spans="1:5" s="1994" customFormat="1">
      <c r="A462" s="3198"/>
      <c r="C462" s="3199"/>
      <c r="E462" s="3198"/>
    </row>
    <row r="463" spans="1:5" s="1994" customFormat="1">
      <c r="A463" s="3198"/>
      <c r="C463" s="3199"/>
      <c r="E463" s="3198"/>
    </row>
    <row r="464" spans="1:5" s="1994" customFormat="1">
      <c r="A464" s="3198"/>
      <c r="C464" s="3199"/>
      <c r="E464" s="3198"/>
    </row>
    <row r="465" spans="1:5" s="1994" customFormat="1">
      <c r="A465" s="3198"/>
      <c r="C465" s="3199"/>
      <c r="E465" s="3198"/>
    </row>
    <row r="466" spans="1:5" s="1994" customFormat="1">
      <c r="A466" s="3198"/>
      <c r="C466" s="3199"/>
      <c r="E466" s="3198"/>
    </row>
    <row r="467" spans="1:5" s="1994" customFormat="1">
      <c r="A467" s="3198"/>
      <c r="C467" s="3199"/>
      <c r="E467" s="3198"/>
    </row>
    <row r="468" spans="1:5" s="1994" customFormat="1">
      <c r="A468" s="3198"/>
      <c r="C468" s="3199"/>
      <c r="E468" s="3198"/>
    </row>
    <row r="469" spans="1:5" s="1994" customFormat="1">
      <c r="A469" s="3198"/>
      <c r="C469" s="3199"/>
      <c r="E469" s="3198"/>
    </row>
    <row r="470" spans="1:5" s="1994" customFormat="1">
      <c r="A470" s="3198"/>
      <c r="C470" s="3199"/>
      <c r="E470" s="3198"/>
    </row>
    <row r="471" spans="1:5" s="1994" customFormat="1">
      <c r="A471" s="3198"/>
      <c r="C471" s="3199"/>
      <c r="E471" s="3198"/>
    </row>
    <row r="472" spans="1:5" s="1994" customFormat="1">
      <c r="A472" s="3198"/>
      <c r="C472" s="3199"/>
      <c r="E472" s="3198"/>
    </row>
    <row r="473" spans="1:5" s="1994" customFormat="1">
      <c r="A473" s="3198"/>
      <c r="C473" s="3199"/>
      <c r="E473" s="3198"/>
    </row>
    <row r="474" spans="1:5" s="1994" customFormat="1">
      <c r="A474" s="3198"/>
      <c r="C474" s="3199"/>
      <c r="E474" s="3198"/>
    </row>
    <row r="475" spans="1:5" s="1994" customFormat="1">
      <c r="A475" s="3198"/>
      <c r="C475" s="3199"/>
      <c r="E475" s="3198"/>
    </row>
    <row r="476" spans="1:5" s="1994" customFormat="1">
      <c r="A476" s="3198"/>
      <c r="C476" s="3199"/>
      <c r="E476" s="3198"/>
    </row>
    <row r="477" spans="1:5" s="1994" customFormat="1">
      <c r="A477" s="3198"/>
      <c r="C477" s="3199"/>
      <c r="E477" s="3198"/>
    </row>
    <row r="478" spans="1:5" s="1994" customFormat="1">
      <c r="A478" s="3198"/>
      <c r="C478" s="3199"/>
      <c r="E478" s="3198"/>
    </row>
    <row r="479" spans="1:5" s="1994" customFormat="1">
      <c r="A479" s="3198"/>
      <c r="C479" s="3199"/>
      <c r="E479" s="3198"/>
    </row>
    <row r="480" spans="1:5" s="1994" customFormat="1">
      <c r="A480" s="3198"/>
      <c r="C480" s="3199"/>
      <c r="E480" s="3198"/>
    </row>
    <row r="481" spans="1:5" s="1994" customFormat="1">
      <c r="A481" s="3198"/>
      <c r="C481" s="3199"/>
      <c r="E481" s="3198"/>
    </row>
    <row r="482" spans="1:5" s="1994" customFormat="1">
      <c r="A482" s="3198"/>
      <c r="C482" s="3199"/>
      <c r="E482" s="3198"/>
    </row>
    <row r="483" spans="1:5" s="1994" customFormat="1">
      <c r="A483" s="3198"/>
      <c r="C483" s="3199"/>
      <c r="E483" s="3198"/>
    </row>
    <row r="484" spans="1:5" s="1994" customFormat="1">
      <c r="A484" s="3198"/>
      <c r="C484" s="3199"/>
      <c r="E484" s="3198"/>
    </row>
    <row r="485" spans="1:5" s="1994" customFormat="1">
      <c r="A485" s="3198"/>
      <c r="C485" s="3199"/>
      <c r="E485" s="3198"/>
    </row>
    <row r="486" spans="1:5" s="1994" customFormat="1">
      <c r="A486" s="3198"/>
      <c r="C486" s="3199"/>
      <c r="E486" s="3198"/>
    </row>
    <row r="487" spans="1:5" s="1994" customFormat="1">
      <c r="A487" s="3198"/>
      <c r="C487" s="3199"/>
      <c r="E487" s="3198"/>
    </row>
    <row r="488" spans="1:5" s="1994" customFormat="1">
      <c r="A488" s="3198"/>
      <c r="C488" s="3199"/>
      <c r="E488" s="3198"/>
    </row>
    <row r="489" spans="1:5" s="1994" customFormat="1">
      <c r="A489" s="3198"/>
      <c r="C489" s="3199"/>
      <c r="E489" s="3198"/>
    </row>
    <row r="490" spans="1:5" s="1994" customFormat="1">
      <c r="A490" s="3198"/>
      <c r="C490" s="3199"/>
      <c r="E490" s="3198"/>
    </row>
  </sheetData>
  <sheetProtection password="CEE9" sheet="1" objects="1" scenarios="1" formatCells="0" formatColumns="0" formatRows="0"/>
  <phoneticPr fontId="16"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A4" zoomScale="90" zoomScaleNormal="60" zoomScaleSheetLayoutView="90" workbookViewId="0">
      <selection activeCell="J47" sqref="J47"/>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2464" t="s">
        <v>713</v>
      </c>
      <c r="C1" s="2465" t="s">
        <v>714</v>
      </c>
      <c r="D1" s="2466" t="s">
        <v>3390</v>
      </c>
      <c r="E1" s="2006"/>
      <c r="F1" s="2521" t="s">
        <v>3282</v>
      </c>
      <c r="G1" s="1529" t="s">
        <v>715</v>
      </c>
      <c r="H1" s="499"/>
      <c r="I1" s="499"/>
      <c r="J1" s="499"/>
      <c r="K1" s="500"/>
      <c r="L1" s="3203"/>
      <c r="M1" s="3204"/>
      <c r="N1" s="3204"/>
      <c r="O1" s="3204"/>
      <c r="P1" s="1497"/>
      <c r="Q1" s="1497"/>
      <c r="R1" s="1497"/>
      <c r="S1" s="1497"/>
      <c r="T1" s="1497"/>
      <c r="U1" s="1497"/>
      <c r="V1" s="1497"/>
      <c r="W1" s="1497"/>
      <c r="X1" s="1497"/>
      <c r="Y1" s="1497"/>
      <c r="Z1" s="1497"/>
      <c r="AA1" s="1497"/>
      <c r="AB1" s="1497"/>
      <c r="AC1" s="1498"/>
    </row>
    <row r="2" spans="1:29" s="1312" customFormat="1" ht="28.5" customHeight="1">
      <c r="A2" s="416" t="s">
        <v>461</v>
      </c>
      <c r="B2" s="2463">
        <f>ROUND(B3*D3/10000,0)</f>
        <v>182840</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2" t="s">
        <v>513</v>
      </c>
      <c r="B3" s="839">
        <f>C49</f>
        <v>44068</v>
      </c>
      <c r="C3" s="840" t="s">
        <v>716</v>
      </c>
      <c r="D3" s="839">
        <f>SUMIF('数据-汇总表'!$C19:$C33,D1,'数据-汇总表'!$E19:$E33)</f>
        <v>41490.493000000002</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633" t="s">
        <v>516</v>
      </c>
      <c r="D4" s="3634"/>
      <c r="E4" s="3668" t="s">
        <v>517</v>
      </c>
      <c r="F4" s="3669"/>
      <c r="G4" s="3633" t="s">
        <v>518</v>
      </c>
      <c r="H4" s="3634"/>
      <c r="I4" s="3633" t="s">
        <v>519</v>
      </c>
      <c r="J4" s="3634"/>
      <c r="K4" s="841" t="s">
        <v>520</v>
      </c>
      <c r="L4" s="2012"/>
      <c r="M4" s="2013"/>
      <c r="N4" s="2013"/>
      <c r="O4" s="2013"/>
      <c r="P4" s="3635" t="s">
        <v>521</v>
      </c>
      <c r="Q4" s="3636"/>
      <c r="R4" s="3641" t="s">
        <v>517</v>
      </c>
      <c r="S4" s="3642"/>
      <c r="T4" s="3641" t="s">
        <v>518</v>
      </c>
      <c r="U4" s="3642"/>
      <c r="V4" s="3628" t="s">
        <v>519</v>
      </c>
      <c r="W4" s="3628"/>
      <c r="X4" s="1499"/>
      <c r="Y4" s="3641" t="s">
        <v>521</v>
      </c>
      <c r="Z4" s="3642"/>
      <c r="AA4" s="3630" t="s">
        <v>517</v>
      </c>
      <c r="AB4" s="3630" t="s">
        <v>518</v>
      </c>
      <c r="AC4" s="3630" t="s">
        <v>519</v>
      </c>
    </row>
    <row r="5" spans="1:29" ht="15">
      <c r="A5" s="508"/>
      <c r="B5" s="509"/>
      <c r="C5" s="3672" t="s">
        <v>2875</v>
      </c>
      <c r="D5" s="3673"/>
      <c r="E5" s="3676" t="str">
        <f>住宅及车库案例!A2</f>
        <v>首开香溪郡</v>
      </c>
      <c r="F5" s="3677"/>
      <c r="G5" s="3672" t="str">
        <f>住宅及车库案例!A7</f>
        <v>帅府·潞苑</v>
      </c>
      <c r="H5" s="3673"/>
      <c r="I5" s="3672" t="str">
        <f>住宅及车库案例!A4</f>
        <v>禹洲朗廷湾</v>
      </c>
      <c r="J5" s="3673"/>
      <c r="K5" s="842"/>
      <c r="L5" s="2012"/>
      <c r="M5" s="2013"/>
      <c r="N5" s="2013"/>
      <c r="O5" s="2013"/>
      <c r="P5" s="3637"/>
      <c r="Q5" s="3638"/>
      <c r="R5" s="3643"/>
      <c r="S5" s="3644"/>
      <c r="T5" s="3643"/>
      <c r="U5" s="3644"/>
      <c r="V5" s="3628"/>
      <c r="W5" s="3628"/>
      <c r="X5" s="1499"/>
      <c r="Y5" s="3643"/>
      <c r="Z5" s="3644"/>
      <c r="AA5" s="3631"/>
      <c r="AB5" s="3631"/>
      <c r="AC5" s="3631"/>
    </row>
    <row r="6" spans="1:29" ht="15.75" thickBot="1">
      <c r="A6" s="510"/>
      <c r="B6" s="511"/>
      <c r="C6" s="3670" t="s">
        <v>2879</v>
      </c>
      <c r="D6" s="3671"/>
      <c r="E6" s="3674" t="s">
        <v>2879</v>
      </c>
      <c r="F6" s="3675"/>
      <c r="G6" s="3670" t="s">
        <v>2879</v>
      </c>
      <c r="H6" s="3671"/>
      <c r="I6" s="3670" t="s">
        <v>2879</v>
      </c>
      <c r="J6" s="3671"/>
      <c r="K6" s="842" t="s">
        <v>522</v>
      </c>
      <c r="L6" s="2012"/>
      <c r="M6" s="2013"/>
      <c r="N6" s="2013"/>
      <c r="O6" s="2013"/>
      <c r="P6" s="3639"/>
      <c r="Q6" s="3640"/>
      <c r="R6" s="3643"/>
      <c r="S6" s="3644"/>
      <c r="T6" s="3645"/>
      <c r="U6" s="3646"/>
      <c r="V6" s="3628"/>
      <c r="W6" s="3628"/>
      <c r="X6" s="1499"/>
      <c r="Y6" s="3645"/>
      <c r="Z6" s="3646"/>
      <c r="AA6" s="3632"/>
      <c r="AB6" s="3632"/>
      <c r="AC6" s="3632"/>
    </row>
    <row r="7" spans="1:29" s="1200" customFormat="1" ht="15.75" thickBot="1">
      <c r="A7" s="2626"/>
      <c r="B7" s="2633" t="s">
        <v>523</v>
      </c>
      <c r="C7" s="512">
        <f>'数据-取费表'!B2</f>
        <v>44532</v>
      </c>
      <c r="D7" s="513">
        <v>100</v>
      </c>
      <c r="E7" s="514">
        <v>44476</v>
      </c>
      <c r="F7" s="515">
        <f>SUMIF(58:58,YEAR(E7)&amp;"-"&amp;MONTH(E7),59:59)</f>
        <v>100</v>
      </c>
      <c r="G7" s="516">
        <f>E7</f>
        <v>44476</v>
      </c>
      <c r="H7" s="513">
        <f>SUMIF(58:58,YEAR(G7)&amp;"-"&amp;MONTH(G7),59:59)</f>
        <v>100</v>
      </c>
      <c r="I7" s="516">
        <f>E7</f>
        <v>44476</v>
      </c>
      <c r="J7" s="513">
        <f>SUMIF(58:58,YEAR(I7)&amp;"-"&amp;MONTH(I7),59:59)</f>
        <v>100</v>
      </c>
      <c r="K7" s="843"/>
      <c r="L7" s="2014"/>
      <c r="M7" s="2015"/>
      <c r="N7" s="2015"/>
      <c r="O7" s="2015"/>
      <c r="P7" s="3658" t="s">
        <v>524</v>
      </c>
      <c r="Q7" s="3660"/>
      <c r="R7" s="1500" t="s">
        <v>13</v>
      </c>
      <c r="S7" s="1501">
        <f t="shared" ref="S7:S15" si="0">F7</f>
        <v>100</v>
      </c>
      <c r="T7" s="1500" t="s">
        <v>13</v>
      </c>
      <c r="U7" s="1501">
        <f t="shared" ref="U7:U15" si="1">H7</f>
        <v>100</v>
      </c>
      <c r="V7" s="1500" t="s">
        <v>13</v>
      </c>
      <c r="W7" s="1501">
        <f t="shared" ref="W7:W15" si="2">J7</f>
        <v>100</v>
      </c>
      <c r="X7" s="1502"/>
      <c r="Y7" s="3658" t="s">
        <v>524</v>
      </c>
      <c r="Z7" s="3659"/>
      <c r="AA7" s="1503">
        <f>D7/F7</f>
        <v>1</v>
      </c>
      <c r="AB7" s="1503">
        <f>D7/H7</f>
        <v>1</v>
      </c>
      <c r="AC7" s="1503">
        <f>D7/J7</f>
        <v>1</v>
      </c>
    </row>
    <row r="8" spans="1:29" s="1200" customFormat="1" ht="15.75" thickBot="1">
      <c r="A8" s="2627"/>
      <c r="B8" s="2634" t="s">
        <v>525</v>
      </c>
      <c r="C8" s="518" t="s">
        <v>570</v>
      </c>
      <c r="D8" s="513">
        <v>100</v>
      </c>
      <c r="E8" s="844" t="s">
        <v>3230</v>
      </c>
      <c r="F8" s="515">
        <f>SUMIF(61:61,E8,62:62)-SUMIF(61:61,C8,62:62)+100</f>
        <v>100</v>
      </c>
      <c r="G8" s="518" t="s">
        <v>3230</v>
      </c>
      <c r="H8" s="513">
        <f>SUMIF(61:61,G8,62:62)-SUMIF(61:61,C8,62:62)+100</f>
        <v>100</v>
      </c>
      <c r="I8" s="844" t="s">
        <v>3230</v>
      </c>
      <c r="J8" s="513">
        <f>SUMIF(61:61,I8,62:62)-SUMIF(61:61,C8,62:62)+100</f>
        <v>100</v>
      </c>
      <c r="K8" s="843"/>
      <c r="L8" s="2014"/>
      <c r="M8" s="2015"/>
      <c r="N8" s="2015"/>
      <c r="O8" s="2015"/>
      <c r="P8" s="3658" t="s">
        <v>527</v>
      </c>
      <c r="Q8" s="3659"/>
      <c r="R8" s="1500" t="s">
        <v>13</v>
      </c>
      <c r="S8" s="1501">
        <f t="shared" si="0"/>
        <v>100</v>
      </c>
      <c r="T8" s="1500" t="s">
        <v>13</v>
      </c>
      <c r="U8" s="1501">
        <f t="shared" si="1"/>
        <v>100</v>
      </c>
      <c r="V8" s="1500" t="s">
        <v>13</v>
      </c>
      <c r="W8" s="1501">
        <f t="shared" si="2"/>
        <v>100</v>
      </c>
      <c r="X8" s="1502"/>
      <c r="Y8" s="3658" t="s">
        <v>527</v>
      </c>
      <c r="Z8" s="3659"/>
      <c r="AA8" s="1503">
        <f t="shared" ref="AA8:AA46" si="3">D8/F8</f>
        <v>1</v>
      </c>
      <c r="AB8" s="1503">
        <f t="shared" ref="AB8:AB46" si="4">D8/H8</f>
        <v>1</v>
      </c>
      <c r="AC8" s="1503">
        <f t="shared" ref="AC8:AC46" si="5">D8/J8</f>
        <v>1</v>
      </c>
    </row>
    <row r="9" spans="1:29" s="1200" customFormat="1" ht="15">
      <c r="A9" s="2628"/>
      <c r="B9" s="2635" t="s">
        <v>2733</v>
      </c>
      <c r="C9" s="3351" t="s">
        <v>3334</v>
      </c>
      <c r="D9" s="251">
        <v>100</v>
      </c>
      <c r="E9" s="846" t="s">
        <v>913</v>
      </c>
      <c r="F9" s="847">
        <f>SUMIF(63:63,E9,64:64)-SUMIF(63:63,C9,64:64)+100</f>
        <v>100</v>
      </c>
      <c r="G9" s="848" t="s">
        <v>913</v>
      </c>
      <c r="H9" s="251">
        <f>SUMIF(63:63,G9,64:64)-SUMIF(63:63,C9,64:64)+100</f>
        <v>100</v>
      </c>
      <c r="I9" s="848" t="s">
        <v>913</v>
      </c>
      <c r="J9" s="251">
        <f>SUMIF(63:63,I9,64:64)-SUMIF(63:63,C9,64:64)+100</f>
        <v>100</v>
      </c>
      <c r="K9" s="843"/>
      <c r="L9" s="2014"/>
      <c r="M9" s="2015"/>
      <c r="N9" s="2015"/>
      <c r="O9" s="2016"/>
      <c r="P9" s="3627" t="s">
        <v>529</v>
      </c>
      <c r="Q9" s="1131" t="str">
        <f t="shared" ref="Q9:Q15" si="6">B9</f>
        <v>用途</v>
      </c>
      <c r="R9" s="1500" t="s">
        <v>8</v>
      </c>
      <c r="S9" s="1501">
        <f t="shared" si="0"/>
        <v>100</v>
      </c>
      <c r="T9" s="1500" t="s">
        <v>8</v>
      </c>
      <c r="U9" s="1501">
        <f t="shared" si="1"/>
        <v>100</v>
      </c>
      <c r="V9" s="1500" t="s">
        <v>8</v>
      </c>
      <c r="W9" s="1501">
        <f t="shared" si="2"/>
        <v>100</v>
      </c>
      <c r="X9" s="1502"/>
      <c r="Y9" s="3573" t="s">
        <v>530</v>
      </c>
      <c r="Z9" s="1130" t="str">
        <f t="shared" ref="Z9:Z15" si="7">Q9</f>
        <v>用途</v>
      </c>
      <c r="AA9" s="1503">
        <f t="shared" si="3"/>
        <v>1</v>
      </c>
      <c r="AB9" s="1503">
        <f t="shared" si="4"/>
        <v>1</v>
      </c>
      <c r="AC9" s="1503">
        <f t="shared" si="5"/>
        <v>1</v>
      </c>
    </row>
    <row r="10" spans="1:29" s="1289" customFormat="1" ht="27">
      <c r="A10" s="2629"/>
      <c r="B10" s="2634" t="s">
        <v>2734</v>
      </c>
      <c r="C10" s="849" t="s">
        <v>3283</v>
      </c>
      <c r="D10" s="252">
        <v>100</v>
      </c>
      <c r="E10" s="850" t="s">
        <v>3283</v>
      </c>
      <c r="F10" s="851">
        <f>SUMIF(65:65,E10,66:66)-SUMIF(65:65,C10,66:66)+100</f>
        <v>100</v>
      </c>
      <c r="G10" s="849" t="s">
        <v>3283</v>
      </c>
      <c r="H10" s="252">
        <f>SUMIF(65:65,G10,66:66)-SUMIF(65:65,C10,66:66)+100</f>
        <v>100</v>
      </c>
      <c r="I10" s="849" t="s">
        <v>3283</v>
      </c>
      <c r="J10" s="252">
        <f>SUMIF(65:65,I10,66:66)-SUMIF(65:65,C10,66:66)+100</f>
        <v>100</v>
      </c>
      <c r="K10" s="852">
        <v>1</v>
      </c>
      <c r="L10" s="2017"/>
      <c r="M10" s="2056"/>
      <c r="N10" s="2056"/>
      <c r="O10" s="2018"/>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75" thickBot="1">
      <c r="A11" s="2630"/>
      <c r="B11" s="2634" t="s">
        <v>2735</v>
      </c>
      <c r="C11" s="526">
        <f>'数据-汇总表'!I4</f>
        <v>1.8</v>
      </c>
      <c r="D11" s="252">
        <v>100</v>
      </c>
      <c r="E11" s="527">
        <v>1.5</v>
      </c>
      <c r="F11" s="851">
        <f>LOOKUP(E11,68:68,69:69)-LOOKUP(C11,68:68,69:69)+100</f>
        <v>100</v>
      </c>
      <c r="G11" s="526">
        <v>1.6</v>
      </c>
      <c r="H11" s="252">
        <f>LOOKUP(G11,68:68,69:69)-LOOKUP(C11,68:68,69:69)+100</f>
        <v>100</v>
      </c>
      <c r="I11" s="526">
        <v>1.6</v>
      </c>
      <c r="J11" s="252">
        <f>LOOKUP(I11,68:68,69:69)-LOOKUP(C11,68:68,69:69)+100</f>
        <v>100</v>
      </c>
      <c r="K11" s="852">
        <v>3</v>
      </c>
      <c r="L11" s="2019"/>
      <c r="M11" s="2013"/>
      <c r="N11" s="2013"/>
      <c r="O11" s="2020"/>
      <c r="P11" s="3627"/>
      <c r="Q11" s="1131" t="str">
        <f t="shared" si="6"/>
        <v>容积率</v>
      </c>
      <c r="R11" s="1500" t="s">
        <v>11</v>
      </c>
      <c r="S11" s="1501">
        <f t="shared" si="0"/>
        <v>100</v>
      </c>
      <c r="T11" s="1500" t="s">
        <v>11</v>
      </c>
      <c r="U11" s="1501">
        <f t="shared" si="1"/>
        <v>100</v>
      </c>
      <c r="V11" s="1500" t="s">
        <v>11</v>
      </c>
      <c r="W11" s="1501">
        <f t="shared" si="2"/>
        <v>100</v>
      </c>
      <c r="X11" s="1502"/>
      <c r="Y11" s="3573"/>
      <c r="Z11" s="1130" t="str">
        <f t="shared" si="7"/>
        <v>容积率</v>
      </c>
      <c r="AA11" s="1503">
        <f t="shared" si="3"/>
        <v>1</v>
      </c>
      <c r="AB11" s="1503">
        <f t="shared" si="4"/>
        <v>1</v>
      </c>
      <c r="AC11" s="1503">
        <f t="shared" si="5"/>
        <v>1</v>
      </c>
    </row>
    <row r="12" spans="1:29" s="1200"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627"/>
      <c r="Q12" s="1131">
        <f t="shared" si="6"/>
        <v>111</v>
      </c>
      <c r="R12" s="1500" t="s">
        <v>11</v>
      </c>
      <c r="S12" s="1501">
        <f t="shared" si="0"/>
        <v>100</v>
      </c>
      <c r="T12" s="1500" t="s">
        <v>11</v>
      </c>
      <c r="U12" s="1501">
        <f t="shared" si="1"/>
        <v>100</v>
      </c>
      <c r="V12" s="1500" t="s">
        <v>11</v>
      </c>
      <c r="W12" s="1501">
        <f t="shared" si="2"/>
        <v>100</v>
      </c>
      <c r="X12" s="1502"/>
      <c r="Y12" s="3573"/>
      <c r="Z12" s="1130">
        <f t="shared" si="7"/>
        <v>111</v>
      </c>
      <c r="AA12" s="1503">
        <f>D12/F12</f>
        <v>1</v>
      </c>
      <c r="AB12" s="1503">
        <f>D12/H12</f>
        <v>1</v>
      </c>
      <c r="AC12" s="1503">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627"/>
      <c r="Q13" s="1131">
        <f t="shared" si="6"/>
        <v>111</v>
      </c>
      <c r="R13" s="1500" t="s">
        <v>11</v>
      </c>
      <c r="S13" s="1501">
        <f t="shared" si="0"/>
        <v>100</v>
      </c>
      <c r="T13" s="1500" t="s">
        <v>11</v>
      </c>
      <c r="U13" s="1501">
        <f t="shared" si="1"/>
        <v>100</v>
      </c>
      <c r="V13" s="1500" t="s">
        <v>11</v>
      </c>
      <c r="W13" s="1501">
        <f t="shared" si="2"/>
        <v>100</v>
      </c>
      <c r="X13" s="1502"/>
      <c r="Y13" s="3573"/>
      <c r="Z13" s="1130">
        <f t="shared" si="7"/>
        <v>111</v>
      </c>
      <c r="AA13" s="1503">
        <f t="shared" si="3"/>
        <v>1</v>
      </c>
      <c r="AB13" s="1503">
        <f t="shared" si="4"/>
        <v>1</v>
      </c>
      <c r="AC13" s="1503">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627"/>
      <c r="Q14" s="1131">
        <f t="shared" si="6"/>
        <v>111</v>
      </c>
      <c r="R14" s="1500" t="s">
        <v>11</v>
      </c>
      <c r="S14" s="1501">
        <f t="shared" si="0"/>
        <v>100</v>
      </c>
      <c r="T14" s="1500" t="s">
        <v>11</v>
      </c>
      <c r="U14" s="1501">
        <f t="shared" si="1"/>
        <v>100</v>
      </c>
      <c r="V14" s="1500" t="s">
        <v>11</v>
      </c>
      <c r="W14" s="1501">
        <f t="shared" si="2"/>
        <v>100</v>
      </c>
      <c r="X14" s="1502"/>
      <c r="Y14" s="3573"/>
      <c r="Z14" s="1130">
        <f t="shared" si="7"/>
        <v>111</v>
      </c>
      <c r="AA14" s="1503">
        <f t="shared" si="3"/>
        <v>1</v>
      </c>
      <c r="AB14" s="1503">
        <f t="shared" si="4"/>
        <v>1</v>
      </c>
      <c r="AC14" s="1503">
        <f t="shared" si="5"/>
        <v>1</v>
      </c>
    </row>
    <row r="15" spans="1:29" ht="15">
      <c r="A15" s="2624" t="s">
        <v>2731</v>
      </c>
      <c r="B15" s="163" t="s">
        <v>295</v>
      </c>
      <c r="C15" s="855" t="str">
        <f>估价对象房地状况!C3</f>
        <v>较差</v>
      </c>
      <c r="D15" s="542">
        <v>100</v>
      </c>
      <c r="E15" s="543"/>
      <c r="F15" s="544">
        <f>SUMIF(76:76,E16,77:77)-SUMIF(76:76,C16,77:77)+100</f>
        <v>100</v>
      </c>
      <c r="G15" s="545"/>
      <c r="H15" s="542">
        <f>SUMIF(76:76,G16,77:77)-SUMIF(76:76,C16,77:77)+100</f>
        <v>103</v>
      </c>
      <c r="I15" s="543"/>
      <c r="J15" s="542">
        <f>SUMIF(76:76,I16,77:77)-SUMIF(76:76,C16,77:77)+100</f>
        <v>103</v>
      </c>
      <c r="K15" s="856">
        <v>3</v>
      </c>
      <c r="L15" s="2021"/>
      <c r="M15" s="2013"/>
      <c r="N15" s="2013"/>
      <c r="O15" s="2020"/>
      <c r="P15" s="3661" t="s">
        <v>534</v>
      </c>
      <c r="Q15" s="1504" t="str">
        <f t="shared" si="6"/>
        <v>居住社区成熟度</v>
      </c>
      <c r="R15" s="1505" t="s">
        <v>11</v>
      </c>
      <c r="S15" s="1506">
        <f t="shared" si="0"/>
        <v>100</v>
      </c>
      <c r="T15" s="1505" t="s">
        <v>11</v>
      </c>
      <c r="U15" s="1506">
        <f t="shared" si="1"/>
        <v>103</v>
      </c>
      <c r="V15" s="1505" t="s">
        <v>11</v>
      </c>
      <c r="W15" s="1506">
        <f t="shared" si="2"/>
        <v>103</v>
      </c>
      <c r="X15" s="1499"/>
      <c r="Y15" s="3661" t="s">
        <v>534</v>
      </c>
      <c r="Z15" s="1507" t="str">
        <f t="shared" si="7"/>
        <v>居住社区成熟度</v>
      </c>
      <c r="AA15" s="1508">
        <f t="shared" si="3"/>
        <v>1</v>
      </c>
      <c r="AB15" s="1508">
        <f t="shared" si="4"/>
        <v>0.970873786407767</v>
      </c>
      <c r="AC15" s="1508">
        <f t="shared" si="5"/>
        <v>0.970873786407767</v>
      </c>
    </row>
    <row r="16" spans="1:29" ht="15">
      <c r="A16" s="525"/>
      <c r="B16" s="857"/>
      <c r="C16" s="569" t="s">
        <v>3271</v>
      </c>
      <c r="D16" s="548"/>
      <c r="E16" s="549" t="s">
        <v>3271</v>
      </c>
      <c r="F16" s="550"/>
      <c r="G16" s="551" t="s">
        <v>3268</v>
      </c>
      <c r="H16" s="552"/>
      <c r="I16" s="549" t="s">
        <v>3268</v>
      </c>
      <c r="J16" s="548"/>
      <c r="K16" s="858"/>
      <c r="L16" s="2021"/>
      <c r="M16" s="2013"/>
      <c r="N16" s="2013"/>
      <c r="O16" s="2020"/>
      <c r="P16" s="3662"/>
      <c r="Q16" s="1504"/>
      <c r="R16" s="1505"/>
      <c r="S16" s="1506"/>
      <c r="T16" s="1505"/>
      <c r="U16" s="1506"/>
      <c r="V16" s="1505"/>
      <c r="W16" s="1506"/>
      <c r="X16" s="1499"/>
      <c r="Y16" s="3662"/>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102</v>
      </c>
      <c r="I17" s="555"/>
      <c r="J17" s="558">
        <f>SUMIF(78:78,I18,79:79)-SUMIF(78:78,C18,79:79)+100</f>
        <v>102</v>
      </c>
      <c r="K17" s="856">
        <v>2</v>
      </c>
      <c r="L17" s="2021"/>
      <c r="M17" s="2013"/>
      <c r="N17" s="2013"/>
      <c r="O17" s="2020"/>
      <c r="P17" s="3662"/>
      <c r="Q17" s="1504" t="str">
        <f>B17</f>
        <v>交通便捷度</v>
      </c>
      <c r="R17" s="1505" t="s">
        <v>11</v>
      </c>
      <c r="S17" s="1506">
        <f>F17</f>
        <v>100</v>
      </c>
      <c r="T17" s="1505" t="s">
        <v>11</v>
      </c>
      <c r="U17" s="1506">
        <f>H17</f>
        <v>102</v>
      </c>
      <c r="V17" s="1505" t="s">
        <v>11</v>
      </c>
      <c r="W17" s="1506">
        <f>J17</f>
        <v>102</v>
      </c>
      <c r="X17" s="1499"/>
      <c r="Y17" s="3662"/>
      <c r="Z17" s="1507" t="str">
        <f>Q17</f>
        <v>交通便捷度</v>
      </c>
      <c r="AA17" s="1508">
        <f t="shared" si="3"/>
        <v>1</v>
      </c>
      <c r="AB17" s="1508">
        <f t="shared" si="4"/>
        <v>0.98039215686274506</v>
      </c>
      <c r="AC17" s="1508">
        <f t="shared" si="5"/>
        <v>0.98039215686274506</v>
      </c>
    </row>
    <row r="18" spans="1:29" ht="15">
      <c r="A18" s="525"/>
      <c r="B18" s="588"/>
      <c r="C18" s="861" t="s">
        <v>3268</v>
      </c>
      <c r="D18" s="552"/>
      <c r="E18" s="561" t="s">
        <v>3268</v>
      </c>
      <c r="F18" s="556"/>
      <c r="G18" s="562" t="s">
        <v>3273</v>
      </c>
      <c r="H18" s="548"/>
      <c r="I18" s="561" t="s">
        <v>3273</v>
      </c>
      <c r="J18" s="548"/>
      <c r="K18" s="858"/>
      <c r="L18" s="2021"/>
      <c r="M18" s="2013"/>
      <c r="N18" s="2013"/>
      <c r="O18" s="2020"/>
      <c r="P18" s="3662"/>
      <c r="Q18" s="1504"/>
      <c r="R18" s="1505"/>
      <c r="S18" s="1506"/>
      <c r="T18" s="1505"/>
      <c r="U18" s="1506"/>
      <c r="V18" s="1505"/>
      <c r="W18" s="1506"/>
      <c r="X18" s="1499"/>
      <c r="Y18" s="3662"/>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102</v>
      </c>
      <c r="I19" s="563"/>
      <c r="J19" s="552">
        <f>SUMIF(80:80,I20,81:81)-SUMIF(80:80,C20,81:81)+100</f>
        <v>102</v>
      </c>
      <c r="K19" s="856">
        <v>2</v>
      </c>
      <c r="L19" s="2021"/>
      <c r="M19" s="2013"/>
      <c r="N19" s="2013"/>
      <c r="O19" s="2020"/>
      <c r="P19" s="3662"/>
      <c r="Q19" s="1504" t="str">
        <f>B19</f>
        <v>公共配套设施</v>
      </c>
      <c r="R19" s="1505" t="s">
        <v>11</v>
      </c>
      <c r="S19" s="1506">
        <f>F19</f>
        <v>100</v>
      </c>
      <c r="T19" s="1505" t="s">
        <v>11</v>
      </c>
      <c r="U19" s="1506">
        <f>H19</f>
        <v>102</v>
      </c>
      <c r="V19" s="1505" t="s">
        <v>11</v>
      </c>
      <c r="W19" s="1506">
        <f>J19</f>
        <v>102</v>
      </c>
      <c r="X19" s="1499"/>
      <c r="Y19" s="3662"/>
      <c r="Z19" s="1507" t="str">
        <f>Q19</f>
        <v>公共配套设施</v>
      </c>
      <c r="AA19" s="1508">
        <f t="shared" si="3"/>
        <v>1</v>
      </c>
      <c r="AB19" s="1508">
        <f t="shared" si="4"/>
        <v>0.98039215686274506</v>
      </c>
      <c r="AC19" s="1508">
        <f t="shared" si="5"/>
        <v>0.98039215686274506</v>
      </c>
    </row>
    <row r="20" spans="1:29" ht="15">
      <c r="A20" s="525"/>
      <c r="B20" s="588"/>
      <c r="C20" s="569" t="s">
        <v>3271</v>
      </c>
      <c r="D20" s="548"/>
      <c r="E20" s="549" t="s">
        <v>3271</v>
      </c>
      <c r="F20" s="550"/>
      <c r="G20" s="551" t="s">
        <v>3268</v>
      </c>
      <c r="H20" s="548"/>
      <c r="I20" s="549" t="s">
        <v>3268</v>
      </c>
      <c r="J20" s="548"/>
      <c r="K20" s="858"/>
      <c r="L20" s="2021"/>
      <c r="M20" s="2013"/>
      <c r="N20" s="2013"/>
      <c r="O20" s="2020"/>
      <c r="P20" s="3662"/>
      <c r="Q20" s="1504"/>
      <c r="R20" s="1505"/>
      <c r="S20" s="1506"/>
      <c r="T20" s="1505"/>
      <c r="U20" s="1506"/>
      <c r="V20" s="1505"/>
      <c r="W20" s="1506"/>
      <c r="X20" s="1499"/>
      <c r="Y20" s="3662"/>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v>2</v>
      </c>
      <c r="L21" s="2021"/>
      <c r="M21" s="2013"/>
      <c r="N21" s="2013"/>
      <c r="O21" s="2020"/>
      <c r="P21" s="3662"/>
      <c r="Q21" s="2426" t="str">
        <f>B21</f>
        <v>基础设施水平</v>
      </c>
      <c r="R21" s="1505" t="s">
        <v>11</v>
      </c>
      <c r="S21" s="1506">
        <f>F21</f>
        <v>100</v>
      </c>
      <c r="T21" s="1505" t="s">
        <v>11</v>
      </c>
      <c r="U21" s="1506">
        <f>H21</f>
        <v>100</v>
      </c>
      <c r="V21" s="1505" t="s">
        <v>11</v>
      </c>
      <c r="W21" s="1506">
        <f>J21</f>
        <v>100</v>
      </c>
      <c r="X21" s="2428"/>
      <c r="Y21" s="3662"/>
      <c r="Z21" s="2427" t="str">
        <f>Q21</f>
        <v>基础设施水平</v>
      </c>
      <c r="AA21" s="1508">
        <f t="shared" ref="AA21" si="8">D21/F21</f>
        <v>1</v>
      </c>
      <c r="AB21" s="1508">
        <f t="shared" ref="AB21" si="9">D21/H21</f>
        <v>1</v>
      </c>
      <c r="AC21" s="1508">
        <f t="shared" ref="AC21" si="10">D21/J21</f>
        <v>1</v>
      </c>
    </row>
    <row r="22" spans="1:29" ht="15">
      <c r="A22" s="525"/>
      <c r="B22" s="908"/>
      <c r="C22" s="861" t="s">
        <v>3236</v>
      </c>
      <c r="D22" s="548"/>
      <c r="E22" s="569" t="s">
        <v>3236</v>
      </c>
      <c r="F22" s="550"/>
      <c r="G22" s="569" t="s">
        <v>3236</v>
      </c>
      <c r="H22" s="548"/>
      <c r="I22" s="569" t="s">
        <v>3236</v>
      </c>
      <c r="J22" s="548"/>
      <c r="K22" s="2440"/>
      <c r="L22" s="2021"/>
      <c r="M22" s="2013"/>
      <c r="N22" s="2013"/>
      <c r="O22" s="2020"/>
      <c r="P22" s="3662"/>
      <c r="Q22" s="2426"/>
      <c r="R22" s="1505"/>
      <c r="S22" s="1506"/>
      <c r="T22" s="1505"/>
      <c r="U22" s="1506"/>
      <c r="V22" s="1505"/>
      <c r="W22" s="1506"/>
      <c r="X22" s="2428"/>
      <c r="Y22" s="3662"/>
      <c r="Z22" s="2427"/>
      <c r="AA22" s="1508">
        <v>1</v>
      </c>
      <c r="AB22" s="1508">
        <v>1</v>
      </c>
      <c r="AC22" s="1508">
        <v>1</v>
      </c>
    </row>
    <row r="23" spans="1:29" ht="15">
      <c r="A23" s="525"/>
      <c r="B23" s="859" t="s">
        <v>297</v>
      </c>
      <c r="C23" s="860" t="str">
        <f>估价对象房地状况!C9</f>
        <v>一般</v>
      </c>
      <c r="D23" s="552">
        <v>100</v>
      </c>
      <c r="E23" s="555"/>
      <c r="F23" s="556">
        <f>SUMIF(84:84,E24,85:85)-SUMIF(84:84,C24,85:85)+100</f>
        <v>100</v>
      </c>
      <c r="G23" s="557"/>
      <c r="H23" s="552">
        <f>SUMIF(84:84,G24,85:85)-SUMIF(84:84,C24,85:85)+100</f>
        <v>102</v>
      </c>
      <c r="I23" s="555"/>
      <c r="J23" s="552">
        <f>SUMIF(84:84,I24,85:85)-SUMIF(84:84,C24,85:85)+100</f>
        <v>102</v>
      </c>
      <c r="K23" s="856">
        <v>2</v>
      </c>
      <c r="L23" s="2021"/>
      <c r="M23" s="2013"/>
      <c r="N23" s="2013"/>
      <c r="O23" s="2020"/>
      <c r="P23" s="3662"/>
      <c r="Q23" s="1504" t="str">
        <f>B23</f>
        <v>自然及人文环境</v>
      </c>
      <c r="R23" s="1505" t="s">
        <v>11</v>
      </c>
      <c r="S23" s="1506">
        <f>F23</f>
        <v>100</v>
      </c>
      <c r="T23" s="1505" t="s">
        <v>11</v>
      </c>
      <c r="U23" s="1506">
        <f>H23</f>
        <v>102</v>
      </c>
      <c r="V23" s="1505" t="s">
        <v>11</v>
      </c>
      <c r="W23" s="1506">
        <f>J23</f>
        <v>102</v>
      </c>
      <c r="X23" s="1499"/>
      <c r="Y23" s="3662"/>
      <c r="Z23" s="1507" t="str">
        <f>Q23</f>
        <v>自然及人文环境</v>
      </c>
      <c r="AA23" s="1508">
        <f t="shared" si="3"/>
        <v>1</v>
      </c>
      <c r="AB23" s="1508">
        <f t="shared" si="4"/>
        <v>0.98039215686274506</v>
      </c>
      <c r="AC23" s="1508">
        <f t="shared" si="5"/>
        <v>0.98039215686274506</v>
      </c>
    </row>
    <row r="24" spans="1:29" ht="15.75" thickBot="1">
      <c r="A24" s="525"/>
      <c r="B24" s="588"/>
      <c r="C24" s="569" t="s">
        <v>3268</v>
      </c>
      <c r="D24" s="548"/>
      <c r="E24" s="549" t="s">
        <v>3268</v>
      </c>
      <c r="F24" s="550"/>
      <c r="G24" s="551" t="s">
        <v>3273</v>
      </c>
      <c r="H24" s="548"/>
      <c r="I24" s="549" t="s">
        <v>3273</v>
      </c>
      <c r="J24" s="548"/>
      <c r="K24" s="858"/>
      <c r="L24" s="2021"/>
      <c r="M24" s="2013"/>
      <c r="N24" s="2013"/>
      <c r="O24" s="2020"/>
      <c r="P24" s="3662"/>
      <c r="Q24" s="1504"/>
      <c r="R24" s="1505"/>
      <c r="S24" s="1506"/>
      <c r="T24" s="1505"/>
      <c r="U24" s="1506"/>
      <c r="V24" s="1505"/>
      <c r="W24" s="1506"/>
      <c r="X24" s="1499"/>
      <c r="Y24" s="3662"/>
      <c r="Z24" s="1507"/>
      <c r="AA24" s="1508">
        <v>1</v>
      </c>
      <c r="AB24" s="1508">
        <v>1</v>
      </c>
      <c r="AC24" s="1508">
        <v>1</v>
      </c>
    </row>
    <row r="25" spans="1:29" ht="15" hidden="1">
      <c r="A25" s="525"/>
      <c r="B25" s="1806" t="s">
        <v>2243</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662"/>
      <c r="Q25" s="1504" t="str">
        <f t="shared" ref="Q25:Q46" si="11">B25</f>
        <v>楼层-1</v>
      </c>
      <c r="R25" s="1505" t="s">
        <v>11</v>
      </c>
      <c r="S25" s="1506">
        <f>F25</f>
        <v>100</v>
      </c>
      <c r="T25" s="1505" t="s">
        <v>11</v>
      </c>
      <c r="U25" s="1506">
        <f>H25</f>
        <v>100</v>
      </c>
      <c r="V25" s="1505" t="s">
        <v>11</v>
      </c>
      <c r="W25" s="1506">
        <f>J25</f>
        <v>100</v>
      </c>
      <c r="X25" s="1499"/>
      <c r="Y25" s="3662"/>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662"/>
      <c r="Q26" s="1504" t="str">
        <f t="shared" si="11"/>
        <v>朝向</v>
      </c>
      <c r="R26" s="1505" t="s">
        <v>11</v>
      </c>
      <c r="S26" s="1506">
        <f>F26</f>
        <v>100</v>
      </c>
      <c r="T26" s="1505" t="s">
        <v>11</v>
      </c>
      <c r="U26" s="1506">
        <f>H26</f>
        <v>100</v>
      </c>
      <c r="V26" s="1505" t="s">
        <v>11</v>
      </c>
      <c r="W26" s="1506">
        <f>J26</f>
        <v>100</v>
      </c>
      <c r="X26" s="1499"/>
      <c r="Y26" s="3662"/>
      <c r="Z26" s="1507" t="str">
        <f>Q26</f>
        <v>朝向</v>
      </c>
      <c r="AA26" s="1508">
        <f t="shared" si="3"/>
        <v>1</v>
      </c>
      <c r="AB26" s="1508">
        <f t="shared" si="4"/>
        <v>1</v>
      </c>
      <c r="AC26" s="1508">
        <f t="shared" si="5"/>
        <v>1</v>
      </c>
    </row>
    <row r="27" spans="1:29" s="1200" customFormat="1" ht="15" hidden="1">
      <c r="A27" s="529"/>
      <c r="B27" s="530"/>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662"/>
      <c r="Q27" s="1131">
        <f t="shared" si="11"/>
        <v>0</v>
      </c>
      <c r="R27" s="1500" t="s">
        <v>11</v>
      </c>
      <c r="S27" s="1501">
        <f>F27</f>
        <v>100</v>
      </c>
      <c r="T27" s="1500" t="s">
        <v>11</v>
      </c>
      <c r="U27" s="1501">
        <f>H27</f>
        <v>100</v>
      </c>
      <c r="V27" s="1500" t="s">
        <v>11</v>
      </c>
      <c r="W27" s="1501">
        <f>J27</f>
        <v>100</v>
      </c>
      <c r="X27" s="1502"/>
      <c r="Y27" s="3662"/>
      <c r="Z27" s="1130">
        <f>Q27</f>
        <v>0</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662"/>
      <c r="Q28" s="1504">
        <f t="shared" si="11"/>
        <v>111</v>
      </c>
      <c r="R28" s="1505" t="s">
        <v>11</v>
      </c>
      <c r="S28" s="1506">
        <f t="shared" ref="S28:S46" si="12">F28</f>
        <v>100</v>
      </c>
      <c r="T28" s="1505" t="s">
        <v>11</v>
      </c>
      <c r="U28" s="1506">
        <f t="shared" ref="U28:U46" si="13">H28</f>
        <v>100</v>
      </c>
      <c r="V28" s="1505" t="s">
        <v>11</v>
      </c>
      <c r="W28" s="1506">
        <f t="shared" ref="W28:W46" si="14">J28</f>
        <v>100</v>
      </c>
      <c r="X28" s="1499"/>
      <c r="Y28" s="3662"/>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662"/>
      <c r="Q29" s="1504">
        <f t="shared" si="11"/>
        <v>111</v>
      </c>
      <c r="R29" s="1505" t="s">
        <v>11</v>
      </c>
      <c r="S29" s="1506">
        <f t="shared" si="12"/>
        <v>100</v>
      </c>
      <c r="T29" s="1505" t="s">
        <v>11</v>
      </c>
      <c r="U29" s="1506">
        <f t="shared" si="13"/>
        <v>100</v>
      </c>
      <c r="V29" s="1505" t="s">
        <v>11</v>
      </c>
      <c r="W29" s="1506">
        <f t="shared" si="14"/>
        <v>100</v>
      </c>
      <c r="X29" s="1499"/>
      <c r="Y29" s="3662"/>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662"/>
      <c r="Q30" s="1504">
        <f t="shared" si="11"/>
        <v>111</v>
      </c>
      <c r="R30" s="1505" t="s">
        <v>11</v>
      </c>
      <c r="S30" s="1506">
        <f t="shared" si="12"/>
        <v>100</v>
      </c>
      <c r="T30" s="1505" t="s">
        <v>11</v>
      </c>
      <c r="U30" s="1506">
        <f t="shared" si="13"/>
        <v>100</v>
      </c>
      <c r="V30" s="1505" t="s">
        <v>11</v>
      </c>
      <c r="W30" s="1506">
        <f t="shared" si="14"/>
        <v>100</v>
      </c>
      <c r="X30" s="1499"/>
      <c r="Y30" s="3662"/>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662"/>
      <c r="Q31" s="1504">
        <f t="shared" si="11"/>
        <v>111</v>
      </c>
      <c r="R31" s="1505" t="s">
        <v>11</v>
      </c>
      <c r="S31" s="1506">
        <f t="shared" si="12"/>
        <v>100</v>
      </c>
      <c r="T31" s="1505" t="s">
        <v>11</v>
      </c>
      <c r="U31" s="1506">
        <f t="shared" si="13"/>
        <v>100</v>
      </c>
      <c r="V31" s="1505" t="s">
        <v>11</v>
      </c>
      <c r="W31" s="1506">
        <f t="shared" si="14"/>
        <v>100</v>
      </c>
      <c r="X31" s="1499"/>
      <c r="Y31" s="3662"/>
      <c r="Z31" s="1507">
        <f t="shared" si="15"/>
        <v>111</v>
      </c>
      <c r="AA31" s="1508">
        <f t="shared" si="3"/>
        <v>1</v>
      </c>
      <c r="AB31" s="1508">
        <f t="shared" si="4"/>
        <v>1</v>
      </c>
      <c r="AC31" s="1508">
        <f t="shared" si="5"/>
        <v>1</v>
      </c>
    </row>
    <row r="32" spans="1:29" ht="15">
      <c r="A32" s="2621" t="s">
        <v>2732</v>
      </c>
      <c r="B32" s="169" t="s">
        <v>718</v>
      </c>
      <c r="C32" s="866" t="s">
        <v>3119</v>
      </c>
      <c r="D32" s="590">
        <v>100</v>
      </c>
      <c r="E32" s="867" t="s">
        <v>3119</v>
      </c>
      <c r="F32" s="568">
        <f>SUMIF(100:100,E32,101:101)-SUMIF(100:100,C32,101:101)+100</f>
        <v>100</v>
      </c>
      <c r="G32" s="866" t="s">
        <v>3119</v>
      </c>
      <c r="H32" s="590">
        <f>SUMIF(100:100,G32,101:101)-SUMIF(100:100,C32,101:101)+100</f>
        <v>100</v>
      </c>
      <c r="I32" s="867" t="s">
        <v>3119</v>
      </c>
      <c r="J32" s="533">
        <f>SUMIF(100:100,I32,101:101)-SUMIF(100:100,C32,101:101)+100</f>
        <v>100</v>
      </c>
      <c r="K32" s="852">
        <v>10</v>
      </c>
      <c r="L32" s="2021"/>
      <c r="M32" s="2013"/>
      <c r="N32" s="2013"/>
      <c r="O32" s="2020"/>
      <c r="P32" s="3663" t="s">
        <v>544</v>
      </c>
      <c r="Q32" s="1504" t="str">
        <f t="shared" si="11"/>
        <v>建筑类型</v>
      </c>
      <c r="R32" s="1505" t="s">
        <v>11</v>
      </c>
      <c r="S32" s="1506">
        <f t="shared" si="12"/>
        <v>100</v>
      </c>
      <c r="T32" s="1505" t="s">
        <v>11</v>
      </c>
      <c r="U32" s="1506">
        <f t="shared" si="13"/>
        <v>100</v>
      </c>
      <c r="V32" s="1505" t="s">
        <v>11</v>
      </c>
      <c r="W32" s="1506">
        <f t="shared" si="14"/>
        <v>100</v>
      </c>
      <c r="X32" s="1499"/>
      <c r="Y32" s="3664" t="s">
        <v>544</v>
      </c>
      <c r="Z32" s="1507" t="str">
        <f t="shared" si="15"/>
        <v>建筑类型</v>
      </c>
      <c r="AA32" s="1508">
        <f t="shared" si="3"/>
        <v>1</v>
      </c>
      <c r="AB32" s="1508">
        <f t="shared" si="4"/>
        <v>1</v>
      </c>
      <c r="AC32" s="1508">
        <f t="shared" si="5"/>
        <v>1</v>
      </c>
    </row>
    <row r="33" spans="1:29" s="1290" customFormat="1" ht="15">
      <c r="A33" s="596"/>
      <c r="B33" s="520" t="s">
        <v>719</v>
      </c>
      <c r="C33" s="868">
        <f>'数据-汇总表'!F27</f>
        <v>41490.493000000002</v>
      </c>
      <c r="D33" s="252">
        <v>100</v>
      </c>
      <c r="E33" s="527">
        <v>279332</v>
      </c>
      <c r="F33" s="851">
        <f>LOOKUP(E33,103:103,104:104)-LOOKUP(C33,103:103,104:104)+100</f>
        <v>104</v>
      </c>
      <c r="G33" s="526">
        <v>94706</v>
      </c>
      <c r="H33" s="252">
        <f>LOOKUP(G33,103:103,104:104)-LOOKUP(C33,103:103,104:104)+100</f>
        <v>101</v>
      </c>
      <c r="I33" s="527">
        <v>109651</v>
      </c>
      <c r="J33" s="252">
        <f>LOOKUP(I33,103:103,104:104)-LOOKUP(C33,103:103,104:104)+100</f>
        <v>102</v>
      </c>
      <c r="K33" s="853"/>
      <c r="L33" s="2019"/>
      <c r="M33" s="2049"/>
      <c r="N33" s="2049"/>
      <c r="O33" s="2022"/>
      <c r="P33" s="3664"/>
      <c r="Q33" s="1533" t="str">
        <f t="shared" si="11"/>
        <v>项目建筑规模</v>
      </c>
      <c r="R33" s="1509" t="s">
        <v>11</v>
      </c>
      <c r="S33" s="1510">
        <f t="shared" si="12"/>
        <v>104</v>
      </c>
      <c r="T33" s="1509" t="s">
        <v>11</v>
      </c>
      <c r="U33" s="1510">
        <f t="shared" si="13"/>
        <v>101</v>
      </c>
      <c r="V33" s="1509" t="s">
        <v>11</v>
      </c>
      <c r="W33" s="1510">
        <f t="shared" si="14"/>
        <v>102</v>
      </c>
      <c r="X33" s="1511"/>
      <c r="Y33" s="3664"/>
      <c r="Z33" s="1512" t="str">
        <f t="shared" si="15"/>
        <v>项目建筑规模</v>
      </c>
      <c r="AA33" s="1508">
        <f t="shared" si="3"/>
        <v>0.96153846153846156</v>
      </c>
      <c r="AB33" s="1508">
        <f t="shared" si="4"/>
        <v>0.99009900990099009</v>
      </c>
      <c r="AC33" s="1508">
        <f t="shared" si="5"/>
        <v>0.98039215686274506</v>
      </c>
    </row>
    <row r="34" spans="1:29" ht="15">
      <c r="A34" s="587"/>
      <c r="B34" s="520" t="s">
        <v>720</v>
      </c>
      <c r="C34" s="869" t="s">
        <v>3131</v>
      </c>
      <c r="D34" s="533">
        <v>100</v>
      </c>
      <c r="E34" s="869" t="s">
        <v>3131</v>
      </c>
      <c r="F34" s="568">
        <f>SUMIF(105:105,E34,106:106)-SUMIF(105:105,C34,106:106)+100</f>
        <v>100</v>
      </c>
      <c r="G34" s="869" t="s">
        <v>3131</v>
      </c>
      <c r="H34" s="533">
        <f>SUMIF(105:105,G34,106:106)-SUMIF(105:105,C34,106:106)+100</f>
        <v>100</v>
      </c>
      <c r="I34" s="869" t="s">
        <v>3131</v>
      </c>
      <c r="J34" s="533">
        <f>SUMIF(105:105,I34,106:106)-SUMIF(105:105,C34,106:106)+100</f>
        <v>100</v>
      </c>
      <c r="K34" s="852">
        <v>3</v>
      </c>
      <c r="L34" s="2021"/>
      <c r="M34" s="2013"/>
      <c r="N34" s="2013"/>
      <c r="O34" s="2020"/>
      <c r="P34" s="3664"/>
      <c r="Q34" s="1504" t="str">
        <f t="shared" si="11"/>
        <v>建筑结构</v>
      </c>
      <c r="R34" s="1505" t="s">
        <v>11</v>
      </c>
      <c r="S34" s="1506">
        <f t="shared" si="12"/>
        <v>100</v>
      </c>
      <c r="T34" s="1505" t="s">
        <v>11</v>
      </c>
      <c r="U34" s="1506">
        <f t="shared" si="13"/>
        <v>100</v>
      </c>
      <c r="V34" s="1505" t="s">
        <v>11</v>
      </c>
      <c r="W34" s="1506">
        <f t="shared" si="14"/>
        <v>100</v>
      </c>
      <c r="X34" s="1499"/>
      <c r="Y34" s="3664"/>
      <c r="Z34" s="1507" t="str">
        <f t="shared" si="15"/>
        <v>建筑结构</v>
      </c>
      <c r="AA34" s="1508">
        <f t="shared" si="3"/>
        <v>1</v>
      </c>
      <c r="AB34" s="1508">
        <f t="shared" si="4"/>
        <v>1</v>
      </c>
      <c r="AC34" s="1508">
        <f t="shared" si="5"/>
        <v>1</v>
      </c>
    </row>
    <row r="35" spans="1:29" ht="15">
      <c r="A35" s="587"/>
      <c r="B35" s="520" t="s">
        <v>721</v>
      </c>
      <c r="C35" s="592" t="s">
        <v>3288</v>
      </c>
      <c r="D35" s="533">
        <v>100</v>
      </c>
      <c r="E35" s="592" t="s">
        <v>3288</v>
      </c>
      <c r="F35" s="568">
        <f>SUMIF(107:107,E35,108:108)-SUMIF(107:107,C35,108:108)+100</f>
        <v>100</v>
      </c>
      <c r="G35" s="592" t="s">
        <v>3288</v>
      </c>
      <c r="H35" s="533">
        <f>SUMIF(107:107,G35,108:108)-SUMIF(107:107,C35,108:108)+100</f>
        <v>100</v>
      </c>
      <c r="I35" s="592" t="s">
        <v>3288</v>
      </c>
      <c r="J35" s="533">
        <f>SUMIF(107:107,I35,108:108)-SUMIF(107:107,C35,108:108)+100</f>
        <v>100</v>
      </c>
      <c r="K35" s="852">
        <v>3</v>
      </c>
      <c r="L35" s="2021"/>
      <c r="M35" s="2013"/>
      <c r="N35" s="2013"/>
      <c r="O35" s="2020"/>
      <c r="P35" s="3664"/>
      <c r="Q35" s="1504" t="str">
        <f t="shared" si="11"/>
        <v>建筑品质</v>
      </c>
      <c r="R35" s="1505" t="s">
        <v>11</v>
      </c>
      <c r="S35" s="1506">
        <f t="shared" si="12"/>
        <v>100</v>
      </c>
      <c r="T35" s="1505" t="s">
        <v>11</v>
      </c>
      <c r="U35" s="1506">
        <f t="shared" si="13"/>
        <v>100</v>
      </c>
      <c r="V35" s="1505" t="s">
        <v>11</v>
      </c>
      <c r="W35" s="1506">
        <f t="shared" si="14"/>
        <v>100</v>
      </c>
      <c r="X35" s="1499"/>
      <c r="Y35" s="3664"/>
      <c r="Z35" s="1507" t="str">
        <f t="shared" si="15"/>
        <v>建筑品质</v>
      </c>
      <c r="AA35" s="1508">
        <f t="shared" si="3"/>
        <v>1</v>
      </c>
      <c r="AB35" s="1508">
        <f t="shared" si="4"/>
        <v>1</v>
      </c>
      <c r="AC35" s="1508">
        <f t="shared" si="5"/>
        <v>1</v>
      </c>
    </row>
    <row r="36" spans="1:29" ht="15">
      <c r="A36" s="587"/>
      <c r="B36" s="520" t="s">
        <v>722</v>
      </c>
      <c r="C36" s="592" t="s">
        <v>3300</v>
      </c>
      <c r="D36" s="533">
        <v>100</v>
      </c>
      <c r="E36" s="592" t="s">
        <v>3300</v>
      </c>
      <c r="F36" s="568">
        <f>SUMIF(109:109,E36,110:110)-SUMIF(109:109,C36,110:110)+100</f>
        <v>100</v>
      </c>
      <c r="G36" s="592" t="s">
        <v>3300</v>
      </c>
      <c r="H36" s="533">
        <f>SUMIF(109:109,G36,110:110)-SUMIF(109:109,C36,110:110)+100</f>
        <v>100</v>
      </c>
      <c r="I36" s="592" t="s">
        <v>3300</v>
      </c>
      <c r="J36" s="533">
        <f>SUMIF(109:109,I36,110:110)-SUMIF(109:109,C36,110:110)+100</f>
        <v>100</v>
      </c>
      <c r="K36" s="852">
        <v>3</v>
      </c>
      <c r="L36" s="2021"/>
      <c r="M36" s="2013"/>
      <c r="N36" s="2013"/>
      <c r="O36" s="2020"/>
      <c r="P36" s="3664"/>
      <c r="Q36" s="1504" t="str">
        <f t="shared" si="11"/>
        <v>公共部分装修</v>
      </c>
      <c r="R36" s="1505" t="s">
        <v>11</v>
      </c>
      <c r="S36" s="1506">
        <f t="shared" si="12"/>
        <v>100</v>
      </c>
      <c r="T36" s="1505" t="s">
        <v>11</v>
      </c>
      <c r="U36" s="1506">
        <f t="shared" si="13"/>
        <v>100</v>
      </c>
      <c r="V36" s="1505" t="s">
        <v>11</v>
      </c>
      <c r="W36" s="1506">
        <f t="shared" si="14"/>
        <v>100</v>
      </c>
      <c r="X36" s="1499"/>
      <c r="Y36" s="3664"/>
      <c r="Z36" s="1507" t="str">
        <f t="shared" si="15"/>
        <v>公共部分装修</v>
      </c>
      <c r="AA36" s="1508">
        <f t="shared" si="3"/>
        <v>1</v>
      </c>
      <c r="AB36" s="1508">
        <f t="shared" si="4"/>
        <v>1</v>
      </c>
      <c r="AC36" s="1508">
        <f t="shared" si="5"/>
        <v>1</v>
      </c>
    </row>
    <row r="37" spans="1:29" s="1200" customFormat="1" ht="15">
      <c r="A37" s="593"/>
      <c r="B37" s="520" t="s">
        <v>723</v>
      </c>
      <c r="C37" s="871">
        <v>1</v>
      </c>
      <c r="D37" s="252">
        <v>100</v>
      </c>
      <c r="E37" s="871">
        <v>0.9</v>
      </c>
      <c r="F37" s="851">
        <f>LOOKUP(E37,112:112,113:113)-LOOKUP(C37,112:112,113:113)+100</f>
        <v>100</v>
      </c>
      <c r="G37" s="871">
        <v>1</v>
      </c>
      <c r="H37" s="252">
        <f>LOOKUP(G37,112:112,113:113)-LOOKUP(C37,112:112,113:113)+100</f>
        <v>100</v>
      </c>
      <c r="I37" s="871">
        <v>1</v>
      </c>
      <c r="J37" s="252">
        <f>LOOKUP(I37,112:112,113:113)-LOOKUP(C37,112:112,113:113)+100</f>
        <v>100</v>
      </c>
      <c r="K37" s="852">
        <v>2</v>
      </c>
      <c r="L37" s="2014"/>
      <c r="M37" s="2015"/>
      <c r="N37" s="2015"/>
      <c r="O37" s="2016"/>
      <c r="P37" s="3664"/>
      <c r="Q37" s="1131" t="str">
        <f t="shared" si="11"/>
        <v>成新度</v>
      </c>
      <c r="R37" s="1500" t="s">
        <v>11</v>
      </c>
      <c r="S37" s="1501">
        <f t="shared" si="12"/>
        <v>100</v>
      </c>
      <c r="T37" s="1500" t="s">
        <v>11</v>
      </c>
      <c r="U37" s="1501">
        <f t="shared" si="13"/>
        <v>100</v>
      </c>
      <c r="V37" s="1500" t="s">
        <v>11</v>
      </c>
      <c r="W37" s="1501">
        <f t="shared" si="14"/>
        <v>100</v>
      </c>
      <c r="X37" s="1502"/>
      <c r="Y37" s="3664"/>
      <c r="Z37" s="1130" t="str">
        <f t="shared" si="15"/>
        <v>成新度</v>
      </c>
      <c r="AA37" s="1503">
        <f t="shared" si="3"/>
        <v>1</v>
      </c>
      <c r="AB37" s="1503">
        <f t="shared" si="4"/>
        <v>1</v>
      </c>
      <c r="AC37" s="1503">
        <f t="shared" si="5"/>
        <v>1</v>
      </c>
    </row>
    <row r="38" spans="1:29" ht="15">
      <c r="A38" s="587"/>
      <c r="B38" s="520" t="s">
        <v>724</v>
      </c>
      <c r="C38" s="592" t="s">
        <v>3296</v>
      </c>
      <c r="D38" s="533">
        <v>100</v>
      </c>
      <c r="E38" s="592" t="s">
        <v>3358</v>
      </c>
      <c r="F38" s="568">
        <f>SUMIF(114:114,E38,115:115)-SUMIF(114:114,C38,115:115)+100</f>
        <v>98</v>
      </c>
      <c r="G38" s="592" t="s">
        <v>3296</v>
      </c>
      <c r="H38" s="533">
        <f>SUMIF(114:114,G38,115:115)-SUMIF(114:114,C38,115:115)+100</f>
        <v>100</v>
      </c>
      <c r="I38" s="592" t="s">
        <v>3296</v>
      </c>
      <c r="J38" s="533">
        <f>SUMIF(114:114,I38,115:115)-SUMIF(114:114,C38,115:115)+100</f>
        <v>100</v>
      </c>
      <c r="K38" s="852">
        <v>2</v>
      </c>
      <c r="L38" s="2021"/>
      <c r="M38" s="2013"/>
      <c r="N38" s="2013"/>
      <c r="O38" s="2020"/>
      <c r="P38" s="3664" t="s">
        <v>544</v>
      </c>
      <c r="Q38" s="1504" t="str">
        <f t="shared" si="11"/>
        <v>物业管理</v>
      </c>
      <c r="R38" s="1505" t="s">
        <v>11</v>
      </c>
      <c r="S38" s="1506">
        <f t="shared" si="12"/>
        <v>98</v>
      </c>
      <c r="T38" s="1505" t="s">
        <v>11</v>
      </c>
      <c r="U38" s="1506">
        <f t="shared" si="13"/>
        <v>100</v>
      </c>
      <c r="V38" s="1505" t="s">
        <v>11</v>
      </c>
      <c r="W38" s="1506">
        <f t="shared" si="14"/>
        <v>100</v>
      </c>
      <c r="X38" s="1499"/>
      <c r="Y38" s="3664" t="s">
        <v>544</v>
      </c>
      <c r="Z38" s="1507" t="str">
        <f t="shared" si="15"/>
        <v>物业管理</v>
      </c>
      <c r="AA38" s="1508">
        <f t="shared" si="3"/>
        <v>1.0204081632653061</v>
      </c>
      <c r="AB38" s="1508">
        <f t="shared" si="4"/>
        <v>1</v>
      </c>
      <c r="AC38" s="1508">
        <f t="shared" si="5"/>
        <v>1</v>
      </c>
    </row>
    <row r="39" spans="1:29" ht="15">
      <c r="A39" s="587"/>
      <c r="B39" s="1806" t="s">
        <v>2543</v>
      </c>
      <c r="C39" s="592" t="s">
        <v>3236</v>
      </c>
      <c r="D39" s="533">
        <v>100</v>
      </c>
      <c r="E39" s="592" t="s">
        <v>3236</v>
      </c>
      <c r="F39" s="568">
        <f>SUMIF(116:116,E39,117:117)-SUMIF(116:116,C39,117:117)+100</f>
        <v>100</v>
      </c>
      <c r="G39" s="592" t="s">
        <v>3236</v>
      </c>
      <c r="H39" s="533">
        <f>SUMIF(116:116,G39,117:117)-SUMIF(116:116,C39,117:117)+100</f>
        <v>100</v>
      </c>
      <c r="I39" s="592" t="s">
        <v>3236</v>
      </c>
      <c r="J39" s="533">
        <f>SUMIF(116:116,I39,117:117)-SUMIF(116:116,C39,117:117)+100</f>
        <v>100</v>
      </c>
      <c r="K39" s="852">
        <v>2</v>
      </c>
      <c r="L39" s="2021"/>
      <c r="M39" s="2013"/>
      <c r="N39" s="2013"/>
      <c r="O39" s="2020"/>
      <c r="P39" s="3664"/>
      <c r="Q39" s="1504" t="str">
        <f t="shared" si="11"/>
        <v>市政基础设施</v>
      </c>
      <c r="R39" s="1505" t="s">
        <v>11</v>
      </c>
      <c r="S39" s="1506">
        <f t="shared" si="12"/>
        <v>100</v>
      </c>
      <c r="T39" s="1505" t="s">
        <v>11</v>
      </c>
      <c r="U39" s="1506">
        <f t="shared" si="13"/>
        <v>100</v>
      </c>
      <c r="V39" s="1505" t="s">
        <v>11</v>
      </c>
      <c r="W39" s="1506">
        <f t="shared" si="14"/>
        <v>100</v>
      </c>
      <c r="X39" s="1499"/>
      <c r="Y39" s="3664"/>
      <c r="Z39" s="1507" t="str">
        <f t="shared" si="15"/>
        <v>市政基础设施</v>
      </c>
      <c r="AA39" s="1508">
        <f t="shared" si="3"/>
        <v>1</v>
      </c>
      <c r="AB39" s="1508">
        <f t="shared" si="4"/>
        <v>1</v>
      </c>
      <c r="AC39" s="1508">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1"/>
      <c r="M40" s="2013"/>
      <c r="N40" s="2013"/>
      <c r="O40" s="2020"/>
      <c r="P40" s="3664"/>
      <c r="Q40" s="1504" t="str">
        <f t="shared" si="11"/>
        <v>房型</v>
      </c>
      <c r="R40" s="1505" t="s">
        <v>11</v>
      </c>
      <c r="S40" s="1506">
        <f t="shared" si="12"/>
        <v>100</v>
      </c>
      <c r="T40" s="1505" t="s">
        <v>11</v>
      </c>
      <c r="U40" s="1506">
        <f t="shared" si="13"/>
        <v>100</v>
      </c>
      <c r="V40" s="1505" t="s">
        <v>11</v>
      </c>
      <c r="W40" s="1506">
        <f t="shared" si="14"/>
        <v>100</v>
      </c>
      <c r="X40" s="1499"/>
      <c r="Y40" s="3664"/>
      <c r="Z40" s="1507" t="str">
        <f t="shared" si="15"/>
        <v>房型</v>
      </c>
      <c r="AA40" s="1508">
        <f t="shared" si="3"/>
        <v>1</v>
      </c>
      <c r="AB40" s="1508">
        <f t="shared" si="4"/>
        <v>1</v>
      </c>
      <c r="AC40" s="1508">
        <f t="shared" si="5"/>
        <v>1</v>
      </c>
    </row>
    <row r="41" spans="1:29" s="1290"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19"/>
      <c r="M41" s="2049"/>
      <c r="N41" s="2049"/>
      <c r="O41" s="2022"/>
      <c r="P41" s="3664"/>
      <c r="Q41" s="1533" t="str">
        <f t="shared" si="11"/>
        <v>单套/主力户型建筑面积</v>
      </c>
      <c r="R41" s="1509" t="s">
        <v>11</v>
      </c>
      <c r="S41" s="1510">
        <f t="shared" si="12"/>
        <v>100</v>
      </c>
      <c r="T41" s="1509" t="s">
        <v>11</v>
      </c>
      <c r="U41" s="1510">
        <f t="shared" si="13"/>
        <v>100</v>
      </c>
      <c r="V41" s="1509" t="s">
        <v>11</v>
      </c>
      <c r="W41" s="1510">
        <f t="shared" si="14"/>
        <v>100</v>
      </c>
      <c r="X41" s="1511"/>
      <c r="Y41" s="3664"/>
      <c r="Z41" s="1512" t="str">
        <f t="shared" si="15"/>
        <v>单套/主力户型建筑面积</v>
      </c>
      <c r="AA41" s="1508">
        <f t="shared" si="3"/>
        <v>1</v>
      </c>
      <c r="AB41" s="1508">
        <f t="shared" si="4"/>
        <v>1</v>
      </c>
      <c r="AC41" s="1508">
        <f t="shared" si="5"/>
        <v>1</v>
      </c>
    </row>
    <row r="42" spans="1:29" ht="15">
      <c r="A42" s="587"/>
      <c r="B42" s="520" t="s">
        <v>727</v>
      </c>
      <c r="C42" s="592" t="s">
        <v>3300</v>
      </c>
      <c r="D42" s="533">
        <v>100</v>
      </c>
      <c r="E42" s="592" t="s">
        <v>3357</v>
      </c>
      <c r="F42" s="568">
        <f>SUMIF(122:122,E42,123:123)-SUMIF(122:122,C42,123:123)+100</f>
        <v>88</v>
      </c>
      <c r="G42" s="592" t="s">
        <v>3300</v>
      </c>
      <c r="H42" s="533">
        <f>SUMIF(122:122,G42,123:123)-SUMIF(122:122,C42,123:123)+100</f>
        <v>100</v>
      </c>
      <c r="I42" s="592" t="s">
        <v>3300</v>
      </c>
      <c r="J42" s="533">
        <f>SUMIF(122:122,I42,123:123)-SUMIF(122:122,C42,123:123)+100</f>
        <v>100</v>
      </c>
      <c r="K42" s="852">
        <v>4</v>
      </c>
      <c r="L42" s="2021"/>
      <c r="M42" s="2013"/>
      <c r="N42" s="2013"/>
      <c r="O42" s="2020"/>
      <c r="P42" s="3664"/>
      <c r="Q42" s="1504" t="str">
        <f t="shared" si="11"/>
        <v>内部装修</v>
      </c>
      <c r="R42" s="1505" t="s">
        <v>11</v>
      </c>
      <c r="S42" s="1506">
        <f t="shared" si="12"/>
        <v>88</v>
      </c>
      <c r="T42" s="1505" t="s">
        <v>11</v>
      </c>
      <c r="U42" s="1506">
        <f t="shared" si="13"/>
        <v>100</v>
      </c>
      <c r="V42" s="1505" t="s">
        <v>11</v>
      </c>
      <c r="W42" s="1506">
        <f t="shared" si="14"/>
        <v>100</v>
      </c>
      <c r="X42" s="1499"/>
      <c r="Y42" s="3664"/>
      <c r="Z42" s="1507" t="str">
        <f t="shared" si="15"/>
        <v>内部装修</v>
      </c>
      <c r="AA42" s="1508">
        <f t="shared" si="3"/>
        <v>1.1363636363636365</v>
      </c>
      <c r="AB42" s="1508">
        <f t="shared" si="4"/>
        <v>1</v>
      </c>
      <c r="AC42" s="1508">
        <f t="shared" si="5"/>
        <v>1</v>
      </c>
    </row>
    <row r="43" spans="1:29" ht="27" hidden="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1"/>
      <c r="M43" s="2013"/>
      <c r="N43" s="2013"/>
      <c r="O43" s="2020"/>
      <c r="P43" s="3664"/>
      <c r="Q43" s="1504" t="str">
        <f t="shared" si="11"/>
        <v>内部装修维护情况</v>
      </c>
      <c r="R43" s="1505" t="s">
        <v>11</v>
      </c>
      <c r="S43" s="1506">
        <f t="shared" si="12"/>
        <v>100</v>
      </c>
      <c r="T43" s="1505" t="s">
        <v>11</v>
      </c>
      <c r="U43" s="1506">
        <f t="shared" si="13"/>
        <v>100</v>
      </c>
      <c r="V43" s="1505" t="s">
        <v>11</v>
      </c>
      <c r="W43" s="1506">
        <f t="shared" si="14"/>
        <v>100</v>
      </c>
      <c r="X43" s="1499"/>
      <c r="Y43" s="3664"/>
      <c r="Z43" s="1507" t="str">
        <f t="shared" si="15"/>
        <v>内部装修维护情况</v>
      </c>
      <c r="AA43" s="1508">
        <f t="shared" si="3"/>
        <v>1</v>
      </c>
      <c r="AB43" s="1508">
        <f t="shared" si="4"/>
        <v>1</v>
      </c>
      <c r="AC43" s="1508">
        <f t="shared" si="5"/>
        <v>1</v>
      </c>
    </row>
    <row r="44" spans="1:29" s="1200" customFormat="1" ht="15.75" thickBot="1">
      <c r="A44" s="593"/>
      <c r="B44" s="3345" t="s">
        <v>3305</v>
      </c>
      <c r="C44" s="3346" t="s">
        <v>3307</v>
      </c>
      <c r="D44" s="252">
        <v>100</v>
      </c>
      <c r="E44" s="3346" t="s">
        <v>3306</v>
      </c>
      <c r="F44" s="851">
        <f>SUMIF(126:126,E44,127:127)-SUMIF(126:126,C44,127:127)+100</f>
        <v>103</v>
      </c>
      <c r="G44" s="3346" t="s">
        <v>3307</v>
      </c>
      <c r="H44" s="252">
        <f>SUMIF(126:126,G44,127:127)-SUMIF(126:126,C44,127:127)+100</f>
        <v>100</v>
      </c>
      <c r="I44" s="3346" t="s">
        <v>3307</v>
      </c>
      <c r="J44" s="252">
        <f>SUMIF(126:126,I44,127:127)-SUMIF(126:126,C44,127:127)+100</f>
        <v>100</v>
      </c>
      <c r="K44" s="853"/>
      <c r="L44" s="2014"/>
      <c r="M44" s="2015"/>
      <c r="N44" s="2015"/>
      <c r="O44" s="2016"/>
      <c r="P44" s="3664"/>
      <c r="Q44" s="1131" t="str">
        <f t="shared" si="11"/>
        <v>房屋状态</v>
      </c>
      <c r="R44" s="1500" t="s">
        <v>11</v>
      </c>
      <c r="S44" s="1501">
        <f t="shared" si="12"/>
        <v>103</v>
      </c>
      <c r="T44" s="1500" t="s">
        <v>11</v>
      </c>
      <c r="U44" s="1501">
        <f t="shared" si="13"/>
        <v>100</v>
      </c>
      <c r="V44" s="1500" t="s">
        <v>11</v>
      </c>
      <c r="W44" s="1501">
        <f t="shared" si="14"/>
        <v>100</v>
      </c>
      <c r="X44" s="1502"/>
      <c r="Y44" s="3664"/>
      <c r="Z44" s="1130" t="str">
        <f t="shared" si="15"/>
        <v>房屋状态</v>
      </c>
      <c r="AA44" s="1503">
        <f t="shared" si="3"/>
        <v>0.970873786407767</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664"/>
      <c r="Q45" s="1504">
        <f t="shared" si="11"/>
        <v>111</v>
      </c>
      <c r="R45" s="1505" t="s">
        <v>11</v>
      </c>
      <c r="S45" s="1506">
        <f t="shared" si="12"/>
        <v>100</v>
      </c>
      <c r="T45" s="1505" t="s">
        <v>11</v>
      </c>
      <c r="U45" s="1506">
        <f t="shared" si="13"/>
        <v>100</v>
      </c>
      <c r="V45" s="1505" t="s">
        <v>11</v>
      </c>
      <c r="W45" s="1506">
        <f t="shared" si="14"/>
        <v>100</v>
      </c>
      <c r="X45" s="1499"/>
      <c r="Y45" s="3664"/>
      <c r="Z45" s="1507">
        <f t="shared" si="15"/>
        <v>111</v>
      </c>
      <c r="AA45" s="1508">
        <f t="shared" si="3"/>
        <v>1</v>
      </c>
      <c r="AB45" s="1508">
        <f t="shared" si="4"/>
        <v>1</v>
      </c>
      <c r="AC45" s="1508">
        <f t="shared" si="5"/>
        <v>1</v>
      </c>
    </row>
    <row r="46" spans="1:29" ht="15.75" hidden="1" thickBot="1">
      <c r="A46" s="872"/>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667"/>
      <c r="Q46" s="1504">
        <f t="shared" si="11"/>
        <v>111</v>
      </c>
      <c r="R46" s="1505" t="s">
        <v>10</v>
      </c>
      <c r="S46" s="1506">
        <f t="shared" si="12"/>
        <v>100</v>
      </c>
      <c r="T46" s="1505" t="s">
        <v>10</v>
      </c>
      <c r="U46" s="1506">
        <f t="shared" si="13"/>
        <v>100</v>
      </c>
      <c r="V46" s="1505" t="s">
        <v>10</v>
      </c>
      <c r="W46" s="1506">
        <f t="shared" si="14"/>
        <v>100</v>
      </c>
      <c r="X46" s="1499"/>
      <c r="Y46" s="3667"/>
      <c r="Z46" s="1507">
        <f t="shared" si="15"/>
        <v>111</v>
      </c>
      <c r="AA46" s="1508">
        <f t="shared" si="3"/>
        <v>1</v>
      </c>
      <c r="AB46" s="1508">
        <f t="shared" si="4"/>
        <v>1</v>
      </c>
      <c r="AC46" s="1508">
        <f t="shared" si="5"/>
        <v>1</v>
      </c>
    </row>
    <row r="47" spans="1:29" ht="15">
      <c r="A47" s="600" t="s">
        <v>729</v>
      </c>
      <c r="B47" s="873"/>
      <c r="C47" s="2467" t="s">
        <v>9</v>
      </c>
      <c r="D47" s="2468"/>
      <c r="E47" s="2469">
        <f>住宅及车库案例!D2</f>
        <v>36898</v>
      </c>
      <c r="F47" s="2470"/>
      <c r="G47" s="2471">
        <f>住宅及车库案例!D7</f>
        <v>52108</v>
      </c>
      <c r="H47" s="2472"/>
      <c r="I47" s="2469">
        <f>住宅及车库案例!D4</f>
        <v>50240</v>
      </c>
      <c r="J47" s="2472"/>
      <c r="K47" s="1534"/>
      <c r="L47" s="2023"/>
      <c r="M47" s="2024"/>
      <c r="N47" s="2013"/>
      <c r="O47" s="2024"/>
      <c r="P47" s="3627" t="str">
        <f>A47</f>
        <v>成交单价（元/平方米）</v>
      </c>
      <c r="Q47" s="3627"/>
      <c r="R47" s="3666">
        <f>E47</f>
        <v>36898</v>
      </c>
      <c r="S47" s="3666"/>
      <c r="T47" s="3666">
        <f>G47</f>
        <v>52108</v>
      </c>
      <c r="U47" s="3666"/>
      <c r="V47" s="3666">
        <f>I47</f>
        <v>50240</v>
      </c>
      <c r="W47" s="3666"/>
      <c r="X47" s="1494"/>
      <c r="Y47" s="1513"/>
      <c r="Z47" s="1494"/>
      <c r="AA47" s="1494"/>
      <c r="AB47" s="1494"/>
      <c r="AC47" s="1494"/>
    </row>
    <row r="48" spans="1:29" ht="15.75" thickBot="1">
      <c r="A48" s="608" t="s">
        <v>2737</v>
      </c>
      <c r="B48" s="874"/>
      <c r="C48" s="2473">
        <f>R49</f>
        <v>44068</v>
      </c>
      <c r="D48" s="3009" t="s">
        <v>2949</v>
      </c>
      <c r="E48" s="2474">
        <f>R48</f>
        <v>39941</v>
      </c>
      <c r="F48" s="3010"/>
      <c r="G48" s="2473">
        <f>T48</f>
        <v>47200</v>
      </c>
      <c r="H48" s="3010"/>
      <c r="I48" s="2474">
        <f>V48</f>
        <v>45062</v>
      </c>
      <c r="J48" s="3010"/>
      <c r="K48" s="3018">
        <f>F48+H48+J48</f>
        <v>0</v>
      </c>
      <c r="L48" s="2023"/>
      <c r="M48" s="2024"/>
      <c r="N48" s="2024"/>
      <c r="O48" s="2024"/>
      <c r="P48" s="3627" t="str">
        <f>A48</f>
        <v>比较价格（元/平方米）</v>
      </c>
      <c r="Q48" s="3627"/>
      <c r="R48" s="3666">
        <f>IF(F1="售价",ROUND(PRODUCT(R47,AA7:AA46),0),ROUND(PRODUCT(R47,AA7:AA46),1))</f>
        <v>39941</v>
      </c>
      <c r="S48" s="3666"/>
      <c r="T48" s="3666">
        <f>IF(F1="售价",ROUND(PRODUCT(T47,AB7:AB46),0),ROUND(PRODUCT(T47,AB7:AB46),1))</f>
        <v>47200</v>
      </c>
      <c r="U48" s="3666"/>
      <c r="V48" s="3666">
        <f>IF(F1="售价",ROUND(PRODUCT(V47,AC7:AC46),0),ROUND(PRODUCT(V47,AC7:AC46),1))</f>
        <v>45062</v>
      </c>
      <c r="W48" s="3666"/>
      <c r="X48" s="1494"/>
      <c r="Y48" s="1494"/>
      <c r="Z48" s="1494"/>
      <c r="AA48" s="1494"/>
      <c r="AB48" s="1494"/>
      <c r="AC48" s="1494"/>
    </row>
    <row r="49" spans="1:29" ht="15.75" thickBot="1">
      <c r="A49" s="612" t="s">
        <v>2881</v>
      </c>
      <c r="B49" s="613"/>
      <c r="C49" s="2475">
        <f>R49</f>
        <v>44068</v>
      </c>
      <c r="D49" s="2475"/>
      <c r="E49" s="2475"/>
      <c r="F49" s="2475"/>
      <c r="G49" s="2475"/>
      <c r="H49" s="2475"/>
      <c r="I49" s="2475"/>
      <c r="J49" s="2475"/>
      <c r="K49" s="1535"/>
      <c r="L49" s="2023"/>
      <c r="M49" s="2024"/>
      <c r="N49" s="2024"/>
      <c r="O49" s="2024"/>
      <c r="P49" s="3624" t="str">
        <f>A49</f>
        <v>估价对象XX用房的比较价格（楼面单价，元/平方米）</v>
      </c>
      <c r="Q49" s="3625"/>
      <c r="R49" s="3665">
        <f>IF(F1="售价",ROUND(IF(D48="简单平均",AVERAGE(R48:V48),R48*F48+T48*H48+V48*J48),0),ROUND(IF(D48="简单平均",AVERAGE(R48:V48),R48*F48+T48*H48+V48*J48),1))</f>
        <v>44068</v>
      </c>
      <c r="S49" s="3665"/>
      <c r="T49" s="3665"/>
      <c r="U49" s="3665"/>
      <c r="V49" s="3665"/>
      <c r="W49" s="3665"/>
      <c r="X49" s="1494"/>
      <c r="Y49" s="1494"/>
      <c r="Z49" s="1494"/>
      <c r="AA49" s="1494"/>
      <c r="AB49" s="1494"/>
      <c r="AC49" s="1494"/>
    </row>
    <row r="50" spans="1:29">
      <c r="A50" s="3207"/>
      <c r="B50" s="3207"/>
      <c r="C50" s="3207"/>
      <c r="D50" s="3207"/>
      <c r="E50" s="3207">
        <f>E47*0.12</f>
        <v>4427.76</v>
      </c>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v>2015</v>
      </c>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f>IF(E47&lt;E48,E48/E47-1,E47/E48-1)</f>
        <v>8.2470594612174208E-2</v>
      </c>
      <c r="F52" s="618" t="str">
        <f>IF(OR(E52&gt;=0.3,E52&lt;=-0.3),"超过30%","")</f>
        <v/>
      </c>
      <c r="G52" s="617">
        <f>IF(G47&lt;G48,G48/G47-1,G47/G48-1)</f>
        <v>0.10398305084745774</v>
      </c>
      <c r="H52" s="618" t="str">
        <f>IF(OR(G52&gt;=0.3,G52&lt;=-0.3),"超过30%","")</f>
        <v/>
      </c>
      <c r="I52" s="617">
        <f>IF(I47&lt;I48,I48/I47-1,I47/I48-1)</f>
        <v>0.11490834849762543</v>
      </c>
      <c r="J52" s="618" t="str">
        <f>IF(OR(I52&gt;=0.3,I52&lt;=-0.3),"超过30%","")</f>
        <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f>IF(E48&lt;G48,G48/E48-1,E48/G48-1)</f>
        <v>0.18174307102976894</v>
      </c>
      <c r="F53" s="618" t="str">
        <f>IF(OR(E53&gt;=0.2,E53&lt;=-0.2),"超过20%","")</f>
        <v/>
      </c>
      <c r="G53" s="617">
        <f>IF(G48&lt;I48,I48/G48-1,G48/I48-1)</f>
        <v>4.7445741422928345E-2</v>
      </c>
      <c r="H53" s="618" t="str">
        <f>IF(OR(G53&gt;=0.2,G53&lt;=-0.2),"超过20%","")</f>
        <v/>
      </c>
      <c r="I53" s="617">
        <f>IF(I48&lt;E48,E48/I48-1,I48/E48-1)</f>
        <v>0.12821411582083564</v>
      </c>
      <c r="J53" s="618" t="str">
        <f>IF(OR(I53&gt;=0.2,I53&lt;=-0.2),"超过20%","")</f>
        <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f>IF(E47&lt;G47,G47/E47-1,E47/G47-1)</f>
        <v>0.41221746436121198</v>
      </c>
      <c r="F54" s="618" t="str">
        <f>IF(OR(E54&gt;=0.3,E54&lt;=-0.3),"超过30%","")</f>
        <v>超过30%</v>
      </c>
      <c r="G54" s="617">
        <f>IF(G47&lt;I47,I47/G47-1,G47/I47-1)</f>
        <v>3.7181528662420416E-2</v>
      </c>
      <c r="H54" s="618" t="str">
        <f>IF(OR(G54&gt;=0.3,G54&lt;=-0.3),"超过30%","")</f>
        <v/>
      </c>
      <c r="I54" s="617">
        <f>IF(I47&lt;E47,E47/I47-1,I47/E47-1)</f>
        <v>0.3615914141687897</v>
      </c>
      <c r="J54" s="618" t="str">
        <f>IF(OR(I54&gt;=0.3,I54&lt;=-0.3),"超过30%","")</f>
        <v>超过30%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8"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f>C59</f>
        <v>100</v>
      </c>
      <c r="E59" s="641">
        <f t="shared" ref="E59:M59" si="17">D59</f>
        <v>100</v>
      </c>
      <c r="F59" s="641">
        <f t="shared" si="17"/>
        <v>100</v>
      </c>
      <c r="G59" s="641">
        <f t="shared" si="17"/>
        <v>100</v>
      </c>
      <c r="H59" s="641">
        <f t="shared" si="17"/>
        <v>100</v>
      </c>
      <c r="I59" s="641">
        <f t="shared" si="17"/>
        <v>100</v>
      </c>
      <c r="J59" s="641">
        <f t="shared" si="17"/>
        <v>100</v>
      </c>
      <c r="K59" s="641">
        <f t="shared" si="17"/>
        <v>100</v>
      </c>
      <c r="L59" s="641">
        <f t="shared" si="17"/>
        <v>100</v>
      </c>
      <c r="M59" s="641">
        <f t="shared" si="17"/>
        <v>100</v>
      </c>
      <c r="N59" s="641"/>
      <c r="O59" s="641"/>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8">C66-$K10</f>
        <v>99</v>
      </c>
      <c r="E66" s="670">
        <f t="shared" si="18"/>
        <v>98</v>
      </c>
      <c r="F66" s="670">
        <f t="shared" si="18"/>
        <v>97</v>
      </c>
      <c r="G66" s="670">
        <f t="shared" si="18"/>
        <v>96</v>
      </c>
      <c r="H66" s="670">
        <f t="shared" si="18"/>
        <v>95</v>
      </c>
      <c r="I66" s="670">
        <f t="shared" si="18"/>
        <v>94</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1（含）-1.5</v>
      </c>
      <c r="D67" s="673" t="str">
        <f t="shared" ref="D67:L67" si="19">D68&amp;"（含）"&amp;"-"&amp;E68</f>
        <v>1.5（含）-2</v>
      </c>
      <c r="E67" s="673" t="str">
        <f t="shared" si="19"/>
        <v>2（含）-2.5</v>
      </c>
      <c r="F67" s="673" t="str">
        <f t="shared" si="19"/>
        <v>2.5（含）-3</v>
      </c>
      <c r="G67" s="673" t="str">
        <f t="shared" si="19"/>
        <v>3（含）-</v>
      </c>
      <c r="H67" s="673" t="str">
        <f t="shared" si="19"/>
        <v>（含）-</v>
      </c>
      <c r="I67" s="673" t="str">
        <f t="shared" si="19"/>
        <v>（含）-</v>
      </c>
      <c r="J67" s="673" t="str">
        <f t="shared" si="19"/>
        <v>（含）-</v>
      </c>
      <c r="K67" s="673" t="str">
        <f t="shared" si="19"/>
        <v>（含）-</v>
      </c>
      <c r="L67" s="673" t="str">
        <f t="shared" si="19"/>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1.5</v>
      </c>
      <c r="E68" s="534">
        <v>2</v>
      </c>
      <c r="F68" s="534">
        <v>2.5</v>
      </c>
      <c r="G68" s="534">
        <v>3</v>
      </c>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20">C69-$K11</f>
        <v>97</v>
      </c>
      <c r="E69" s="670">
        <f t="shared" si="20"/>
        <v>94</v>
      </c>
      <c r="F69" s="670">
        <f t="shared" si="20"/>
        <v>91</v>
      </c>
      <c r="G69" s="670">
        <f t="shared" si="20"/>
        <v>88</v>
      </c>
      <c r="H69" s="670">
        <f t="shared" si="20"/>
        <v>85</v>
      </c>
      <c r="I69" s="670">
        <f t="shared" si="20"/>
        <v>82</v>
      </c>
      <c r="J69" s="670">
        <f t="shared" si="20"/>
        <v>79</v>
      </c>
      <c r="K69" s="670">
        <f t="shared" si="20"/>
        <v>76</v>
      </c>
      <c r="L69" s="670">
        <f t="shared" si="20"/>
        <v>73</v>
      </c>
      <c r="M69" s="671">
        <f t="shared" si="20"/>
        <v>70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98</v>
      </c>
      <c r="E83" s="670">
        <f>D83-$K21</f>
        <v>96</v>
      </c>
      <c r="F83" s="670">
        <f>E83-$K21</f>
        <v>94</v>
      </c>
      <c r="G83" s="670">
        <f>F83-$K21</f>
        <v>92</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1807" t="s">
        <v>2244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$C$87-($C$86-D86)*$K$25</f>
        <v>100</v>
      </c>
      <c r="E87" s="670">
        <f t="shared" ref="E87:M87" si="21">$C$87-($C$86-E86)*$K$25</f>
        <v>100</v>
      </c>
      <c r="F87" s="670">
        <f t="shared" si="21"/>
        <v>100</v>
      </c>
      <c r="G87" s="670">
        <f t="shared" si="21"/>
        <v>100</v>
      </c>
      <c r="H87" s="670">
        <f t="shared" si="21"/>
        <v>100</v>
      </c>
      <c r="I87" s="670">
        <f t="shared" si="21"/>
        <v>100</v>
      </c>
      <c r="J87" s="670">
        <f t="shared" si="21"/>
        <v>100</v>
      </c>
      <c r="K87" s="670">
        <f t="shared" si="21"/>
        <v>100</v>
      </c>
      <c r="L87" s="670">
        <f t="shared" si="21"/>
        <v>100</v>
      </c>
      <c r="M87" s="670">
        <f t="shared" si="21"/>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
        <v>739</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703">
        <v>100</v>
      </c>
      <c r="D89" s="670">
        <f t="shared" ref="D89:M89" si="22">C89-$K26</f>
        <v>100</v>
      </c>
      <c r="E89" s="670">
        <f t="shared" si="22"/>
        <v>100</v>
      </c>
      <c r="F89" s="670">
        <f t="shared" si="22"/>
        <v>100</v>
      </c>
      <c r="G89" s="670">
        <f t="shared" si="22"/>
        <v>100</v>
      </c>
      <c r="H89" s="670">
        <f t="shared" si="22"/>
        <v>100</v>
      </c>
      <c r="I89" s="670">
        <f t="shared" si="22"/>
        <v>100</v>
      </c>
      <c r="J89" s="670">
        <f t="shared" si="22"/>
        <v>100</v>
      </c>
      <c r="K89" s="670">
        <f t="shared" si="22"/>
        <v>100</v>
      </c>
      <c r="L89" s="670">
        <f t="shared" si="22"/>
        <v>100</v>
      </c>
      <c r="M89" s="670">
        <f t="shared" si="22"/>
        <v>100</v>
      </c>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f>B27</f>
        <v>0</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740</v>
      </c>
      <c r="C100" s="3341" t="s">
        <v>3284</v>
      </c>
      <c r="D100" s="3341" t="s">
        <v>3285</v>
      </c>
      <c r="E100" s="3341" t="s">
        <v>3286</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3">C101-$K32</f>
        <v>90</v>
      </c>
      <c r="E101" s="670">
        <f t="shared" si="23"/>
        <v>80</v>
      </c>
      <c r="F101" s="670">
        <f t="shared" si="23"/>
        <v>70</v>
      </c>
      <c r="G101" s="670">
        <f t="shared" si="23"/>
        <v>60</v>
      </c>
      <c r="H101" s="670">
        <f t="shared" si="23"/>
        <v>50</v>
      </c>
      <c r="I101" s="670">
        <f t="shared" si="23"/>
        <v>40</v>
      </c>
      <c r="J101" s="670">
        <f t="shared" si="23"/>
        <v>30</v>
      </c>
      <c r="K101" s="670">
        <f t="shared" si="23"/>
        <v>20</v>
      </c>
      <c r="L101" s="670">
        <f t="shared" si="23"/>
        <v>10</v>
      </c>
      <c r="M101" s="670">
        <f t="shared" si="23"/>
        <v>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741</v>
      </c>
      <c r="C102" s="699" t="str">
        <f>C103&amp;"(含)"&amp;"-"&amp;D103</f>
        <v>0(含)-50000</v>
      </c>
      <c r="D102" s="699" t="str">
        <f t="shared" ref="D102:L102" si="24">D103&amp;"(含)"&amp;"-"&amp;E103</f>
        <v>50000(含)-100000</v>
      </c>
      <c r="E102" s="699" t="str">
        <f t="shared" si="24"/>
        <v>100000(含)-150000</v>
      </c>
      <c r="F102" s="699" t="str">
        <f t="shared" si="24"/>
        <v>150000(含)-200000</v>
      </c>
      <c r="G102" s="699" t="str">
        <f t="shared" si="24"/>
        <v>200000(含)-</v>
      </c>
      <c r="H102" s="699" t="str">
        <f t="shared" si="24"/>
        <v>(含)-</v>
      </c>
      <c r="I102" s="699" t="str">
        <f t="shared" si="24"/>
        <v>(含)-</v>
      </c>
      <c r="J102" s="699" t="str">
        <f t="shared" si="24"/>
        <v>(含)-</v>
      </c>
      <c r="K102" s="699" t="str">
        <f t="shared" si="24"/>
        <v>(含)-</v>
      </c>
      <c r="L102" s="699" t="str">
        <f t="shared" si="24"/>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v>0</v>
      </c>
      <c r="D103" s="721">
        <v>50000</v>
      </c>
      <c r="E103" s="721">
        <v>100000</v>
      </c>
      <c r="F103" s="721">
        <v>150000</v>
      </c>
      <c r="G103" s="721">
        <v>200000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v>100</v>
      </c>
      <c r="D104" s="662">
        <v>101</v>
      </c>
      <c r="E104" s="662">
        <v>102</v>
      </c>
      <c r="F104" s="662">
        <v>103</v>
      </c>
      <c r="G104" s="662">
        <v>104</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3330" t="s">
        <v>3287</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5">C106-$K34</f>
        <v>97</v>
      </c>
      <c r="E106" s="670">
        <f t="shared" si="25"/>
        <v>94</v>
      </c>
      <c r="F106" s="670">
        <f t="shared" si="25"/>
        <v>91</v>
      </c>
      <c r="G106" s="670">
        <f t="shared" si="25"/>
        <v>88</v>
      </c>
      <c r="H106" s="670">
        <f t="shared" si="25"/>
        <v>85</v>
      </c>
      <c r="I106" s="670">
        <f t="shared" si="25"/>
        <v>82</v>
      </c>
      <c r="J106" s="670">
        <f t="shared" si="25"/>
        <v>79</v>
      </c>
      <c r="K106" s="670">
        <f t="shared" si="25"/>
        <v>76</v>
      </c>
      <c r="L106" s="670">
        <f t="shared" si="25"/>
        <v>73</v>
      </c>
      <c r="M106" s="670">
        <f t="shared" si="25"/>
        <v>70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743</v>
      </c>
      <c r="C107" s="3329" t="s">
        <v>3289</v>
      </c>
      <c r="D107" s="3329" t="s">
        <v>3290</v>
      </c>
      <c r="E107" s="3329" t="s">
        <v>3291</v>
      </c>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6">C108-$K35</f>
        <v>97</v>
      </c>
      <c r="E108" s="670">
        <f t="shared" si="26"/>
        <v>94</v>
      </c>
      <c r="F108" s="670">
        <f t="shared" si="26"/>
        <v>91</v>
      </c>
      <c r="G108" s="670">
        <f t="shared" si="26"/>
        <v>88</v>
      </c>
      <c r="H108" s="670">
        <f t="shared" si="26"/>
        <v>85</v>
      </c>
      <c r="I108" s="670">
        <f t="shared" si="26"/>
        <v>82</v>
      </c>
      <c r="J108" s="670">
        <f t="shared" si="26"/>
        <v>79</v>
      </c>
      <c r="K108" s="670">
        <f t="shared" si="26"/>
        <v>76</v>
      </c>
      <c r="L108" s="670">
        <f t="shared" si="26"/>
        <v>73</v>
      </c>
      <c r="M108" s="670">
        <f t="shared" si="26"/>
        <v>70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744</v>
      </c>
      <c r="C109" s="3330" t="s">
        <v>3292</v>
      </c>
      <c r="D109" s="3330" t="s">
        <v>3293</v>
      </c>
      <c r="E109" s="3329" t="s">
        <v>3294</v>
      </c>
      <c r="F109" s="3329" t="s">
        <v>3295</v>
      </c>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7">C110-$K36</f>
        <v>97</v>
      </c>
      <c r="E110" s="670">
        <f t="shared" si="27"/>
        <v>94</v>
      </c>
      <c r="F110" s="670">
        <f t="shared" si="27"/>
        <v>91</v>
      </c>
      <c r="G110" s="670">
        <f t="shared" si="27"/>
        <v>88</v>
      </c>
      <c r="H110" s="670">
        <f t="shared" si="27"/>
        <v>85</v>
      </c>
      <c r="I110" s="670">
        <f t="shared" si="27"/>
        <v>82</v>
      </c>
      <c r="J110" s="670">
        <f t="shared" si="27"/>
        <v>79</v>
      </c>
      <c r="K110" s="670">
        <f t="shared" si="27"/>
        <v>76</v>
      </c>
      <c r="L110" s="670">
        <f t="shared" si="27"/>
        <v>73</v>
      </c>
      <c r="M110" s="670">
        <f t="shared" si="27"/>
        <v>70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9"/>
      <c r="B112" s="672"/>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746</v>
      </c>
      <c r="C114" s="3330" t="s">
        <v>3297</v>
      </c>
      <c r="D114" s="3330" t="s">
        <v>3339</v>
      </c>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8">C115-$K38</f>
        <v>98</v>
      </c>
      <c r="E115" s="670">
        <f t="shared" si="28"/>
        <v>96</v>
      </c>
      <c r="F115" s="670">
        <f t="shared" si="28"/>
        <v>94</v>
      </c>
      <c r="G115" s="670">
        <f t="shared" si="28"/>
        <v>92</v>
      </c>
      <c r="H115" s="670">
        <f t="shared" si="28"/>
        <v>90</v>
      </c>
      <c r="I115" s="670">
        <f t="shared" si="28"/>
        <v>88</v>
      </c>
      <c r="J115" s="670">
        <f t="shared" si="28"/>
        <v>86</v>
      </c>
      <c r="K115" s="670">
        <f t="shared" si="28"/>
        <v>84</v>
      </c>
      <c r="L115" s="670">
        <f t="shared" si="28"/>
        <v>82</v>
      </c>
      <c r="M115" s="670">
        <f t="shared" si="28"/>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2535</v>
      </c>
      <c r="C116" s="3330" t="s">
        <v>3298</v>
      </c>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747</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9">C119-$K40</f>
        <v>100</v>
      </c>
      <c r="E119" s="670">
        <f t="shared" si="29"/>
        <v>100</v>
      </c>
      <c r="F119" s="670">
        <f t="shared" si="29"/>
        <v>100</v>
      </c>
      <c r="G119" s="670">
        <f t="shared" si="29"/>
        <v>100</v>
      </c>
      <c r="H119" s="670">
        <f t="shared" si="29"/>
        <v>100</v>
      </c>
      <c r="I119" s="670">
        <f t="shared" si="29"/>
        <v>100</v>
      </c>
      <c r="J119" s="670">
        <f t="shared" si="29"/>
        <v>100</v>
      </c>
      <c r="K119" s="670">
        <f t="shared" si="29"/>
        <v>100</v>
      </c>
      <c r="L119" s="670">
        <f t="shared" si="29"/>
        <v>100</v>
      </c>
      <c r="M119" s="670">
        <f t="shared" si="29"/>
        <v>100</v>
      </c>
      <c r="N119" s="2044"/>
      <c r="O119" s="2044"/>
      <c r="P119" s="2043"/>
      <c r="Q119" s="2036"/>
      <c r="R119" s="2024"/>
      <c r="S119" s="2024"/>
      <c r="T119" s="2024"/>
      <c r="U119" s="2024"/>
      <c r="V119" s="2024"/>
      <c r="W119" s="2024"/>
      <c r="X119" s="2024"/>
      <c r="Y119" s="2024"/>
      <c r="Z119" s="2024"/>
      <c r="AA119" s="2024"/>
      <c r="AB119" s="2024"/>
      <c r="AC119" s="2024"/>
    </row>
    <row r="120" spans="1:29" s="1290" customFormat="1" ht="28.5" thickTop="1">
      <c r="A120" s="719"/>
      <c r="B120" s="664" t="s">
        <v>726</v>
      </c>
      <c r="C120" s="679"/>
      <c r="D120" s="679"/>
      <c r="E120" s="679"/>
      <c r="F120" s="679"/>
      <c r="G120" s="679"/>
      <c r="H120" s="679"/>
      <c r="I120" s="679"/>
      <c r="J120" s="679"/>
      <c r="K120" s="679"/>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3330" t="s">
        <v>3292</v>
      </c>
      <c r="D122" s="3330" t="s">
        <v>3299</v>
      </c>
      <c r="E122" s="3329" t="s">
        <v>3294</v>
      </c>
      <c r="F122" s="3329" t="s">
        <v>3295</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30">C123-$K42</f>
        <v>96</v>
      </c>
      <c r="E123" s="670">
        <f t="shared" si="30"/>
        <v>92</v>
      </c>
      <c r="F123" s="670">
        <f t="shared" si="30"/>
        <v>88</v>
      </c>
      <c r="G123" s="670">
        <f t="shared" si="30"/>
        <v>84</v>
      </c>
      <c r="H123" s="670">
        <f t="shared" si="30"/>
        <v>80</v>
      </c>
      <c r="I123" s="670">
        <f t="shared" si="30"/>
        <v>76</v>
      </c>
      <c r="J123" s="670">
        <f t="shared" si="30"/>
        <v>72</v>
      </c>
      <c r="K123" s="670">
        <f t="shared" si="30"/>
        <v>68</v>
      </c>
      <c r="L123" s="670">
        <f t="shared" si="30"/>
        <v>64</v>
      </c>
      <c r="M123" s="670">
        <f t="shared" si="30"/>
        <v>60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t="str">
        <f>B44</f>
        <v>房屋状态</v>
      </c>
      <c r="C126" s="3330" t="s">
        <v>3306</v>
      </c>
      <c r="D126" s="3330" t="s">
        <v>3307</v>
      </c>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v>100</v>
      </c>
      <c r="D127" s="662">
        <v>97</v>
      </c>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D48" xr:uid="{00000000-0002-0000-1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0"/>
  <sheetViews>
    <sheetView topLeftCell="E1" zoomScale="115" zoomScaleNormal="115" workbookViewId="0">
      <selection activeCell="P9" sqref="P9"/>
    </sheetView>
  </sheetViews>
  <sheetFormatPr defaultRowHeight="13.5"/>
  <cols>
    <col min="1" max="1" width="11" bestFit="1" customWidth="1"/>
    <col min="2" max="2" width="11" customWidth="1"/>
    <col min="5" max="6" width="11.375" customWidth="1"/>
    <col min="7" max="7" width="12.75" bestFit="1" customWidth="1"/>
    <col min="8" max="8" width="12.25" customWidth="1"/>
    <col min="16" max="16" width="12.125" customWidth="1"/>
  </cols>
  <sheetData>
    <row r="1" spans="1:16" s="3344" customFormat="1" ht="12">
      <c r="A1" s="3344" t="s">
        <v>3302</v>
      </c>
      <c r="B1" s="3344" t="s">
        <v>3318</v>
      </c>
      <c r="C1" s="3342" t="s">
        <v>3301</v>
      </c>
      <c r="D1" s="3342" t="s">
        <v>3303</v>
      </c>
      <c r="E1" s="3342" t="s">
        <v>3304</v>
      </c>
      <c r="F1" s="3342" t="s">
        <v>3321</v>
      </c>
      <c r="G1" s="3343">
        <v>44470</v>
      </c>
      <c r="H1" s="3343">
        <v>44531</v>
      </c>
      <c r="I1" s="3342" t="s">
        <v>3310</v>
      </c>
      <c r="J1" s="3342" t="s">
        <v>3314</v>
      </c>
      <c r="K1" s="3342" t="s">
        <v>3315</v>
      </c>
      <c r="L1" s="3344" t="s">
        <v>3313</v>
      </c>
      <c r="M1" s="3344" t="s">
        <v>3312</v>
      </c>
      <c r="N1" s="3344" t="s">
        <v>3316</v>
      </c>
      <c r="P1" s="3343">
        <v>44531</v>
      </c>
    </row>
    <row r="2" spans="1:16" s="3348" customFormat="1">
      <c r="A2" s="3347" t="s">
        <v>3337</v>
      </c>
      <c r="B2" s="3347" t="s">
        <v>3319</v>
      </c>
      <c r="C2" s="3347" t="s">
        <v>3308</v>
      </c>
      <c r="D2" s="3348">
        <v>36898</v>
      </c>
      <c r="E2" s="3348">
        <v>35706</v>
      </c>
      <c r="F2" s="3347" t="s">
        <v>3320</v>
      </c>
      <c r="G2" s="3358"/>
      <c r="H2" s="3417">
        <v>36805</v>
      </c>
      <c r="I2" s="3347" t="s">
        <v>3311</v>
      </c>
      <c r="J2" s="3347">
        <f>ROUND(4552/M2*10000,0)</f>
        <v>166740</v>
      </c>
      <c r="K2" s="3347">
        <v>5131</v>
      </c>
      <c r="L2" s="3347">
        <v>8873</v>
      </c>
      <c r="M2" s="3347">
        <v>273</v>
      </c>
      <c r="N2" s="3348">
        <f>ROUND(L2/M2,0)</f>
        <v>33</v>
      </c>
      <c r="P2" s="3348">
        <v>5145</v>
      </c>
    </row>
    <row r="3" spans="1:16">
      <c r="A3" s="3241" t="s">
        <v>3437</v>
      </c>
      <c r="B3" s="3241" t="s">
        <v>3319</v>
      </c>
      <c r="C3" s="3241" t="s">
        <v>3324</v>
      </c>
      <c r="D3">
        <v>44327</v>
      </c>
      <c r="E3">
        <v>44543</v>
      </c>
      <c r="F3" s="3241" t="s">
        <v>3322</v>
      </c>
      <c r="H3" s="3369"/>
      <c r="I3" s="3241" t="s">
        <v>3311</v>
      </c>
      <c r="J3">
        <f>ROUND(306.98/M3*10000,0)</f>
        <v>255817</v>
      </c>
      <c r="K3">
        <v>7187</v>
      </c>
      <c r="L3">
        <v>427</v>
      </c>
      <c r="M3">
        <v>12</v>
      </c>
      <c r="N3">
        <f>ROUND(L3/M3,0)</f>
        <v>36</v>
      </c>
    </row>
    <row r="4" spans="1:16" s="3348" customFormat="1">
      <c r="A4" s="3347" t="s">
        <v>3325</v>
      </c>
      <c r="B4" s="3347" t="s">
        <v>3326</v>
      </c>
      <c r="C4" s="3347" t="s">
        <v>3368</v>
      </c>
      <c r="D4" s="3348">
        <v>50240</v>
      </c>
      <c r="E4" s="3348">
        <v>50754</v>
      </c>
      <c r="F4" s="3347" t="s">
        <v>3322</v>
      </c>
      <c r="H4" s="3417">
        <v>50594</v>
      </c>
      <c r="I4" s="3347"/>
      <c r="N4" s="3348" t="e">
        <f>L4/M4</f>
        <v>#DIV/0!</v>
      </c>
    </row>
    <row r="5" spans="1:16">
      <c r="A5" s="3241" t="s">
        <v>3327</v>
      </c>
      <c r="B5" s="3241" t="s">
        <v>3319</v>
      </c>
      <c r="C5" s="3241" t="s">
        <v>3328</v>
      </c>
      <c r="D5">
        <v>44110</v>
      </c>
      <c r="E5">
        <v>40720</v>
      </c>
      <c r="F5" s="3241" t="s">
        <v>3322</v>
      </c>
      <c r="H5" s="3369"/>
      <c r="N5" t="e">
        <f t="shared" ref="N5:N7" si="0">L5/M5</f>
        <v>#DIV/0!</v>
      </c>
    </row>
    <row r="6" spans="1:16">
      <c r="A6" s="3241" t="s">
        <v>3329</v>
      </c>
      <c r="B6" s="3241" t="s">
        <v>3319</v>
      </c>
      <c r="C6" s="3241" t="s">
        <v>3330</v>
      </c>
      <c r="D6">
        <v>43120</v>
      </c>
      <c r="E6">
        <v>44536</v>
      </c>
      <c r="F6" s="3241" t="s">
        <v>3322</v>
      </c>
      <c r="H6" s="3369"/>
      <c r="N6" t="e">
        <f t="shared" si="0"/>
        <v>#DIV/0!</v>
      </c>
    </row>
    <row r="7" spans="1:16" s="3348" customFormat="1">
      <c r="A7" s="3347" t="s">
        <v>3225</v>
      </c>
      <c r="B7" s="3347" t="s">
        <v>3331</v>
      </c>
      <c r="C7" s="3347" t="s">
        <v>3308</v>
      </c>
      <c r="D7" s="3348">
        <v>52108</v>
      </c>
      <c r="E7" s="3348">
        <v>53267</v>
      </c>
      <c r="F7" s="3347" t="s">
        <v>3322</v>
      </c>
      <c r="H7" s="3417">
        <v>52068</v>
      </c>
      <c r="N7" s="3348" t="e">
        <f t="shared" si="0"/>
        <v>#DIV/0!</v>
      </c>
    </row>
    <row r="8" spans="1:16" s="3350" customFormat="1">
      <c r="A8" s="3349" t="s">
        <v>3333</v>
      </c>
      <c r="B8" s="3349" t="s">
        <v>3331</v>
      </c>
      <c r="C8" s="3349" t="s">
        <v>3323</v>
      </c>
      <c r="D8" s="3350">
        <v>37665</v>
      </c>
      <c r="E8" s="3350">
        <v>38492</v>
      </c>
      <c r="F8" s="3349" t="s">
        <v>3322</v>
      </c>
      <c r="H8" s="3418"/>
      <c r="N8" s="3350" t="e">
        <f>ROUND(L8/M8,0)</f>
        <v>#DIV/0!</v>
      </c>
    </row>
    <row r="9" spans="1:16" s="3350" customFormat="1">
      <c r="A9" s="3349" t="s">
        <v>3228</v>
      </c>
      <c r="B9" s="3349" t="s">
        <v>3331</v>
      </c>
      <c r="C9" s="3349" t="s">
        <v>3323</v>
      </c>
      <c r="D9" s="3350">
        <v>37786</v>
      </c>
      <c r="E9" s="3350">
        <v>40234</v>
      </c>
      <c r="F9" s="3349" t="s">
        <v>3322</v>
      </c>
      <c r="I9" s="3349" t="s">
        <v>3311</v>
      </c>
      <c r="J9" s="3350">
        <f>ROUND(4620.66/M9*10000,0)</f>
        <v>172413</v>
      </c>
      <c r="K9" s="3350">
        <v>5728</v>
      </c>
      <c r="L9" s="3350">
        <v>8068</v>
      </c>
      <c r="M9" s="3350">
        <v>268</v>
      </c>
      <c r="N9" s="3350">
        <f>ROUND(L9/M9,0)</f>
        <v>30</v>
      </c>
      <c r="P9" s="3350">
        <v>5763</v>
      </c>
    </row>
    <row r="10" spans="1:16">
      <c r="A10" s="3241"/>
    </row>
  </sheetData>
  <phoneticPr fontId="229"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235"/>
  <sheetViews>
    <sheetView view="pageBreakPreview" zoomScale="90" zoomScaleNormal="60" zoomScaleSheetLayoutView="90" workbookViewId="0">
      <selection activeCell="C38" sqref="C38"/>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913</v>
      </c>
      <c r="C1" s="497" t="s">
        <v>785</v>
      </c>
      <c r="D1" s="837" t="s">
        <v>35</v>
      </c>
      <c r="E1" s="499"/>
      <c r="F1" s="2521" t="s">
        <v>3282</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IF(B37="元/平方米",ROUND(B3*D3/10000,0),ROUND(F3*C39/10000,0))</f>
        <v>7173</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IF(B37="元/平方米",C39,ROUND(B2*10000/D3,0))</f>
        <v>5839</v>
      </c>
      <c r="C3" s="840" t="s">
        <v>789</v>
      </c>
      <c r="D3" s="839">
        <f>SUMIF('数据-汇总表'!$C19:$C33,D1,'数据-汇总表'!$E19:$E33)</f>
        <v>12284</v>
      </c>
      <c r="E3" s="1759" t="s">
        <v>2063</v>
      </c>
      <c r="F3" s="839">
        <f>SUMIF('数据-取费表'!A5:A15,D1,'数据-取费表'!AH5:AH15)</f>
        <v>529</v>
      </c>
      <c r="G3" s="2007"/>
      <c r="H3" s="2007"/>
      <c r="I3" s="2007"/>
      <c r="J3" s="2007"/>
      <c r="K3" s="2009"/>
      <c r="L3" s="3415"/>
      <c r="M3" s="2011"/>
      <c r="N3" s="2011"/>
      <c r="O3" s="2011"/>
      <c r="P3" s="2011"/>
      <c r="Q3" s="2011"/>
      <c r="R3" s="2011"/>
      <c r="S3" s="2011"/>
      <c r="T3" s="2011"/>
      <c r="U3" s="2011"/>
      <c r="V3" s="2011"/>
      <c r="W3" s="2011"/>
      <c r="X3" s="2011"/>
      <c r="Y3" s="2011"/>
      <c r="Z3" s="2011"/>
      <c r="AA3" s="2011"/>
      <c r="AB3" s="3206"/>
      <c r="AC3" s="1941"/>
    </row>
    <row r="4" spans="1:29" ht="15">
      <c r="A4" s="505" t="s">
        <v>790</v>
      </c>
      <c r="B4" s="506"/>
      <c r="C4" s="3633" t="s">
        <v>791</v>
      </c>
      <c r="D4" s="3634"/>
      <c r="E4" s="3633" t="s">
        <v>792</v>
      </c>
      <c r="F4" s="3634"/>
      <c r="G4" s="3633" t="s">
        <v>793</v>
      </c>
      <c r="H4" s="3634"/>
      <c r="I4" s="3633" t="s">
        <v>794</v>
      </c>
      <c r="J4" s="3634"/>
      <c r="K4" s="507" t="s">
        <v>795</v>
      </c>
      <c r="L4" s="2012"/>
      <c r="M4" s="2013"/>
      <c r="N4" s="2013"/>
      <c r="O4" s="2013"/>
      <c r="P4" s="3635" t="s">
        <v>796</v>
      </c>
      <c r="Q4" s="3636"/>
      <c r="R4" s="3641" t="s">
        <v>792</v>
      </c>
      <c r="S4" s="3642"/>
      <c r="T4" s="3641" t="s">
        <v>793</v>
      </c>
      <c r="U4" s="3642"/>
      <c r="V4" s="3628" t="s">
        <v>794</v>
      </c>
      <c r="W4" s="3628"/>
      <c r="X4" s="1499"/>
      <c r="Y4" s="3641" t="s">
        <v>796</v>
      </c>
      <c r="Z4" s="3642"/>
      <c r="AA4" s="3630" t="s">
        <v>792</v>
      </c>
      <c r="AB4" s="3631" t="s">
        <v>793</v>
      </c>
      <c r="AC4" s="3630" t="s">
        <v>794</v>
      </c>
    </row>
    <row r="5" spans="1:29" ht="15">
      <c r="A5" s="508"/>
      <c r="B5" s="509"/>
      <c r="C5" s="3672" t="s">
        <v>2875</v>
      </c>
      <c r="D5" s="3673"/>
      <c r="E5" s="3672" t="str">
        <f>住宅及车库案例!A2</f>
        <v>首开香溪郡</v>
      </c>
      <c r="F5" s="3673"/>
      <c r="G5" s="3672" t="str">
        <f>住宅及车库案例!A3</f>
        <v>运河铭著（新地国际家园）</v>
      </c>
      <c r="H5" s="3673"/>
      <c r="I5" s="3672" t="str">
        <f>住宅及车库案例!A9</f>
        <v>亦庄橡树湾</v>
      </c>
      <c r="J5" s="3673"/>
      <c r="K5" s="507"/>
      <c r="L5" s="2012"/>
      <c r="M5" s="2013"/>
      <c r="N5" s="2013"/>
      <c r="O5" s="2013"/>
      <c r="P5" s="3637"/>
      <c r="Q5" s="3638"/>
      <c r="R5" s="3643"/>
      <c r="S5" s="3644"/>
      <c r="T5" s="3643"/>
      <c r="U5" s="3644"/>
      <c r="V5" s="3628"/>
      <c r="W5" s="3628"/>
      <c r="X5" s="1499"/>
      <c r="Y5" s="3643"/>
      <c r="Z5" s="3644"/>
      <c r="AA5" s="3631"/>
      <c r="AB5" s="3631"/>
      <c r="AC5" s="3631"/>
    </row>
    <row r="6" spans="1:29" ht="15.75" thickBot="1">
      <c r="A6" s="510"/>
      <c r="B6" s="511"/>
      <c r="C6" s="3670" t="s">
        <v>2879</v>
      </c>
      <c r="D6" s="3671"/>
      <c r="E6" s="3678" t="s">
        <v>2879</v>
      </c>
      <c r="F6" s="3679"/>
      <c r="G6" s="3670" t="s">
        <v>2879</v>
      </c>
      <c r="H6" s="3671"/>
      <c r="I6" s="3670" t="s">
        <v>2879</v>
      </c>
      <c r="J6" s="3671"/>
      <c r="K6" s="507" t="s">
        <v>522</v>
      </c>
      <c r="L6" s="2012"/>
      <c r="M6" s="2013"/>
      <c r="N6" s="2013"/>
      <c r="O6" s="2013"/>
      <c r="P6" s="3639"/>
      <c r="Q6" s="3640"/>
      <c r="R6" s="3643"/>
      <c r="S6" s="3644"/>
      <c r="T6" s="3645"/>
      <c r="U6" s="3646"/>
      <c r="V6" s="3628"/>
      <c r="W6" s="3628"/>
      <c r="X6" s="1499"/>
      <c r="Y6" s="3645"/>
      <c r="Z6" s="3646"/>
      <c r="AA6" s="3632"/>
      <c r="AB6" s="3632"/>
      <c r="AC6" s="3632"/>
    </row>
    <row r="7" spans="1:29" s="1200" customFormat="1" ht="15.75" thickBot="1">
      <c r="A7" s="2626"/>
      <c r="B7" s="2633" t="s">
        <v>523</v>
      </c>
      <c r="C7" s="512">
        <f>'数据-取费表'!B2</f>
        <v>44532</v>
      </c>
      <c r="D7" s="513">
        <v>100</v>
      </c>
      <c r="E7" s="514">
        <v>44470</v>
      </c>
      <c r="F7" s="515">
        <f>SUMIF(48:48,YEAR(E7)&amp;"-"&amp;MONTH(E7),49:49)</f>
        <v>100</v>
      </c>
      <c r="G7" s="516">
        <f>E7</f>
        <v>44470</v>
      </c>
      <c r="H7" s="513">
        <f>SUMIF(48:48,YEAR(G7)&amp;"-"&amp;MONTH(G7),49:49)</f>
        <v>100</v>
      </c>
      <c r="I7" s="516">
        <f>E7</f>
        <v>44470</v>
      </c>
      <c r="J7" s="513">
        <f>SUMIF(48:48,YEAR(I7)&amp;"-"&amp;MONTH(I7),49:49)</f>
        <v>100</v>
      </c>
      <c r="K7" s="517"/>
      <c r="L7" s="2014"/>
      <c r="M7" s="2015"/>
      <c r="N7" s="2015"/>
      <c r="O7" s="2015"/>
      <c r="P7" s="3658" t="s">
        <v>524</v>
      </c>
      <c r="Q7" s="3660"/>
      <c r="R7" s="1500" t="s">
        <v>8</v>
      </c>
      <c r="S7" s="1501">
        <f t="shared" ref="S7:S14" si="0">F7</f>
        <v>100</v>
      </c>
      <c r="T7" s="1500" t="s">
        <v>8</v>
      </c>
      <c r="U7" s="1501">
        <f t="shared" ref="U7:U14" si="1">H7</f>
        <v>100</v>
      </c>
      <c r="V7" s="1500" t="s">
        <v>8</v>
      </c>
      <c r="W7" s="1501">
        <f t="shared" ref="W7:W14" si="2">J7</f>
        <v>100</v>
      </c>
      <c r="X7" s="1502"/>
      <c r="Y7" s="3658" t="s">
        <v>524</v>
      </c>
      <c r="Z7" s="3659"/>
      <c r="AA7" s="1503">
        <f>D7/F7</f>
        <v>1</v>
      </c>
      <c r="AB7" s="1503">
        <f>D7/H7</f>
        <v>1</v>
      </c>
      <c r="AC7" s="1503">
        <f>D7/J7</f>
        <v>1</v>
      </c>
    </row>
    <row r="8" spans="1:29" s="1200" customFormat="1" ht="15.75" thickBot="1">
      <c r="A8" s="2627"/>
      <c r="B8" s="2634" t="s">
        <v>525</v>
      </c>
      <c r="C8" s="518" t="s">
        <v>570</v>
      </c>
      <c r="D8" s="513">
        <v>100</v>
      </c>
      <c r="E8" s="518" t="s">
        <v>3230</v>
      </c>
      <c r="F8" s="515">
        <f>SUMIF(51:51,E8,52:52)-SUMIF(51:51,C8,52:52)+100</f>
        <v>100</v>
      </c>
      <c r="G8" s="518" t="s">
        <v>3230</v>
      </c>
      <c r="H8" s="513">
        <f>SUMIF(51:51,G8,52:52)-SUMIF(51:51,C8,52:52)+100</f>
        <v>100</v>
      </c>
      <c r="I8" s="518" t="s">
        <v>3230</v>
      </c>
      <c r="J8" s="513">
        <f>SUMIF(51:51,I8,52:52)-SUMIF(51:51,C8,52:52)+100</f>
        <v>100</v>
      </c>
      <c r="K8" s="517"/>
      <c r="L8" s="2014"/>
      <c r="M8" s="2015"/>
      <c r="N8" s="2015"/>
      <c r="O8" s="2015"/>
      <c r="P8" s="3658" t="s">
        <v>527</v>
      </c>
      <c r="Q8" s="3659"/>
      <c r="R8" s="1500" t="s">
        <v>8</v>
      </c>
      <c r="S8" s="1501">
        <f t="shared" si="0"/>
        <v>100</v>
      </c>
      <c r="T8" s="1500" t="s">
        <v>8</v>
      </c>
      <c r="U8" s="1501">
        <f t="shared" si="1"/>
        <v>100</v>
      </c>
      <c r="V8" s="1500" t="s">
        <v>8</v>
      </c>
      <c r="W8" s="1501">
        <f t="shared" si="2"/>
        <v>100</v>
      </c>
      <c r="X8" s="1502"/>
      <c r="Y8" s="3658" t="s">
        <v>527</v>
      </c>
      <c r="Z8" s="3659"/>
      <c r="AA8" s="1503">
        <f t="shared" ref="AA8:AA36" si="3">D8/F8</f>
        <v>1</v>
      </c>
      <c r="AB8" s="1503">
        <f t="shared" ref="AB8:AB36" si="4">D8/H8</f>
        <v>1</v>
      </c>
      <c r="AC8" s="1503">
        <f t="shared" ref="AC8:AC36" si="5">D8/J8</f>
        <v>1</v>
      </c>
    </row>
    <row r="9" spans="1:29" s="1200" customFormat="1" ht="15">
      <c r="A9" s="2628"/>
      <c r="B9" s="2635" t="s">
        <v>2733</v>
      </c>
      <c r="C9" s="3351" t="s">
        <v>3335</v>
      </c>
      <c r="D9" s="251">
        <v>100</v>
      </c>
      <c r="E9" s="848" t="s">
        <v>35</v>
      </c>
      <c r="F9" s="251">
        <f>SUMIF(53:53,E9,54:54)-SUMIF(53:53,C9,54:54)+100</f>
        <v>100</v>
      </c>
      <c r="G9" s="846" t="s">
        <v>35</v>
      </c>
      <c r="H9" s="251">
        <f>SUMIF(53:53,G9,54:54)-SUMIF(53:53,C9,54:54)+100</f>
        <v>100</v>
      </c>
      <c r="I9" s="846" t="s">
        <v>35</v>
      </c>
      <c r="J9" s="251">
        <f>SUMIF(53:53,I9,54:54)-SUMIF(53:53,C9,54:54)+100</f>
        <v>100</v>
      </c>
      <c r="K9" s="517"/>
      <c r="L9" s="2014"/>
      <c r="M9" s="2015"/>
      <c r="N9" s="2015"/>
      <c r="O9" s="2016"/>
      <c r="P9" s="3627" t="s">
        <v>529</v>
      </c>
      <c r="Q9" s="1131" t="str">
        <f t="shared" ref="Q9:Q14" si="6">B9</f>
        <v>用途</v>
      </c>
      <c r="R9" s="1500" t="s">
        <v>8</v>
      </c>
      <c r="S9" s="1501">
        <f t="shared" si="0"/>
        <v>100</v>
      </c>
      <c r="T9" s="1500" t="s">
        <v>8</v>
      </c>
      <c r="U9" s="1501">
        <f t="shared" si="1"/>
        <v>100</v>
      </c>
      <c r="V9" s="1500" t="s">
        <v>8</v>
      </c>
      <c r="W9" s="1501">
        <f t="shared" si="2"/>
        <v>100</v>
      </c>
      <c r="X9" s="1502"/>
      <c r="Y9" s="3573" t="s">
        <v>530</v>
      </c>
      <c r="Z9" s="1130" t="str">
        <f t="shared" ref="Z9:Z14" si="7">Q9</f>
        <v>用途</v>
      </c>
      <c r="AA9" s="1503">
        <f t="shared" si="3"/>
        <v>1</v>
      </c>
      <c r="AB9" s="1503">
        <f t="shared" si="4"/>
        <v>1</v>
      </c>
      <c r="AC9" s="1503">
        <f t="shared" si="5"/>
        <v>1</v>
      </c>
    </row>
    <row r="10" spans="1:29" s="1289" customFormat="1" ht="27.75" thickBot="1">
      <c r="A10" s="2629"/>
      <c r="B10" s="2634" t="s">
        <v>2734</v>
      </c>
      <c r="C10" s="849" t="s">
        <v>3336</v>
      </c>
      <c r="D10" s="252">
        <v>100</v>
      </c>
      <c r="E10" s="849" t="s">
        <v>3336</v>
      </c>
      <c r="F10" s="252">
        <f>SUMIF(55:55,E10,56:56)-SUMIF(55:55,C10,56:56)+100</f>
        <v>100</v>
      </c>
      <c r="G10" s="850" t="s">
        <v>3336</v>
      </c>
      <c r="H10" s="252">
        <f>SUMIF(55:55,G10,56:56)-SUMIF(55:55,C10,56:56)+100</f>
        <v>100</v>
      </c>
      <c r="I10" s="849" t="s">
        <v>3336</v>
      </c>
      <c r="J10" s="252">
        <f>SUMIF(55:55,I10,56:56)-SUMIF(55:55,C10,56:56)+100</f>
        <v>100</v>
      </c>
      <c r="K10" s="577">
        <v>2</v>
      </c>
      <c r="L10" s="2017"/>
      <c r="M10" s="2056"/>
      <c r="N10" s="2056"/>
      <c r="O10" s="2018"/>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 hidden="1">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627"/>
      <c r="Q11" s="1131">
        <f t="shared" si="6"/>
        <v>111</v>
      </c>
      <c r="R11" s="1500" t="s">
        <v>8</v>
      </c>
      <c r="S11" s="1501">
        <f t="shared" si="0"/>
        <v>100</v>
      </c>
      <c r="T11" s="1500" t="s">
        <v>8</v>
      </c>
      <c r="U11" s="1501">
        <f t="shared" si="1"/>
        <v>100</v>
      </c>
      <c r="V11" s="1500" t="s">
        <v>8</v>
      </c>
      <c r="W11" s="1501">
        <f t="shared" si="2"/>
        <v>100</v>
      </c>
      <c r="X11" s="1502"/>
      <c r="Y11" s="3573"/>
      <c r="Z11" s="1130">
        <f t="shared" si="7"/>
        <v>111</v>
      </c>
      <c r="AA11" s="1503">
        <f t="shared" si="3"/>
        <v>1</v>
      </c>
      <c r="AB11" s="1503">
        <f t="shared" si="4"/>
        <v>1</v>
      </c>
      <c r="AC11" s="1503">
        <f t="shared" si="5"/>
        <v>1</v>
      </c>
    </row>
    <row r="12" spans="1:29" s="1200" customFormat="1" ht="15" hidden="1">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627"/>
      <c r="Q12" s="1131">
        <f t="shared" si="6"/>
        <v>111</v>
      </c>
      <c r="R12" s="1500" t="s">
        <v>8</v>
      </c>
      <c r="S12" s="1501">
        <f t="shared" si="0"/>
        <v>100</v>
      </c>
      <c r="T12" s="1500" t="s">
        <v>8</v>
      </c>
      <c r="U12" s="1501">
        <f t="shared" si="1"/>
        <v>100</v>
      </c>
      <c r="V12" s="1500" t="s">
        <v>8</v>
      </c>
      <c r="W12" s="1501">
        <f t="shared" si="2"/>
        <v>100</v>
      </c>
      <c r="X12" s="1502"/>
      <c r="Y12" s="3573"/>
      <c r="Z12" s="1130">
        <f t="shared" si="7"/>
        <v>111</v>
      </c>
      <c r="AA12" s="1503">
        <f>D12/F12</f>
        <v>1</v>
      </c>
      <c r="AB12" s="1503">
        <f>D12/H12</f>
        <v>1</v>
      </c>
      <c r="AC12" s="1503">
        <f>D12/J12</f>
        <v>1</v>
      </c>
    </row>
    <row r="13" spans="1:29" ht="15.75" hidden="1"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627"/>
      <c r="Q13" s="1131">
        <f t="shared" si="6"/>
        <v>111</v>
      </c>
      <c r="R13" s="1500" t="s">
        <v>8</v>
      </c>
      <c r="S13" s="1501">
        <f t="shared" si="0"/>
        <v>100</v>
      </c>
      <c r="T13" s="1500" t="s">
        <v>8</v>
      </c>
      <c r="U13" s="1501">
        <f t="shared" si="1"/>
        <v>100</v>
      </c>
      <c r="V13" s="1500" t="s">
        <v>8</v>
      </c>
      <c r="W13" s="1501">
        <f t="shared" si="2"/>
        <v>100</v>
      </c>
      <c r="X13" s="1502"/>
      <c r="Y13" s="3573"/>
      <c r="Z13" s="1130">
        <f t="shared" si="7"/>
        <v>111</v>
      </c>
      <c r="AA13" s="1503">
        <f t="shared" si="3"/>
        <v>1</v>
      </c>
      <c r="AB13" s="1503">
        <f t="shared" si="4"/>
        <v>1</v>
      </c>
      <c r="AC13" s="1503">
        <f t="shared" si="5"/>
        <v>1</v>
      </c>
    </row>
    <row r="14" spans="1:29" ht="15">
      <c r="A14" s="2624" t="s">
        <v>2731</v>
      </c>
      <c r="B14" s="540" t="s">
        <v>537</v>
      </c>
      <c r="C14" s="907" t="str">
        <f>IF(B1="工业",估价对象房地状况!G4,估价对象房地状况!C6)</f>
        <v>一般</v>
      </c>
      <c r="D14" s="542">
        <v>100</v>
      </c>
      <c r="E14" s="543"/>
      <c r="F14" s="544">
        <f>SUMIF(63:63,E15,64:64)-SUMIF(63:63,C15,64:64)+100</f>
        <v>100</v>
      </c>
      <c r="G14" s="545"/>
      <c r="H14" s="542">
        <f>SUMIF(63:63,G15,64:64)-SUMIF(63:63,C15,64:64)+100</f>
        <v>102</v>
      </c>
      <c r="I14" s="543"/>
      <c r="J14" s="542">
        <f>SUMIF(63:63,I15,64:64)-SUMIF(63:63,C15,64:64)+100</f>
        <v>100</v>
      </c>
      <c r="K14" s="884">
        <v>2</v>
      </c>
      <c r="L14" s="2021"/>
      <c r="M14" s="2013"/>
      <c r="N14" s="2013"/>
      <c r="O14" s="2020"/>
      <c r="P14" s="3661" t="s">
        <v>534</v>
      </c>
      <c r="Q14" s="1504" t="str">
        <f t="shared" si="6"/>
        <v>交通便捷度</v>
      </c>
      <c r="R14" s="1505" t="s">
        <v>8</v>
      </c>
      <c r="S14" s="1506">
        <f t="shared" si="0"/>
        <v>100</v>
      </c>
      <c r="T14" s="1505" t="s">
        <v>8</v>
      </c>
      <c r="U14" s="1506">
        <f t="shared" si="1"/>
        <v>102</v>
      </c>
      <c r="V14" s="1505" t="s">
        <v>8</v>
      </c>
      <c r="W14" s="1506">
        <f t="shared" si="2"/>
        <v>100</v>
      </c>
      <c r="X14" s="1499"/>
      <c r="Y14" s="3661" t="s">
        <v>534</v>
      </c>
      <c r="Z14" s="1507" t="str">
        <f t="shared" si="7"/>
        <v>交通便捷度</v>
      </c>
      <c r="AA14" s="1508">
        <f t="shared" si="3"/>
        <v>1</v>
      </c>
      <c r="AB14" s="1508">
        <f t="shared" si="4"/>
        <v>0.98039215686274506</v>
      </c>
      <c r="AC14" s="1508">
        <f t="shared" si="5"/>
        <v>1</v>
      </c>
    </row>
    <row r="15" spans="1:29" ht="15">
      <c r="A15" s="508"/>
      <c r="B15" s="910"/>
      <c r="C15" s="569" t="s">
        <v>3268</v>
      </c>
      <c r="D15" s="548"/>
      <c r="E15" s="569" t="s">
        <v>3268</v>
      </c>
      <c r="F15" s="550"/>
      <c r="G15" s="569" t="s">
        <v>3273</v>
      </c>
      <c r="H15" s="552"/>
      <c r="I15" s="569" t="s">
        <v>3268</v>
      </c>
      <c r="J15" s="548"/>
      <c r="K15" s="885"/>
      <c r="L15" s="2021"/>
      <c r="M15" s="2013"/>
      <c r="N15" s="2013"/>
      <c r="O15" s="2020"/>
      <c r="P15" s="3662"/>
      <c r="Q15" s="1504"/>
      <c r="R15" s="1505"/>
      <c r="S15" s="1506"/>
      <c r="T15" s="1505"/>
      <c r="U15" s="1506"/>
      <c r="V15" s="1505"/>
      <c r="W15" s="1506"/>
      <c r="X15" s="1499"/>
      <c r="Y15" s="3662"/>
      <c r="Z15" s="1507"/>
      <c r="AA15" s="1508">
        <v>1</v>
      </c>
      <c r="AB15" s="1508">
        <v>1</v>
      </c>
      <c r="AC15" s="1508">
        <v>1</v>
      </c>
    </row>
    <row r="16" spans="1:29" ht="15">
      <c r="A16" s="508"/>
      <c r="B16" s="2444" t="s">
        <v>2525</v>
      </c>
      <c r="C16" s="860" t="str">
        <f>IF(B1="工业",估价对象房地状况!G5,估价对象房地状况!C7)</f>
        <v>较差</v>
      </c>
      <c r="D16" s="558">
        <v>100</v>
      </c>
      <c r="E16" s="565"/>
      <c r="F16" s="564">
        <f>SUMIF(65:65,E17,66:66)-SUMIF(65:65,C17,66:66)+100</f>
        <v>100</v>
      </c>
      <c r="G16" s="565"/>
      <c r="H16" s="558">
        <f>SUMIF(65:65,G17,66:66)-SUMIF(65:65,C17,66:66)+100</f>
        <v>102</v>
      </c>
      <c r="I16" s="563"/>
      <c r="J16" s="558">
        <f>SUMIF(65:65,I17,66:66)-SUMIF(65:65,C17,66:66)+100</f>
        <v>102</v>
      </c>
      <c r="K16" s="884">
        <v>2</v>
      </c>
      <c r="L16" s="2021"/>
      <c r="M16" s="2013"/>
      <c r="N16" s="2013"/>
      <c r="O16" s="2020"/>
      <c r="P16" s="3662"/>
      <c r="Q16" s="1504" t="str">
        <f>B16</f>
        <v>公共配套设施</v>
      </c>
      <c r="R16" s="1505" t="s">
        <v>8</v>
      </c>
      <c r="S16" s="1506">
        <f>F16</f>
        <v>100</v>
      </c>
      <c r="T16" s="1505" t="s">
        <v>8</v>
      </c>
      <c r="U16" s="1506">
        <f>H16</f>
        <v>102</v>
      </c>
      <c r="V16" s="1505" t="s">
        <v>8</v>
      </c>
      <c r="W16" s="1506">
        <f>J16</f>
        <v>102</v>
      </c>
      <c r="X16" s="1499"/>
      <c r="Y16" s="3662"/>
      <c r="Z16" s="1507" t="str">
        <f>Q16</f>
        <v>公共配套设施</v>
      </c>
      <c r="AA16" s="1508">
        <f t="shared" si="3"/>
        <v>1</v>
      </c>
      <c r="AB16" s="1508">
        <f t="shared" si="4"/>
        <v>0.98039215686274506</v>
      </c>
      <c r="AC16" s="1508">
        <f t="shared" si="5"/>
        <v>0.98039215686274506</v>
      </c>
    </row>
    <row r="17" spans="1:29" ht="15">
      <c r="A17" s="508"/>
      <c r="B17" s="559"/>
      <c r="C17" s="861" t="s">
        <v>3271</v>
      </c>
      <c r="D17" s="548"/>
      <c r="E17" s="569" t="s">
        <v>3271</v>
      </c>
      <c r="F17" s="550"/>
      <c r="G17" s="569" t="s">
        <v>3268</v>
      </c>
      <c r="H17" s="548"/>
      <c r="I17" s="569" t="s">
        <v>3268</v>
      </c>
      <c r="J17" s="548"/>
      <c r="K17" s="885"/>
      <c r="L17" s="2021"/>
      <c r="M17" s="2013"/>
      <c r="N17" s="2013"/>
      <c r="O17" s="2020"/>
      <c r="P17" s="3662"/>
      <c r="Q17" s="1504"/>
      <c r="R17" s="1505"/>
      <c r="S17" s="1506"/>
      <c r="T17" s="1505"/>
      <c r="U17" s="1506"/>
      <c r="V17" s="1505"/>
      <c r="W17" s="1506"/>
      <c r="X17" s="1499"/>
      <c r="Y17" s="3662"/>
      <c r="Z17" s="1507"/>
      <c r="AA17" s="1508">
        <v>1</v>
      </c>
      <c r="AB17" s="1508">
        <v>1</v>
      </c>
      <c r="AC17" s="1508">
        <v>1</v>
      </c>
    </row>
    <row r="18" spans="1:29" ht="15">
      <c r="A18" s="508"/>
      <c r="B18" s="2432"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4">
        <v>2</v>
      </c>
      <c r="L18" s="2021"/>
      <c r="M18" s="2013"/>
      <c r="N18" s="2013"/>
      <c r="O18" s="2020"/>
      <c r="P18" s="3662"/>
      <c r="Q18" s="2426" t="str">
        <f>B18</f>
        <v>基础设施水平</v>
      </c>
      <c r="R18" s="1505" t="s">
        <v>8</v>
      </c>
      <c r="S18" s="1506">
        <f>F18</f>
        <v>100</v>
      </c>
      <c r="T18" s="1505" t="s">
        <v>8</v>
      </c>
      <c r="U18" s="1506">
        <f>H18</f>
        <v>100</v>
      </c>
      <c r="V18" s="1505" t="s">
        <v>8</v>
      </c>
      <c r="W18" s="1506">
        <f>J18</f>
        <v>100</v>
      </c>
      <c r="X18" s="2428"/>
      <c r="Y18" s="3662"/>
      <c r="Z18" s="2427" t="str">
        <f>Q18</f>
        <v>基础设施水平</v>
      </c>
      <c r="AA18" s="1508">
        <f t="shared" ref="AA18" si="8">D18/F18</f>
        <v>1</v>
      </c>
      <c r="AB18" s="1508">
        <f t="shared" ref="AB18" si="9">D18/H18</f>
        <v>1</v>
      </c>
      <c r="AC18" s="1508">
        <f t="shared" ref="AC18" si="10">D18/J18</f>
        <v>1</v>
      </c>
    </row>
    <row r="19" spans="1:29" ht="15">
      <c r="A19" s="508"/>
      <c r="B19" s="571"/>
      <c r="C19" s="861" t="s">
        <v>3236</v>
      </c>
      <c r="D19" s="552"/>
      <c r="E19" s="569" t="s">
        <v>3236</v>
      </c>
      <c r="F19" s="550"/>
      <c r="G19" s="569" t="s">
        <v>3236</v>
      </c>
      <c r="H19" s="548"/>
      <c r="I19" s="569" t="s">
        <v>3236</v>
      </c>
      <c r="J19" s="548"/>
      <c r="K19" s="2443"/>
      <c r="L19" s="2021"/>
      <c r="M19" s="2013"/>
      <c r="N19" s="2013"/>
      <c r="O19" s="2020"/>
      <c r="P19" s="3662"/>
      <c r="Q19" s="2426"/>
      <c r="R19" s="1505"/>
      <c r="S19" s="1506"/>
      <c r="T19" s="1505"/>
      <c r="U19" s="1506"/>
      <c r="V19" s="1505"/>
      <c r="W19" s="1506"/>
      <c r="X19" s="2428"/>
      <c r="Y19" s="3662"/>
      <c r="Z19" s="2427"/>
      <c r="AA19" s="1508">
        <v>1</v>
      </c>
      <c r="AB19" s="1508">
        <v>1</v>
      </c>
      <c r="AC19" s="1508">
        <v>1</v>
      </c>
    </row>
    <row r="20" spans="1:29" ht="15">
      <c r="A20" s="508"/>
      <c r="B20" s="553" t="s">
        <v>797</v>
      </c>
      <c r="C20" s="860" t="str">
        <f>IF(B1="工业",估价对象房地状况!G7,估价对象房地状况!C9)</f>
        <v>一般</v>
      </c>
      <c r="D20" s="558">
        <v>100</v>
      </c>
      <c r="E20" s="555"/>
      <c r="F20" s="556">
        <f>SUMIF(69:69,E21,70:70)-SUMIF(69:69,C21,70:70)+100</f>
        <v>100</v>
      </c>
      <c r="G20" s="557"/>
      <c r="H20" s="552">
        <f>SUMIF(69:69,G21,70:70)-SUMIF(69:69,C21,70:70)+100</f>
        <v>102</v>
      </c>
      <c r="I20" s="555"/>
      <c r="J20" s="552">
        <f>SUMIF(69:69,I21,70:70)-SUMIF(69:69,C21,70:70)+100</f>
        <v>100</v>
      </c>
      <c r="K20" s="884">
        <v>2</v>
      </c>
      <c r="L20" s="2021"/>
      <c r="M20" s="2013"/>
      <c r="N20" s="2013"/>
      <c r="O20" s="2020"/>
      <c r="P20" s="3662"/>
      <c r="Q20" s="1504" t="str">
        <f>B20</f>
        <v>自然及人文环境</v>
      </c>
      <c r="R20" s="1505" t="s">
        <v>8</v>
      </c>
      <c r="S20" s="1506">
        <f>F20</f>
        <v>100</v>
      </c>
      <c r="T20" s="1505" t="s">
        <v>8</v>
      </c>
      <c r="U20" s="1506">
        <f>H20</f>
        <v>102</v>
      </c>
      <c r="V20" s="1505" t="s">
        <v>8</v>
      </c>
      <c r="W20" s="1506">
        <f>J20</f>
        <v>100</v>
      </c>
      <c r="X20" s="1499"/>
      <c r="Y20" s="3662"/>
      <c r="Z20" s="1507" t="str">
        <f>Q20</f>
        <v>自然及人文环境</v>
      </c>
      <c r="AA20" s="1508">
        <f t="shared" si="3"/>
        <v>1</v>
      </c>
      <c r="AB20" s="1508">
        <f t="shared" si="4"/>
        <v>0.98039215686274506</v>
      </c>
      <c r="AC20" s="1508">
        <f t="shared" si="5"/>
        <v>1</v>
      </c>
    </row>
    <row r="21" spans="1:29" ht="15.75" thickBot="1">
      <c r="A21" s="508"/>
      <c r="B21" s="559"/>
      <c r="C21" s="569" t="s">
        <v>3268</v>
      </c>
      <c r="D21" s="548"/>
      <c r="E21" s="569" t="s">
        <v>3268</v>
      </c>
      <c r="F21" s="550"/>
      <c r="G21" s="569" t="s">
        <v>3273</v>
      </c>
      <c r="H21" s="548"/>
      <c r="I21" s="569" t="s">
        <v>3268</v>
      </c>
      <c r="J21" s="548"/>
      <c r="K21" s="885"/>
      <c r="L21" s="2021"/>
      <c r="M21" s="2013"/>
      <c r="N21" s="2013"/>
      <c r="O21" s="2020"/>
      <c r="P21" s="3662"/>
      <c r="Q21" s="1504"/>
      <c r="R21" s="1505"/>
      <c r="S21" s="1506"/>
      <c r="T21" s="1505"/>
      <c r="U21" s="1506"/>
      <c r="V21" s="1505"/>
      <c r="W21" s="1506"/>
      <c r="X21" s="1499"/>
      <c r="Y21" s="3662"/>
      <c r="Z21" s="1507"/>
      <c r="AA21" s="1508">
        <v>1</v>
      </c>
      <c r="AB21" s="1508">
        <v>1</v>
      </c>
      <c r="AC21" s="1508">
        <v>1</v>
      </c>
    </row>
    <row r="22" spans="1:29" ht="15" hidden="1">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662"/>
      <c r="Q22" s="1504" t="str">
        <f>B22</f>
        <v>楼层</v>
      </c>
      <c r="R22" s="1505" t="s">
        <v>8</v>
      </c>
      <c r="S22" s="1506">
        <f>F22</f>
        <v>100</v>
      </c>
      <c r="T22" s="1505" t="s">
        <v>8</v>
      </c>
      <c r="U22" s="1506">
        <f>H22</f>
        <v>100</v>
      </c>
      <c r="V22" s="1505" t="s">
        <v>8</v>
      </c>
      <c r="W22" s="1506">
        <f>J22</f>
        <v>100</v>
      </c>
      <c r="X22" s="1499"/>
      <c r="Y22" s="3662"/>
      <c r="Z22" s="1507" t="str">
        <f>Q22</f>
        <v>楼层</v>
      </c>
      <c r="AA22" s="1508">
        <f t="shared" si="3"/>
        <v>1</v>
      </c>
      <c r="AB22" s="1508">
        <f t="shared" si="4"/>
        <v>1</v>
      </c>
      <c r="AC22" s="1508">
        <f t="shared" si="5"/>
        <v>1</v>
      </c>
    </row>
    <row r="23" spans="1:29" ht="15" hidden="1">
      <c r="A23" s="508"/>
      <c r="B23" s="911">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662"/>
      <c r="Q23" s="1504">
        <f>B23</f>
        <v>111</v>
      </c>
      <c r="R23" s="1505" t="s">
        <v>8</v>
      </c>
      <c r="S23" s="1506">
        <f>F23</f>
        <v>100</v>
      </c>
      <c r="T23" s="1505" t="s">
        <v>8</v>
      </c>
      <c r="U23" s="1506">
        <f>H23</f>
        <v>100</v>
      </c>
      <c r="V23" s="1505" t="s">
        <v>8</v>
      </c>
      <c r="W23" s="1506">
        <f>J23</f>
        <v>100</v>
      </c>
      <c r="X23" s="1499"/>
      <c r="Y23" s="3662"/>
      <c r="Z23" s="1507">
        <f>Q23</f>
        <v>111</v>
      </c>
      <c r="AA23" s="1508">
        <f t="shared" si="3"/>
        <v>1</v>
      </c>
      <c r="AB23" s="1508">
        <f t="shared" si="4"/>
        <v>1</v>
      </c>
      <c r="AC23" s="1508">
        <f t="shared" si="5"/>
        <v>1</v>
      </c>
    </row>
    <row r="24" spans="1:29" ht="15" hidden="1">
      <c r="A24" s="508"/>
      <c r="B24" s="911">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662"/>
      <c r="Q24" s="1504">
        <f t="shared" ref="Q24:Q36" si="11">B24</f>
        <v>111</v>
      </c>
      <c r="R24" s="1505" t="s">
        <v>8</v>
      </c>
      <c r="S24" s="1506">
        <f>F24</f>
        <v>100</v>
      </c>
      <c r="T24" s="1505" t="s">
        <v>8</v>
      </c>
      <c r="U24" s="1506">
        <f>H24</f>
        <v>100</v>
      </c>
      <c r="V24" s="1505" t="s">
        <v>8</v>
      </c>
      <c r="W24" s="1506">
        <f>J24</f>
        <v>100</v>
      </c>
      <c r="X24" s="1499"/>
      <c r="Y24" s="3662"/>
      <c r="Z24" s="1507">
        <f>Q24</f>
        <v>111</v>
      </c>
      <c r="AA24" s="1508">
        <f t="shared" si="3"/>
        <v>1</v>
      </c>
      <c r="AB24" s="1508">
        <f t="shared" si="4"/>
        <v>1</v>
      </c>
      <c r="AC24" s="1508">
        <f t="shared" si="5"/>
        <v>1</v>
      </c>
    </row>
    <row r="25" spans="1:29" s="1200" customFormat="1" ht="15.75" hidden="1" thickBot="1">
      <c r="A25" s="570"/>
      <c r="B25" s="900">
        <v>111</v>
      </c>
      <c r="C25" s="538"/>
      <c r="D25" s="912">
        <v>100</v>
      </c>
      <c r="E25" s="897"/>
      <c r="F25" s="913">
        <f>SUMIF(77:77,E25,78:78)-SUMIF(77:77,C25,78:78)+100</f>
        <v>100</v>
      </c>
      <c r="G25" s="897"/>
      <c r="H25" s="912">
        <f>SUMIF(77:77,G25,78:78)-SUMIF(77:77,C25,78:78)+100</f>
        <v>100</v>
      </c>
      <c r="I25" s="897"/>
      <c r="J25" s="912">
        <f>SUMIF(77:77,I25,78:78)-SUMIF(77:77,C25,78:78)+100</f>
        <v>100</v>
      </c>
      <c r="K25" s="574"/>
      <c r="L25" s="2014"/>
      <c r="M25" s="2015"/>
      <c r="N25" s="2015"/>
      <c r="O25" s="2016"/>
      <c r="P25" s="3662"/>
      <c r="Q25" s="1131">
        <f t="shared" si="11"/>
        <v>111</v>
      </c>
      <c r="R25" s="1500" t="s">
        <v>8</v>
      </c>
      <c r="S25" s="1501">
        <f>F25</f>
        <v>100</v>
      </c>
      <c r="T25" s="1500" t="s">
        <v>8</v>
      </c>
      <c r="U25" s="1501">
        <f>H25</f>
        <v>100</v>
      </c>
      <c r="V25" s="1500" t="s">
        <v>8</v>
      </c>
      <c r="W25" s="1501">
        <f>J25</f>
        <v>100</v>
      </c>
      <c r="X25" s="1502"/>
      <c r="Y25" s="3662"/>
      <c r="Z25" s="1130">
        <f>Q25</f>
        <v>111</v>
      </c>
      <c r="AA25" s="1508">
        <f>D25/F25</f>
        <v>1</v>
      </c>
      <c r="AB25" s="1508">
        <f>D25/H25</f>
        <v>1</v>
      </c>
      <c r="AC25" s="1508">
        <f>D25/J25</f>
        <v>1</v>
      </c>
    </row>
    <row r="26" spans="1:29" ht="15">
      <c r="A26" s="2621" t="s">
        <v>2732</v>
      </c>
      <c r="B26" s="167" t="s">
        <v>799</v>
      </c>
      <c r="C26" s="914" t="str">
        <f>B1</f>
        <v>住宅</v>
      </c>
      <c r="D26" s="548">
        <v>100</v>
      </c>
      <c r="E26" s="569" t="s">
        <v>913</v>
      </c>
      <c r="F26" s="550">
        <f>SUMIF(79:79,E26,80:80)-SUMIF(79:79,C26,80:80)+100</f>
        <v>100</v>
      </c>
      <c r="G26" s="569" t="s">
        <v>913</v>
      </c>
      <c r="H26" s="548">
        <f>SUMIF(79:79,G26,80:80)-SUMIF(79:79,C26,80:80)+100</f>
        <v>100</v>
      </c>
      <c r="I26" s="569" t="s">
        <v>913</v>
      </c>
      <c r="J26" s="548">
        <f>SUMIF(79:79,I26,80:80)-SUMIF(79:79,C26,80:80)+100</f>
        <v>100</v>
      </c>
      <c r="K26" s="577">
        <v>5</v>
      </c>
      <c r="L26" s="2021"/>
      <c r="M26" s="2013"/>
      <c r="N26" s="2013"/>
      <c r="O26" s="2020"/>
      <c r="P26" s="3663"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64" t="s">
        <v>544</v>
      </c>
      <c r="Z26" s="1507" t="str">
        <f t="shared" ref="Z26:Z36" si="15">Q26</f>
        <v>配套类型</v>
      </c>
      <c r="AA26" s="1508">
        <f t="shared" si="3"/>
        <v>1</v>
      </c>
      <c r="AB26" s="1508">
        <f t="shared" si="4"/>
        <v>1</v>
      </c>
      <c r="AC26" s="1508">
        <f t="shared" si="5"/>
        <v>1</v>
      </c>
    </row>
    <row r="27" spans="1:29" s="1290" customFormat="1" ht="15">
      <c r="A27" s="915"/>
      <c r="B27" s="575" t="s">
        <v>800</v>
      </c>
      <c r="C27" s="916" t="s">
        <v>3347</v>
      </c>
      <c r="D27" s="252">
        <v>100</v>
      </c>
      <c r="E27" s="916" t="s">
        <v>3352</v>
      </c>
      <c r="F27" s="568">
        <f>SUMIF(81:81,E27,82:82)-SUMIF(81:81,C27,82:82)+100</f>
        <v>98</v>
      </c>
      <c r="G27" s="916" t="s">
        <v>3349</v>
      </c>
      <c r="H27" s="533">
        <f>SUMIF(81:81,G27,82:82)-SUMIF(81:81,C27,82:82)+100</f>
        <v>99</v>
      </c>
      <c r="I27" s="916" t="s">
        <v>3353</v>
      </c>
      <c r="J27" s="533">
        <f>SUMIF(81:81,I27,82:82)-SUMIF(81:81,C27,82:82)+100</f>
        <v>100</v>
      </c>
      <c r="K27" s="574"/>
      <c r="L27" s="2019"/>
      <c r="M27" s="2049"/>
      <c r="N27" s="2049"/>
      <c r="O27" s="2022"/>
      <c r="P27" s="3664"/>
      <c r="Q27" s="1533" t="str">
        <f t="shared" si="11"/>
        <v>项目停车位配比</v>
      </c>
      <c r="R27" s="1509" t="s">
        <v>8</v>
      </c>
      <c r="S27" s="1510">
        <f t="shared" si="12"/>
        <v>98</v>
      </c>
      <c r="T27" s="1509" t="s">
        <v>8</v>
      </c>
      <c r="U27" s="1510">
        <f t="shared" si="13"/>
        <v>99</v>
      </c>
      <c r="V27" s="1509" t="s">
        <v>8</v>
      </c>
      <c r="W27" s="1510">
        <f t="shared" si="14"/>
        <v>100</v>
      </c>
      <c r="X27" s="1511"/>
      <c r="Y27" s="3664"/>
      <c r="Z27" s="1512" t="str">
        <f t="shared" si="15"/>
        <v>项目停车位配比</v>
      </c>
      <c r="AA27" s="1508">
        <f t="shared" si="3"/>
        <v>1.0204081632653061</v>
      </c>
      <c r="AB27" s="1508">
        <f t="shared" si="4"/>
        <v>1.0101010101010102</v>
      </c>
      <c r="AC27" s="1508">
        <f t="shared" si="5"/>
        <v>1</v>
      </c>
    </row>
    <row r="28" spans="1:29" ht="15">
      <c r="A28" s="917"/>
      <c r="B28" s="575" t="s">
        <v>801</v>
      </c>
      <c r="C28" s="567" t="s">
        <v>3300</v>
      </c>
      <c r="D28" s="533">
        <v>100</v>
      </c>
      <c r="E28" s="567" t="s">
        <v>3300</v>
      </c>
      <c r="F28" s="568">
        <f>SUMIF(83:83,E28,84:84)-SUMIF(83:83,C28,84:84)+100</f>
        <v>100</v>
      </c>
      <c r="G28" s="567" t="s">
        <v>3300</v>
      </c>
      <c r="H28" s="533">
        <f>SUMIF(83:83,G28,84:84)-SUMIF(83:83,C28,84:84)+100</f>
        <v>100</v>
      </c>
      <c r="I28" s="567" t="s">
        <v>3300</v>
      </c>
      <c r="J28" s="533">
        <f>SUMIF(83:83,I28,84:84)-SUMIF(83:83,C28,84:84)+100</f>
        <v>100</v>
      </c>
      <c r="K28" s="577">
        <v>2</v>
      </c>
      <c r="L28" s="2021"/>
      <c r="M28" s="2013"/>
      <c r="N28" s="2013"/>
      <c r="O28" s="2020"/>
      <c r="P28" s="3664"/>
      <c r="Q28" s="1504" t="str">
        <f t="shared" si="11"/>
        <v>公共部分装修</v>
      </c>
      <c r="R28" s="1505" t="s">
        <v>8</v>
      </c>
      <c r="S28" s="1506">
        <f t="shared" si="12"/>
        <v>100</v>
      </c>
      <c r="T28" s="1505" t="s">
        <v>8</v>
      </c>
      <c r="U28" s="1506">
        <f t="shared" si="13"/>
        <v>100</v>
      </c>
      <c r="V28" s="1505" t="s">
        <v>8</v>
      </c>
      <c r="W28" s="1506">
        <f t="shared" si="14"/>
        <v>100</v>
      </c>
      <c r="X28" s="1499"/>
      <c r="Y28" s="3664"/>
      <c r="Z28" s="1507" t="str">
        <f t="shared" si="15"/>
        <v>公共部分装修</v>
      </c>
      <c r="AA28" s="1508">
        <f t="shared" si="3"/>
        <v>1</v>
      </c>
      <c r="AB28" s="1508">
        <f t="shared" si="4"/>
        <v>1</v>
      </c>
      <c r="AC28" s="1508">
        <f t="shared" si="5"/>
        <v>1</v>
      </c>
    </row>
    <row r="29" spans="1:29" ht="15">
      <c r="A29" s="917"/>
      <c r="B29" s="575" t="s">
        <v>802</v>
      </c>
      <c r="C29" s="871">
        <v>1</v>
      </c>
      <c r="D29" s="533">
        <v>100</v>
      </c>
      <c r="E29" s="871">
        <v>0.9</v>
      </c>
      <c r="F29" s="568">
        <f>LOOKUP(E29,86:86,87:87)-LOOKUP(C29,86:86,87:87)+100</f>
        <v>100</v>
      </c>
      <c r="G29" s="871">
        <v>0.92</v>
      </c>
      <c r="H29" s="568">
        <f>LOOKUP(G29,86:86,87:87)-LOOKUP(C29,86:86,87:87)+100</f>
        <v>100</v>
      </c>
      <c r="I29" s="871">
        <v>1</v>
      </c>
      <c r="J29" s="533">
        <f>LOOKUP(I29,86:86,87:87)-LOOKUP(C29,86:86,87:87)+100</f>
        <v>100</v>
      </c>
      <c r="K29" s="577">
        <v>2</v>
      </c>
      <c r="L29" s="2021"/>
      <c r="M29" s="2013"/>
      <c r="N29" s="2013"/>
      <c r="O29" s="2020"/>
      <c r="P29" s="3664"/>
      <c r="Q29" s="1504" t="str">
        <f t="shared" si="11"/>
        <v>成新率</v>
      </c>
      <c r="R29" s="1505" t="s">
        <v>8</v>
      </c>
      <c r="S29" s="1506">
        <f t="shared" si="12"/>
        <v>100</v>
      </c>
      <c r="T29" s="1505" t="s">
        <v>8</v>
      </c>
      <c r="U29" s="1506">
        <f t="shared" si="13"/>
        <v>100</v>
      </c>
      <c r="V29" s="1505" t="s">
        <v>8</v>
      </c>
      <c r="W29" s="1506">
        <f t="shared" si="14"/>
        <v>100</v>
      </c>
      <c r="X29" s="1499"/>
      <c r="Y29" s="3664"/>
      <c r="Z29" s="1507" t="str">
        <f t="shared" si="15"/>
        <v>成新率</v>
      </c>
      <c r="AA29" s="1508">
        <f t="shared" si="3"/>
        <v>1</v>
      </c>
      <c r="AB29" s="1508">
        <f t="shared" si="4"/>
        <v>1</v>
      </c>
      <c r="AC29" s="1508">
        <f t="shared" si="5"/>
        <v>1</v>
      </c>
    </row>
    <row r="30" spans="1:29" ht="15">
      <c r="A30" s="917"/>
      <c r="B30" s="575" t="s">
        <v>803</v>
      </c>
      <c r="C30" s="918" t="s">
        <v>3296</v>
      </c>
      <c r="D30" s="533">
        <v>100</v>
      </c>
      <c r="E30" s="918" t="s">
        <v>3296</v>
      </c>
      <c r="F30" s="568">
        <f>SUMIF(88:88,E30,89:89)-SUMIF(88:88,C30,89:89)+100</f>
        <v>100</v>
      </c>
      <c r="G30" s="918" t="s">
        <v>3296</v>
      </c>
      <c r="H30" s="533">
        <f>SUMIF(88:88,E30,89:89)-SUMIF(88:88,C30,89:89)+100</f>
        <v>100</v>
      </c>
      <c r="I30" s="918" t="s">
        <v>3296</v>
      </c>
      <c r="J30" s="533">
        <f>SUMIF(88:88,E30,89:89)-SUMIF(88:88,C30,89:89)+100</f>
        <v>100</v>
      </c>
      <c r="K30" s="577">
        <v>3</v>
      </c>
      <c r="L30" s="2021"/>
      <c r="M30" s="2013"/>
      <c r="N30" s="2013"/>
      <c r="O30" s="2020"/>
      <c r="P30" s="3664"/>
      <c r="Q30" s="1504" t="str">
        <f t="shared" si="11"/>
        <v>物业等级</v>
      </c>
      <c r="R30" s="1505" t="s">
        <v>8</v>
      </c>
      <c r="S30" s="1506">
        <f t="shared" si="12"/>
        <v>100</v>
      </c>
      <c r="T30" s="1505" t="s">
        <v>8</v>
      </c>
      <c r="U30" s="1506">
        <f t="shared" si="13"/>
        <v>100</v>
      </c>
      <c r="V30" s="1505" t="s">
        <v>8</v>
      </c>
      <c r="W30" s="1506">
        <f t="shared" si="14"/>
        <v>100</v>
      </c>
      <c r="X30" s="1499"/>
      <c r="Y30" s="3664"/>
      <c r="Z30" s="1507" t="str">
        <f t="shared" si="15"/>
        <v>物业等级</v>
      </c>
      <c r="AA30" s="1508">
        <f t="shared" si="3"/>
        <v>1</v>
      </c>
      <c r="AB30" s="1508">
        <f t="shared" si="4"/>
        <v>1</v>
      </c>
      <c r="AC30" s="1508">
        <f t="shared" si="5"/>
        <v>1</v>
      </c>
    </row>
    <row r="31" spans="1:29" s="1200" customFormat="1" ht="15">
      <c r="A31" s="919"/>
      <c r="B31" s="575" t="s">
        <v>804</v>
      </c>
      <c r="C31" s="868">
        <f>ROUND(53073.6/2002,0)</f>
        <v>27</v>
      </c>
      <c r="D31" s="252">
        <v>100</v>
      </c>
      <c r="E31" s="868">
        <f>住宅及车库案例!N2</f>
        <v>33</v>
      </c>
      <c r="F31" s="568">
        <f>LOOKUP(E31,91:91,92:92)-LOOKUP(C31,91:91,92:92)+100</f>
        <v>101</v>
      </c>
      <c r="G31" s="868">
        <f>住宅及车库案例!N3</f>
        <v>36</v>
      </c>
      <c r="H31" s="533">
        <f>LOOKUP(G31,91:91,92:92)-LOOKUP(C31,91:91,92:92)+100</f>
        <v>101</v>
      </c>
      <c r="I31" s="868">
        <f>住宅及车库案例!N9</f>
        <v>30</v>
      </c>
      <c r="J31" s="533">
        <f>LOOKUP(I31,91:91,92:92)-LOOKUP(C31,91:91,92:92)+100</f>
        <v>101</v>
      </c>
      <c r="K31" s="577"/>
      <c r="L31" s="2014"/>
      <c r="M31" s="2015"/>
      <c r="N31" s="2015"/>
      <c r="O31" s="2016"/>
      <c r="P31" s="3664"/>
      <c r="Q31" s="1131" t="str">
        <f t="shared" si="11"/>
        <v>停车位面积</v>
      </c>
      <c r="R31" s="1500" t="s">
        <v>8</v>
      </c>
      <c r="S31" s="1501">
        <f t="shared" si="12"/>
        <v>101</v>
      </c>
      <c r="T31" s="1500" t="s">
        <v>8</v>
      </c>
      <c r="U31" s="1501">
        <f t="shared" si="13"/>
        <v>101</v>
      </c>
      <c r="V31" s="1500" t="s">
        <v>8</v>
      </c>
      <c r="W31" s="1501">
        <f t="shared" si="14"/>
        <v>101</v>
      </c>
      <c r="X31" s="1502"/>
      <c r="Y31" s="3664"/>
      <c r="Z31" s="1130" t="str">
        <f t="shared" si="15"/>
        <v>停车位面积</v>
      </c>
      <c r="AA31" s="1503">
        <f t="shared" si="3"/>
        <v>0.99009900990099009</v>
      </c>
      <c r="AB31" s="1503">
        <f t="shared" si="4"/>
        <v>0.99009900990099009</v>
      </c>
      <c r="AC31" s="1503">
        <f t="shared" si="5"/>
        <v>0.99009900990099009</v>
      </c>
    </row>
    <row r="32" spans="1:29" ht="15.75" thickBot="1">
      <c r="A32" s="917"/>
      <c r="B32" s="575" t="s">
        <v>805</v>
      </c>
      <c r="C32" s="567" t="s">
        <v>3341</v>
      </c>
      <c r="D32" s="533">
        <v>100</v>
      </c>
      <c r="E32" s="567" t="s">
        <v>3341</v>
      </c>
      <c r="F32" s="568">
        <f>SUMIF(93:93,E32,94:94)-SUMIF(93:93,C32,94:94)+100</f>
        <v>100</v>
      </c>
      <c r="G32" s="567" t="s">
        <v>3341</v>
      </c>
      <c r="H32" s="533">
        <f>SUMIF(93:93,G32,94:94)-SUMIF(93:93,C32,94:94)+100</f>
        <v>100</v>
      </c>
      <c r="I32" s="567" t="s">
        <v>3341</v>
      </c>
      <c r="J32" s="533">
        <f>SUMIF(93:93,I32,94:94)-SUMIF(93:93,C32,94:94)+100</f>
        <v>100</v>
      </c>
      <c r="K32" s="577">
        <v>5</v>
      </c>
      <c r="L32" s="2021"/>
      <c r="M32" s="2013"/>
      <c r="N32" s="2013"/>
      <c r="O32" s="2020"/>
      <c r="P32" s="3664" t="s">
        <v>544</v>
      </c>
      <c r="Q32" s="1504" t="str">
        <f t="shared" si="11"/>
        <v>车位类型</v>
      </c>
      <c r="R32" s="1505" t="s">
        <v>8</v>
      </c>
      <c r="S32" s="1506">
        <f t="shared" si="12"/>
        <v>100</v>
      </c>
      <c r="T32" s="1505" t="s">
        <v>8</v>
      </c>
      <c r="U32" s="1506">
        <f t="shared" si="13"/>
        <v>100</v>
      </c>
      <c r="V32" s="1505" t="s">
        <v>8</v>
      </c>
      <c r="W32" s="1506">
        <f t="shared" si="14"/>
        <v>100</v>
      </c>
      <c r="X32" s="1499"/>
      <c r="Y32" s="3664" t="s">
        <v>544</v>
      </c>
      <c r="Z32" s="1507" t="str">
        <f t="shared" si="15"/>
        <v>车位类型</v>
      </c>
      <c r="AA32" s="1508">
        <f t="shared" si="3"/>
        <v>1</v>
      </c>
      <c r="AB32" s="1508">
        <f t="shared" si="4"/>
        <v>1</v>
      </c>
      <c r="AC32" s="1508">
        <f t="shared" si="5"/>
        <v>1</v>
      </c>
    </row>
    <row r="33" spans="1:29" ht="15" hidden="1">
      <c r="A33" s="917"/>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664"/>
      <c r="Q33" s="1504" t="str">
        <f t="shared" si="11"/>
        <v>是否直接入户</v>
      </c>
      <c r="R33" s="1505" t="s">
        <v>8</v>
      </c>
      <c r="S33" s="1506">
        <f t="shared" si="12"/>
        <v>100</v>
      </c>
      <c r="T33" s="1505" t="s">
        <v>8</v>
      </c>
      <c r="U33" s="1506">
        <f t="shared" si="13"/>
        <v>100</v>
      </c>
      <c r="V33" s="1505" t="s">
        <v>8</v>
      </c>
      <c r="W33" s="1506">
        <f t="shared" si="14"/>
        <v>100</v>
      </c>
      <c r="X33" s="1499"/>
      <c r="Y33" s="3664"/>
      <c r="Z33" s="1507" t="str">
        <f t="shared" si="15"/>
        <v>是否直接入户</v>
      </c>
      <c r="AA33" s="1508">
        <f t="shared" si="3"/>
        <v>1</v>
      </c>
      <c r="AB33" s="1508">
        <f t="shared" si="4"/>
        <v>1</v>
      </c>
      <c r="AC33" s="1508">
        <f t="shared" si="5"/>
        <v>1</v>
      </c>
    </row>
    <row r="34" spans="1:29" ht="15" hidden="1">
      <c r="A34" s="917"/>
      <c r="B34" s="3352"/>
      <c r="C34" s="3354"/>
      <c r="D34" s="533">
        <v>100</v>
      </c>
      <c r="E34" s="3354"/>
      <c r="F34" s="568">
        <f>SUMIF(97:97,E34,98:98)-SUMIF(97:97,C34,98:98)+100</f>
        <v>100</v>
      </c>
      <c r="G34" s="3354"/>
      <c r="H34" s="533">
        <f>SUMIF(97:97,G34,98:98)-SUMIF(97:97,C34,98:98)+100</f>
        <v>100</v>
      </c>
      <c r="I34" s="3354"/>
      <c r="J34" s="533">
        <f>SUMIF(97:97,I34,98:98)-SUMIF(97:97,C34,98:98)+100</f>
        <v>100</v>
      </c>
      <c r="K34" s="574"/>
      <c r="L34" s="2021"/>
      <c r="M34" s="2013"/>
      <c r="N34" s="2013"/>
      <c r="O34" s="2020"/>
      <c r="P34" s="3664"/>
      <c r="Q34" s="1504">
        <f t="shared" si="11"/>
        <v>0</v>
      </c>
      <c r="R34" s="1505" t="s">
        <v>8</v>
      </c>
      <c r="S34" s="1506">
        <f t="shared" si="12"/>
        <v>100</v>
      </c>
      <c r="T34" s="1505" t="s">
        <v>8</v>
      </c>
      <c r="U34" s="1506">
        <f t="shared" si="13"/>
        <v>100</v>
      </c>
      <c r="V34" s="1505" t="s">
        <v>8</v>
      </c>
      <c r="W34" s="1506">
        <f t="shared" si="14"/>
        <v>100</v>
      </c>
      <c r="X34" s="1499"/>
      <c r="Y34" s="3664"/>
      <c r="Z34" s="1507">
        <f t="shared" si="15"/>
        <v>0</v>
      </c>
      <c r="AA34" s="1508">
        <f t="shared" si="3"/>
        <v>1</v>
      </c>
      <c r="AB34" s="1508">
        <f t="shared" si="4"/>
        <v>1</v>
      </c>
      <c r="AC34" s="1508">
        <f t="shared" si="5"/>
        <v>1</v>
      </c>
    </row>
    <row r="35" spans="1:29" s="1290" customFormat="1" ht="15" hidden="1">
      <c r="A35" s="915"/>
      <c r="B35" s="911">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664"/>
      <c r="Q35" s="1533">
        <f t="shared" si="11"/>
        <v>111</v>
      </c>
      <c r="R35" s="1509" t="s">
        <v>8</v>
      </c>
      <c r="S35" s="1510">
        <f t="shared" si="12"/>
        <v>100</v>
      </c>
      <c r="T35" s="1509" t="s">
        <v>8</v>
      </c>
      <c r="U35" s="1510">
        <f t="shared" si="13"/>
        <v>100</v>
      </c>
      <c r="V35" s="1509" t="s">
        <v>8</v>
      </c>
      <c r="W35" s="1510">
        <f t="shared" si="14"/>
        <v>100</v>
      </c>
      <c r="X35" s="1511"/>
      <c r="Y35" s="3664"/>
      <c r="Z35" s="1512">
        <f t="shared" si="15"/>
        <v>111</v>
      </c>
      <c r="AA35" s="1508">
        <f t="shared" si="3"/>
        <v>1</v>
      </c>
      <c r="AB35" s="1508">
        <f t="shared" si="4"/>
        <v>1</v>
      </c>
      <c r="AC35" s="1508">
        <f t="shared" si="5"/>
        <v>1</v>
      </c>
    </row>
    <row r="36" spans="1:29" ht="15.75" hidden="1" thickBot="1">
      <c r="A36" s="920"/>
      <c r="B36" s="900">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664"/>
      <c r="Q36" s="1504">
        <f t="shared" si="11"/>
        <v>111</v>
      </c>
      <c r="R36" s="1505" t="s">
        <v>8</v>
      </c>
      <c r="S36" s="1506">
        <f t="shared" si="12"/>
        <v>100</v>
      </c>
      <c r="T36" s="1505" t="s">
        <v>8</v>
      </c>
      <c r="U36" s="1506">
        <f t="shared" si="13"/>
        <v>100</v>
      </c>
      <c r="V36" s="1505" t="s">
        <v>8</v>
      </c>
      <c r="W36" s="1506">
        <f t="shared" si="14"/>
        <v>100</v>
      </c>
      <c r="X36" s="1499"/>
      <c r="Y36" s="3664"/>
      <c r="Z36" s="1507">
        <f t="shared" si="15"/>
        <v>111</v>
      </c>
      <c r="AA36" s="1508">
        <f t="shared" si="3"/>
        <v>1</v>
      </c>
      <c r="AB36" s="1508">
        <f t="shared" si="4"/>
        <v>1</v>
      </c>
      <c r="AC36" s="1508">
        <f t="shared" si="5"/>
        <v>1</v>
      </c>
    </row>
    <row r="37" spans="1:29" ht="15">
      <c r="A37" s="1757" t="s">
        <v>2064</v>
      </c>
      <c r="B37" s="1758" t="s">
        <v>2065</v>
      </c>
      <c r="C37" s="2467" t="s">
        <v>1</v>
      </c>
      <c r="D37" s="2468"/>
      <c r="E37" s="2469">
        <f>住宅及车库案例!K2</f>
        <v>5131</v>
      </c>
      <c r="F37" s="2470"/>
      <c r="G37" s="2471">
        <f>住宅及车库案例!K3</f>
        <v>7187</v>
      </c>
      <c r="H37" s="2472"/>
      <c r="I37" s="2469">
        <f>住宅及车库案例!K9</f>
        <v>5728</v>
      </c>
      <c r="J37" s="2472"/>
      <c r="K37" s="1538"/>
      <c r="L37" s="2023"/>
      <c r="M37" s="2024"/>
      <c r="N37" s="2013"/>
      <c r="O37" s="2024"/>
      <c r="P37" s="3627" t="str">
        <f>A37</f>
        <v>成交单价</v>
      </c>
      <c r="Q37" s="3627"/>
      <c r="R37" s="3666">
        <f>E37</f>
        <v>5131</v>
      </c>
      <c r="S37" s="3666"/>
      <c r="T37" s="3666">
        <f>G37</f>
        <v>7187</v>
      </c>
      <c r="U37" s="3666"/>
      <c r="V37" s="3666">
        <f>I37</f>
        <v>5728</v>
      </c>
      <c r="W37" s="3666"/>
      <c r="X37" s="1494"/>
      <c r="Y37" s="1513"/>
      <c r="Z37" s="1494"/>
      <c r="AA37" s="1494"/>
      <c r="AB37" s="1494"/>
      <c r="AC37" s="1494"/>
    </row>
    <row r="38" spans="1:29" ht="15.75" thickBot="1">
      <c r="A38" s="608" t="s">
        <v>2737</v>
      </c>
      <c r="B38" s="874"/>
      <c r="C38" s="2473">
        <f>R39</f>
        <v>5839</v>
      </c>
      <c r="D38" s="3009" t="s">
        <v>2949</v>
      </c>
      <c r="E38" s="2474">
        <f>R38</f>
        <v>5184</v>
      </c>
      <c r="F38" s="3010"/>
      <c r="G38" s="2473">
        <f>T38</f>
        <v>6773</v>
      </c>
      <c r="H38" s="3010"/>
      <c r="I38" s="2474">
        <f>V38</f>
        <v>5560</v>
      </c>
      <c r="J38" s="3010"/>
      <c r="K38" s="3018">
        <f>F38+H38+J38</f>
        <v>0</v>
      </c>
      <c r="L38" s="2023"/>
      <c r="M38" s="2024"/>
      <c r="N38" s="2024"/>
      <c r="O38" s="2024"/>
      <c r="P38" s="3627" t="str">
        <f>A38</f>
        <v>比较价格（元/平方米）</v>
      </c>
      <c r="Q38" s="3627"/>
      <c r="R38" s="3666">
        <f>IF(F1="售价",ROUND(PRODUCT(R37,AA7:AA36),0),ROUND(PRODUCT(R37,AA7:AA36),1))</f>
        <v>5184</v>
      </c>
      <c r="S38" s="3666"/>
      <c r="T38" s="3666">
        <f>IF(F1="售价",ROUND(PRODUCT(T37,AB7:AB36),0),ROUND(PRODUCT(T37,AB7:AB36),1))</f>
        <v>6773</v>
      </c>
      <c r="U38" s="3666"/>
      <c r="V38" s="3666">
        <f>IF(F1="售价",ROUND(PRODUCT(V37,AC7:AC36),0),ROUND(PRODUCT(V37,AC7:AC36),1))</f>
        <v>5560</v>
      </c>
      <c r="W38" s="3666"/>
      <c r="X38" s="1494"/>
      <c r="Y38" s="1494"/>
      <c r="Z38" s="1494"/>
      <c r="AA38" s="1494"/>
      <c r="AB38" s="1494"/>
      <c r="AC38" s="1494"/>
    </row>
    <row r="39" spans="1:29" ht="15.75" thickBot="1">
      <c r="A39" s="612" t="s">
        <v>2881</v>
      </c>
      <c r="B39" s="613"/>
      <c r="C39" s="2475">
        <f>R39</f>
        <v>5839</v>
      </c>
      <c r="D39" s="2475"/>
      <c r="E39" s="2475"/>
      <c r="F39" s="2475"/>
      <c r="G39" s="2475"/>
      <c r="H39" s="2475"/>
      <c r="I39" s="2475"/>
      <c r="J39" s="2475"/>
      <c r="K39" s="1539"/>
      <c r="L39" s="2023"/>
      <c r="M39" s="2024"/>
      <c r="N39" s="2024"/>
      <c r="O39" s="2024"/>
      <c r="P39" s="3624" t="str">
        <f>A39</f>
        <v>估价对象XX用房的比较价格（楼面单价，元/平方米）</v>
      </c>
      <c r="Q39" s="3625"/>
      <c r="R39" s="3665">
        <f>IF(F1="售价",ROUND(IF(D38="简单平均",AVERAGE(R38:W38),R38*F38+T38*H38+V38*J38),0),ROUND(IF(D38="简单平均",AVERAGE(R38:V38),R38*F38+T38*H38+V38*J38),1))</f>
        <v>5839</v>
      </c>
      <c r="S39" s="3665"/>
      <c r="T39" s="3665"/>
      <c r="U39" s="3665"/>
      <c r="V39" s="3665"/>
      <c r="W39" s="3665"/>
      <c r="X39" s="1494"/>
      <c r="Y39" s="1494"/>
      <c r="Z39" s="1494"/>
      <c r="AA39" s="1494"/>
      <c r="AB39" s="1494"/>
      <c r="AC39" s="1494"/>
    </row>
    <row r="40" spans="1:29">
      <c r="A40" s="3207"/>
      <c r="B40" s="3207"/>
      <c r="C40" s="3207"/>
      <c r="D40" s="3207"/>
      <c r="E40" s="3207">
        <v>2015</v>
      </c>
      <c r="F40" s="3207"/>
      <c r="G40" s="3355">
        <v>2016</v>
      </c>
      <c r="H40" s="3207"/>
      <c r="I40" s="3207"/>
      <c r="J40" s="3207"/>
      <c r="K40" s="3210"/>
      <c r="L40" s="2028"/>
      <c r="M40" s="2024"/>
      <c r="N40" s="2024"/>
      <c r="O40" s="2024"/>
      <c r="P40" s="2024"/>
      <c r="Q40" s="2024"/>
      <c r="R40" s="2024"/>
      <c r="S40" s="2024"/>
      <c r="T40" s="2024"/>
      <c r="U40" s="2024"/>
      <c r="V40" s="2024"/>
      <c r="W40" s="2024"/>
      <c r="X40" s="2024"/>
      <c r="Y40" s="2024"/>
      <c r="Z40" s="2024"/>
      <c r="AA40" s="2024"/>
      <c r="AB40" s="2024"/>
      <c r="AC40" s="2024"/>
    </row>
    <row r="41" spans="1:29">
      <c r="A41" s="3207"/>
      <c r="B41" s="3207"/>
      <c r="C41" s="3207"/>
      <c r="D41" s="3207"/>
      <c r="E41" s="3207">
        <f>54/60</f>
        <v>0.9</v>
      </c>
      <c r="F41" s="3207"/>
      <c r="G41" s="3207">
        <f>55/60</f>
        <v>0.91666666666666663</v>
      </c>
      <c r="H41" s="3207"/>
      <c r="I41" s="3207"/>
      <c r="J41" s="3207"/>
      <c r="K41" s="3210"/>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7"/>
      <c r="B42" s="3207"/>
      <c r="C42" s="615" t="s">
        <v>551</v>
      </c>
      <c r="D42" s="616"/>
      <c r="E42" s="617">
        <f>IF(E37&lt;E38,E38/E37-1,E37/E38-1)</f>
        <v>1.0329370493081358E-2</v>
      </c>
      <c r="F42" s="618" t="str">
        <f>IF(OR(E42&gt;=0.3,E42&lt;=-0.3),"超过30%","")</f>
        <v/>
      </c>
      <c r="G42" s="617">
        <f>IF(G37&lt;G38,G38/G37-1,G37/G38-1)</f>
        <v>6.1125055366898051E-2</v>
      </c>
      <c r="H42" s="618" t="str">
        <f>IF(OR(G42&gt;=0.3,G42&lt;=-0.3),"超过30%","")</f>
        <v/>
      </c>
      <c r="I42" s="617">
        <f>IF(I37&lt;I38,I38/I37-1,I37/I38-1)</f>
        <v>3.0215827338129442E-2</v>
      </c>
      <c r="J42" s="618" t="str">
        <f>IF(OR(I42&gt;=0.3,I42&lt;=-0.3),"超过30%","")</f>
        <v/>
      </c>
      <c r="K42" s="3210"/>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7"/>
      <c r="B43" s="3207"/>
      <c r="C43" s="615" t="s">
        <v>552</v>
      </c>
      <c r="D43" s="619"/>
      <c r="E43" s="617">
        <f>IF(E38&lt;G38,G38/E38-1,E38/G38-1)</f>
        <v>0.30652006172839497</v>
      </c>
      <c r="F43" s="618" t="str">
        <f>IF(OR(E43&gt;=0.2,E43&lt;=-0.2),"超过20%","")</f>
        <v>超过20%</v>
      </c>
      <c r="G43" s="617">
        <f>IF(G38&lt;I38,I38/G38-1,G38/I38-1)</f>
        <v>0.21816546762589928</v>
      </c>
      <c r="H43" s="618" t="str">
        <f>IF(OR(G43&gt;=0.2,G43&lt;=-0.2),"超过20%","")</f>
        <v>超过20%</v>
      </c>
      <c r="I43" s="617">
        <f>IF(I38&lt;E38,E38/I38-1,I38/E38-1)</f>
        <v>7.2530864197530853E-2</v>
      </c>
      <c r="J43" s="618" t="str">
        <f>IF(OR(I43&gt;=0.2,I43&lt;=-0.2),"超过20%","")</f>
        <v/>
      </c>
      <c r="K43" s="3210"/>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08"/>
      <c r="B44" s="3208"/>
      <c r="C44" s="615" t="s">
        <v>553</v>
      </c>
      <c r="D44" s="619"/>
      <c r="E44" s="617">
        <f>IF(E37&lt;G37,G37/E37-1,E37/G37-1)</f>
        <v>0.40070161761839795</v>
      </c>
      <c r="F44" s="618" t="str">
        <f>IF(OR(E44&gt;=0.3,E44&lt;=-0.3),"超过30%","")</f>
        <v>超过30%</v>
      </c>
      <c r="G44" s="617">
        <f>IF(G37&lt;I37,I37/G37-1,G37/I37-1)</f>
        <v>0.25471368715083798</v>
      </c>
      <c r="H44" s="618" t="str">
        <f>IF(OR(G44&gt;=0.3,G44&lt;=-0.3),"超过30%","")</f>
        <v/>
      </c>
      <c r="I44" s="617">
        <f>IF(I37&lt;E37,E37/I37-1,I37/E37-1)</f>
        <v>0.11635158838433046</v>
      </c>
      <c r="J44" s="618" t="str">
        <f>IF(OR(I44&gt;=0.3,I44&lt;=-0.3),"超过30%","")</f>
        <v/>
      </c>
      <c r="K44" s="3211"/>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5">
      <c r="A48" s="636" t="s">
        <v>523</v>
      </c>
      <c r="B48" s="637"/>
      <c r="C48" s="2516" t="str">
        <f>YEAR(C7)&amp;"-"&amp;MONTH(C7)</f>
        <v>2021-12</v>
      </c>
      <c r="D48" s="2518">
        <f>EDATE(C48,-1)</f>
        <v>44501</v>
      </c>
      <c r="E48" s="2518">
        <f t="shared" ref="E48:O48" si="16">EDATE(D48,-1)</f>
        <v>44470</v>
      </c>
      <c r="F48" s="2518">
        <f t="shared" si="16"/>
        <v>44440</v>
      </c>
      <c r="G48" s="2518">
        <f t="shared" si="16"/>
        <v>44409</v>
      </c>
      <c r="H48" s="2518">
        <f t="shared" si="16"/>
        <v>44378</v>
      </c>
      <c r="I48" s="2518">
        <f t="shared" si="16"/>
        <v>44348</v>
      </c>
      <c r="J48" s="2518">
        <f t="shared" si="16"/>
        <v>44317</v>
      </c>
      <c r="K48" s="2518">
        <f t="shared" si="16"/>
        <v>44287</v>
      </c>
      <c r="L48" s="2518">
        <f t="shared" si="16"/>
        <v>44256</v>
      </c>
      <c r="M48" s="2518">
        <f t="shared" si="16"/>
        <v>44228</v>
      </c>
      <c r="N48" s="2518">
        <f t="shared" si="16"/>
        <v>44197</v>
      </c>
      <c r="O48" s="2518">
        <f t="shared" si="16"/>
        <v>44166</v>
      </c>
      <c r="P48" s="2038"/>
      <c r="Q48" s="2039"/>
      <c r="R48" s="2039"/>
      <c r="S48" s="2039"/>
      <c r="T48" s="2039"/>
      <c r="U48" s="2039"/>
      <c r="V48" s="2039"/>
      <c r="W48" s="2039"/>
      <c r="X48" s="2039"/>
      <c r="Y48" s="2039"/>
      <c r="Z48" s="2039"/>
      <c r="AA48" s="2039"/>
      <c r="AB48" s="2039"/>
      <c r="AC48" s="2039"/>
    </row>
    <row r="49" spans="1:29" s="1200" customFormat="1" ht="15">
      <c r="A49" s="638"/>
      <c r="B49" s="639"/>
      <c r="C49" s="2517">
        <v>100</v>
      </c>
      <c r="D49" s="641">
        <f>C49</f>
        <v>100</v>
      </c>
      <c r="E49" s="641">
        <f t="shared" ref="E49:M49" si="17">D49</f>
        <v>100</v>
      </c>
      <c r="F49" s="641">
        <f t="shared" si="17"/>
        <v>100</v>
      </c>
      <c r="G49" s="641">
        <f t="shared" si="17"/>
        <v>100</v>
      </c>
      <c r="H49" s="641">
        <f t="shared" si="17"/>
        <v>100</v>
      </c>
      <c r="I49" s="641">
        <f t="shared" si="17"/>
        <v>100</v>
      </c>
      <c r="J49" s="641">
        <f t="shared" si="17"/>
        <v>100</v>
      </c>
      <c r="K49" s="641">
        <f t="shared" si="17"/>
        <v>100</v>
      </c>
      <c r="L49" s="641">
        <f t="shared" si="17"/>
        <v>100</v>
      </c>
      <c r="M49" s="641">
        <f t="shared" si="17"/>
        <v>100</v>
      </c>
      <c r="N49" s="641"/>
      <c r="O49" s="643"/>
      <c r="P49" s="2036"/>
      <c r="Q49" s="1902"/>
      <c r="R49" s="1902"/>
      <c r="S49" s="1902"/>
      <c r="T49" s="1902"/>
      <c r="U49" s="1902"/>
      <c r="V49" s="1902"/>
      <c r="W49" s="1902"/>
      <c r="X49" s="1902"/>
      <c r="Y49" s="1902"/>
      <c r="Z49" s="1902"/>
      <c r="AA49" s="1902"/>
      <c r="AB49" s="1902"/>
      <c r="AC49" s="1902"/>
    </row>
    <row r="50" spans="1:29" s="1200"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0"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0"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t="str">
        <f>C9</f>
        <v>地下车库</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730</v>
      </c>
      <c r="D55" s="665" t="s">
        <v>731</v>
      </c>
      <c r="E55" s="665" t="s">
        <v>732</v>
      </c>
      <c r="F55" s="665" t="s">
        <v>733</v>
      </c>
      <c r="G55" s="665" t="s">
        <v>734</v>
      </c>
      <c r="H55" s="665" t="s">
        <v>735</v>
      </c>
      <c r="I55" s="665" t="s">
        <v>736</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1">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0"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0"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0"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0"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98</v>
      </c>
      <c r="E64" s="670">
        <f>D64-$K14</f>
        <v>96</v>
      </c>
      <c r="F64" s="670">
        <f>E64-$K14</f>
        <v>94</v>
      </c>
      <c r="G64" s="670">
        <f>F64-$K14</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2536</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98</v>
      </c>
      <c r="E66" s="670">
        <f>D66-$K16</f>
        <v>96</v>
      </c>
      <c r="F66" s="670">
        <f>E66-$K16</f>
        <v>94</v>
      </c>
      <c r="G66" s="670">
        <f>F66-$K16</f>
        <v>92</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2537</v>
      </c>
      <c r="C67" s="2439" t="s">
        <v>2538</v>
      </c>
      <c r="D67" s="2439" t="s">
        <v>2539</v>
      </c>
      <c r="E67" s="2439" t="s">
        <v>2540</v>
      </c>
      <c r="F67" s="2439" t="s">
        <v>2541</v>
      </c>
      <c r="G67" s="2439" t="s">
        <v>2542</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98</v>
      </c>
      <c r="E68" s="670">
        <f>D68-$K18</f>
        <v>96</v>
      </c>
      <c r="F68" s="670">
        <f>E68-$K18</f>
        <v>94</v>
      </c>
      <c r="G68" s="670">
        <f>F68-$K18</f>
        <v>92</v>
      </c>
      <c r="H68" s="921"/>
      <c r="I68" s="921"/>
      <c r="J68" s="921"/>
      <c r="K68" s="921"/>
      <c r="L68" s="921"/>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737</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98</v>
      </c>
      <c r="E70" s="670">
        <f>D70-$K20</f>
        <v>96</v>
      </c>
      <c r="F70" s="670">
        <f>E70-$K20</f>
        <v>94</v>
      </c>
      <c r="G70" s="670">
        <f>F70-$K20</f>
        <v>92</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738</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0" customFormat="1" ht="15.75" thickTop="1">
      <c r="A73" s="700"/>
      <c r="B73" s="664">
        <f>B23</f>
        <v>111</v>
      </c>
      <c r="C73" s="534"/>
      <c r="D73" s="534"/>
      <c r="E73" s="534"/>
      <c r="F73" s="534"/>
      <c r="G73" s="679"/>
      <c r="H73" s="679"/>
      <c r="I73" s="679"/>
      <c r="J73" s="679"/>
      <c r="K73" s="679"/>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0" customFormat="1" ht="15.75" thickTop="1">
      <c r="A75" s="700"/>
      <c r="B75" s="664">
        <f>B24</f>
        <v>111</v>
      </c>
      <c r="C75" s="534"/>
      <c r="D75" s="534"/>
      <c r="E75" s="534"/>
      <c r="F75" s="534"/>
      <c r="G75" s="679"/>
      <c r="H75" s="679"/>
      <c r="I75" s="679"/>
      <c r="J75" s="679"/>
      <c r="K75" s="679"/>
      <c r="L75" s="679"/>
      <c r="M75" s="877"/>
      <c r="N75" s="2040"/>
      <c r="O75" s="2040"/>
      <c r="P75" s="2043"/>
      <c r="Q75" s="2036"/>
      <c r="R75" s="1902"/>
      <c r="S75" s="1902"/>
      <c r="T75" s="1902"/>
      <c r="U75" s="1902"/>
      <c r="V75" s="1902"/>
      <c r="W75" s="1902"/>
      <c r="X75" s="1902"/>
      <c r="Y75" s="1902"/>
      <c r="Z75" s="1902"/>
      <c r="AA75" s="1902"/>
      <c r="AB75" s="1902"/>
      <c r="AC75" s="1902"/>
    </row>
    <row r="76" spans="1:29" s="1200"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0"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0"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807</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8">C80-$K26</f>
        <v>95</v>
      </c>
      <c r="E80" s="670">
        <f t="shared" si="18"/>
        <v>90</v>
      </c>
      <c r="F80" s="670">
        <f t="shared" si="18"/>
        <v>85</v>
      </c>
      <c r="G80" s="670">
        <f t="shared" si="18"/>
        <v>80</v>
      </c>
      <c r="H80" s="670">
        <f t="shared" si="18"/>
        <v>75</v>
      </c>
      <c r="I80" s="670">
        <f t="shared" si="18"/>
        <v>70</v>
      </c>
      <c r="J80" s="670">
        <f t="shared" si="18"/>
        <v>65</v>
      </c>
      <c r="K80" s="670">
        <f t="shared" si="18"/>
        <v>60</v>
      </c>
      <c r="L80" s="670">
        <f t="shared" si="18"/>
        <v>55</v>
      </c>
      <c r="M80" s="671">
        <f t="shared" si="18"/>
        <v>50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808</v>
      </c>
      <c r="C81" s="922" t="s">
        <v>3343</v>
      </c>
      <c r="D81" s="922" t="s">
        <v>3344</v>
      </c>
      <c r="E81" s="922" t="s">
        <v>3345</v>
      </c>
      <c r="F81" s="922" t="s">
        <v>3346</v>
      </c>
      <c r="G81" s="922" t="s">
        <v>3348</v>
      </c>
      <c r="H81" s="922" t="s">
        <v>3349</v>
      </c>
      <c r="I81" s="922" t="s">
        <v>3350</v>
      </c>
      <c r="J81" s="922" t="s">
        <v>3351</v>
      </c>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5.75" thickBot="1">
      <c r="A82" s="678"/>
      <c r="B82" s="669"/>
      <c r="C82" s="683">
        <v>100</v>
      </c>
      <c r="D82" s="662">
        <f>C82-0.5</f>
        <v>99.5</v>
      </c>
      <c r="E82" s="662">
        <f t="shared" ref="E82:J82" si="19">D82-0.5</f>
        <v>99</v>
      </c>
      <c r="F82" s="662">
        <f t="shared" si="19"/>
        <v>98.5</v>
      </c>
      <c r="G82" s="662">
        <f t="shared" si="19"/>
        <v>98</v>
      </c>
      <c r="H82" s="662">
        <f t="shared" si="19"/>
        <v>97.5</v>
      </c>
      <c r="I82" s="662">
        <f t="shared" si="19"/>
        <v>97</v>
      </c>
      <c r="J82" s="662">
        <f t="shared" si="19"/>
        <v>96.5</v>
      </c>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744</v>
      </c>
      <c r="C83" s="3330" t="s">
        <v>3292</v>
      </c>
      <c r="D83" s="3330" t="s">
        <v>3293</v>
      </c>
      <c r="E83" s="3329" t="s">
        <v>3294</v>
      </c>
      <c r="F83" s="3329" t="s">
        <v>3295</v>
      </c>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20">C84-$K28</f>
        <v>98</v>
      </c>
      <c r="E84" s="670">
        <f t="shared" si="20"/>
        <v>96</v>
      </c>
      <c r="F84" s="670">
        <f t="shared" si="20"/>
        <v>94</v>
      </c>
      <c r="G84" s="670">
        <f t="shared" si="20"/>
        <v>92</v>
      </c>
      <c r="H84" s="670">
        <f t="shared" si="20"/>
        <v>90</v>
      </c>
      <c r="I84" s="670">
        <f t="shared" si="20"/>
        <v>88</v>
      </c>
      <c r="J84" s="670">
        <f t="shared" si="20"/>
        <v>86</v>
      </c>
      <c r="K84" s="670">
        <f t="shared" si="20"/>
        <v>84</v>
      </c>
      <c r="L84" s="670">
        <f t="shared" si="20"/>
        <v>82</v>
      </c>
      <c r="M84" s="671">
        <f t="shared" si="20"/>
        <v>80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102</v>
      </c>
      <c r="E87" s="670">
        <f t="shared" ref="E87:M87" si="21">D87+$K$29</f>
        <v>104</v>
      </c>
      <c r="F87" s="670">
        <f t="shared" si="21"/>
        <v>106</v>
      </c>
      <c r="G87" s="670">
        <f t="shared" si="21"/>
        <v>108</v>
      </c>
      <c r="H87" s="670">
        <f t="shared" si="21"/>
        <v>110</v>
      </c>
      <c r="I87" s="670">
        <f t="shared" si="21"/>
        <v>112</v>
      </c>
      <c r="J87" s="670">
        <f t="shared" si="21"/>
        <v>114</v>
      </c>
      <c r="K87" s="670">
        <f t="shared" si="21"/>
        <v>116</v>
      </c>
      <c r="L87" s="670">
        <f t="shared" si="21"/>
        <v>118</v>
      </c>
      <c r="M87" s="670">
        <f t="shared" si="21"/>
        <v>120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810</v>
      </c>
      <c r="C88" s="3341" t="s">
        <v>3338</v>
      </c>
      <c r="D88" s="3341" t="s">
        <v>3339</v>
      </c>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2">C89+$K30</f>
        <v>103</v>
      </c>
      <c r="E89" s="670">
        <f t="shared" si="22"/>
        <v>106</v>
      </c>
      <c r="F89" s="670">
        <f t="shared" si="22"/>
        <v>109</v>
      </c>
      <c r="G89" s="670">
        <f t="shared" si="22"/>
        <v>112</v>
      </c>
      <c r="H89" s="670">
        <f t="shared" si="22"/>
        <v>115</v>
      </c>
      <c r="I89" s="670">
        <f t="shared" si="22"/>
        <v>118</v>
      </c>
      <c r="J89" s="670">
        <f t="shared" si="22"/>
        <v>121</v>
      </c>
      <c r="K89" s="670">
        <f t="shared" si="22"/>
        <v>124</v>
      </c>
      <c r="L89" s="670">
        <f t="shared" si="22"/>
        <v>127</v>
      </c>
      <c r="M89" s="670">
        <f t="shared" si="22"/>
        <v>130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9"/>
      <c r="B90" s="664" t="s">
        <v>811</v>
      </c>
      <c r="C90" s="699" t="str">
        <f>C91&amp;"(含)"&amp;"-"&amp;D91</f>
        <v>0(含)-30</v>
      </c>
      <c r="D90" s="699" t="str">
        <f t="shared" ref="D90:L90" si="23">D91&amp;"(含)"&amp;"-"&amp;E91</f>
        <v>30(含)-60</v>
      </c>
      <c r="E90" s="699" t="str">
        <f t="shared" si="23"/>
        <v>60(含)-90</v>
      </c>
      <c r="F90" s="699" t="str">
        <f t="shared" si="23"/>
        <v>90(含)-</v>
      </c>
      <c r="G90" s="699" t="str">
        <f t="shared" si="23"/>
        <v>(含)-</v>
      </c>
      <c r="H90" s="699" t="str">
        <f t="shared" si="23"/>
        <v>(含)-</v>
      </c>
      <c r="I90" s="699" t="str">
        <f t="shared" si="23"/>
        <v>(含)-</v>
      </c>
      <c r="J90" s="699" t="str">
        <f t="shared" si="23"/>
        <v>(含)-</v>
      </c>
      <c r="K90" s="699" t="str">
        <f t="shared" si="23"/>
        <v>(含)-</v>
      </c>
      <c r="L90" s="699" t="str">
        <f t="shared" si="23"/>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9"/>
      <c r="B91" s="672"/>
      <c r="C91" s="721">
        <v>0</v>
      </c>
      <c r="D91" s="721">
        <v>30</v>
      </c>
      <c r="E91" s="721">
        <v>60</v>
      </c>
      <c r="F91" s="721">
        <v>90</v>
      </c>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v>100</v>
      </c>
      <c r="D92" s="662">
        <v>101</v>
      </c>
      <c r="E92" s="662">
        <v>102</v>
      </c>
      <c r="F92" s="662">
        <v>103</v>
      </c>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812</v>
      </c>
      <c r="C93" s="3330" t="s">
        <v>3340</v>
      </c>
      <c r="D93" s="3330" t="s">
        <v>3342</v>
      </c>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4">C94-$K32</f>
        <v>95</v>
      </c>
      <c r="E94" s="670">
        <f t="shared" si="24"/>
        <v>90</v>
      </c>
      <c r="F94" s="670">
        <f t="shared" si="24"/>
        <v>85</v>
      </c>
      <c r="G94" s="670">
        <f t="shared" si="24"/>
        <v>80</v>
      </c>
      <c r="H94" s="670">
        <f t="shared" si="24"/>
        <v>75</v>
      </c>
      <c r="I94" s="670">
        <f t="shared" si="24"/>
        <v>70</v>
      </c>
      <c r="J94" s="670">
        <f t="shared" si="24"/>
        <v>65</v>
      </c>
      <c r="K94" s="670">
        <f t="shared" si="24"/>
        <v>60</v>
      </c>
      <c r="L94" s="670">
        <f t="shared" si="24"/>
        <v>55</v>
      </c>
      <c r="M94" s="671">
        <f t="shared" si="24"/>
        <v>50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813</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3">
        <f>B34</f>
        <v>0</v>
      </c>
      <c r="C97" s="3353" t="s">
        <v>3354</v>
      </c>
      <c r="D97" s="3353" t="s">
        <v>3355</v>
      </c>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v>100</v>
      </c>
      <c r="D98" s="662">
        <v>97</v>
      </c>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0"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0"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18">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G17 C17 I17 E17" xr:uid="{00000000-0002-0000-1900-000002000000}">
      <formula1>公共配套设施</formula1>
    </dataValidation>
    <dataValidation type="list" allowBlank="1" showInputMessage="1" showErrorMessage="1" sqref="G15 E15 C15 I15" xr:uid="{00000000-0002-0000-1900-000003000000}">
      <formula1>交通便捷度</formula1>
    </dataValidation>
    <dataValidation type="list" allowBlank="1" showInputMessage="1" showErrorMessage="1" sqref="C8 E8 G8 I8" xr:uid="{00000000-0002-0000-1900-000004000000}">
      <formula1>车位交易情况</formula1>
    </dataValidation>
    <dataValidation type="list" allowBlank="1" showInputMessage="1" showErrorMessage="1" sqref="E9 G9 I9" xr:uid="{00000000-0002-0000-1900-000005000000}">
      <formula1>车位用途</formula1>
    </dataValidation>
    <dataValidation type="list" allowBlank="1" showInputMessage="1" showErrorMessage="1" sqref="C22 E22 G22 I22" xr:uid="{00000000-0002-0000-1900-000006000000}">
      <formula1>车位楼层</formula1>
    </dataValidation>
    <dataValidation type="list" allowBlank="1" showInputMessage="1" showErrorMessage="1" sqref="C30 E30 G30 I30" xr:uid="{00000000-0002-0000-1900-000007000000}">
      <formula1>车位物业等级</formula1>
    </dataValidation>
    <dataValidation type="list" allowBlank="1" showInputMessage="1" showErrorMessage="1" sqref="C32 E32 G32 I32" xr:uid="{00000000-0002-0000-1900-000008000000}">
      <formula1>车位类型</formula1>
    </dataValidation>
    <dataValidation type="list" allowBlank="1" showInputMessage="1" showErrorMessage="1" sqref="C33 E33 G33 I33" xr:uid="{00000000-0002-0000-1900-000009000000}">
      <formula1>是否直接入户</formula1>
    </dataValidation>
    <dataValidation type="list" allowBlank="1" showInputMessage="1" showErrorMessage="1" sqref="B1" xr:uid="{00000000-0002-0000-1900-00000A000000}">
      <formula1>地类判定</formula1>
    </dataValidation>
    <dataValidation type="list" allowBlank="1" showInputMessage="1" showErrorMessage="1" sqref="I26 E26 G26" xr:uid="{00000000-0002-0000-1900-00000B000000}">
      <formula1>车位配套类型</formula1>
    </dataValidation>
    <dataValidation type="list" allowBlank="1" showInputMessage="1" showErrorMessage="1" sqref="C28 E28 G28 I28" xr:uid="{00000000-0002-0000-1900-00000C000000}">
      <formula1>车位公共部分装修</formula1>
    </dataValidation>
    <dataValidation type="list" allowBlank="1" showInputMessage="1" showErrorMessage="1" sqref="B37" xr:uid="{00000000-0002-0000-1900-00000D000000}">
      <formula1>"元/平方米,元/车位"</formula1>
    </dataValidation>
    <dataValidation type="list" allowBlank="1" showInputMessage="1" showErrorMessage="1" sqref="C21 E21 G21 I21" xr:uid="{00000000-0002-0000-1900-00000E000000}">
      <formula1>环境</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F1" xr:uid="{00000000-0002-0000-1900-000010000000}">
      <formula1>"售价,租金"</formula1>
    </dataValidation>
    <dataValidation type="list" allowBlank="1" showInputMessage="1" showErrorMessage="1" sqref="D38"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3120</v>
      </c>
      <c r="C1" s="497" t="s">
        <v>785</v>
      </c>
      <c r="D1" s="837" t="s">
        <v>3115</v>
      </c>
      <c r="E1" s="499"/>
      <c r="F1" s="2521" t="s">
        <v>3282</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ROUND(B3*D3/10000,0)</f>
        <v>7911</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C37</f>
        <v>11806</v>
      </c>
      <c r="C3" s="840" t="s">
        <v>789</v>
      </c>
      <c r="D3" s="839">
        <f>SUMIF('数据-汇总表'!$C19:$C33,D1,'数据-汇总表'!$E19:$E33)</f>
        <v>6701</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790</v>
      </c>
      <c r="B4" s="506"/>
      <c r="C4" s="3633" t="s">
        <v>791</v>
      </c>
      <c r="D4" s="3634"/>
      <c r="E4" s="3668" t="s">
        <v>792</v>
      </c>
      <c r="F4" s="3669"/>
      <c r="G4" s="3633" t="s">
        <v>793</v>
      </c>
      <c r="H4" s="3634"/>
      <c r="I4" s="3633" t="s">
        <v>794</v>
      </c>
      <c r="J4" s="3634"/>
      <c r="K4" s="507" t="s">
        <v>795</v>
      </c>
      <c r="L4" s="2012"/>
      <c r="M4" s="2013"/>
      <c r="N4" s="2013"/>
      <c r="O4" s="2013"/>
      <c r="P4" s="3635" t="s">
        <v>796</v>
      </c>
      <c r="Q4" s="3636"/>
      <c r="R4" s="3641" t="s">
        <v>792</v>
      </c>
      <c r="S4" s="3642"/>
      <c r="T4" s="3641" t="s">
        <v>793</v>
      </c>
      <c r="U4" s="3642"/>
      <c r="V4" s="3628" t="s">
        <v>794</v>
      </c>
      <c r="W4" s="3628"/>
      <c r="X4" s="1499"/>
      <c r="Y4" s="3641" t="s">
        <v>796</v>
      </c>
      <c r="Z4" s="3642"/>
      <c r="AA4" s="3630" t="s">
        <v>792</v>
      </c>
      <c r="AB4" s="3631" t="s">
        <v>793</v>
      </c>
      <c r="AC4" s="3630" t="s">
        <v>794</v>
      </c>
    </row>
    <row r="5" spans="1:29" ht="15">
      <c r="A5" s="508"/>
      <c r="B5" s="509"/>
      <c r="C5" s="3672" t="s">
        <v>2875</v>
      </c>
      <c r="D5" s="3673"/>
      <c r="E5" s="3676" t="str">
        <f>地下仓储案例!A9</f>
        <v>亦庄橡树湾</v>
      </c>
      <c r="F5" s="3677"/>
      <c r="G5" s="3672" t="str">
        <f>地下仓储案例!A10</f>
        <v>金悦郡</v>
      </c>
      <c r="H5" s="3673"/>
      <c r="I5" s="3672" t="str">
        <f>地下仓储案例!A8</f>
        <v>中建·幸福里</v>
      </c>
      <c r="J5" s="3673"/>
      <c r="K5" s="507"/>
      <c r="L5" s="2012"/>
      <c r="M5" s="2013"/>
      <c r="N5" s="2013"/>
      <c r="O5" s="2013"/>
      <c r="P5" s="3637"/>
      <c r="Q5" s="3638"/>
      <c r="R5" s="3643"/>
      <c r="S5" s="3644"/>
      <c r="T5" s="3643"/>
      <c r="U5" s="3644"/>
      <c r="V5" s="3628"/>
      <c r="W5" s="3628"/>
      <c r="X5" s="1499"/>
      <c r="Y5" s="3643"/>
      <c r="Z5" s="3644"/>
      <c r="AA5" s="3631"/>
      <c r="AB5" s="3631"/>
      <c r="AC5" s="3631"/>
    </row>
    <row r="6" spans="1:29" ht="15.75" thickBot="1">
      <c r="A6" s="510"/>
      <c r="B6" s="511"/>
      <c r="C6" s="3670" t="s">
        <v>2879</v>
      </c>
      <c r="D6" s="3671"/>
      <c r="E6" s="3674" t="s">
        <v>2879</v>
      </c>
      <c r="F6" s="3675"/>
      <c r="G6" s="3670" t="s">
        <v>2879</v>
      </c>
      <c r="H6" s="3671"/>
      <c r="I6" s="3670" t="s">
        <v>2879</v>
      </c>
      <c r="J6" s="3671"/>
      <c r="K6" s="507" t="s">
        <v>522</v>
      </c>
      <c r="L6" s="2012"/>
      <c r="M6" s="2013"/>
      <c r="N6" s="2013"/>
      <c r="O6" s="2013"/>
      <c r="P6" s="3639"/>
      <c r="Q6" s="3640"/>
      <c r="R6" s="3643"/>
      <c r="S6" s="3644"/>
      <c r="T6" s="3645"/>
      <c r="U6" s="3646"/>
      <c r="V6" s="3628"/>
      <c r="W6" s="3628"/>
      <c r="X6" s="1499"/>
      <c r="Y6" s="3645"/>
      <c r="Z6" s="3646"/>
      <c r="AA6" s="3632"/>
      <c r="AB6" s="3632"/>
      <c r="AC6" s="3632"/>
    </row>
    <row r="7" spans="1:29" s="1200" customFormat="1" ht="15.75" thickBot="1">
      <c r="A7" s="2626"/>
      <c r="B7" s="2633" t="s">
        <v>523</v>
      </c>
      <c r="C7" s="512">
        <f>'数据-取费表'!B2</f>
        <v>44532</v>
      </c>
      <c r="D7" s="513">
        <v>100</v>
      </c>
      <c r="E7" s="514">
        <v>44470</v>
      </c>
      <c r="F7" s="515">
        <f>SUMIF(46:46,YEAR(E7)&amp;"-"&amp;MONTH(E7),47:47)</f>
        <v>100</v>
      </c>
      <c r="G7" s="516">
        <f>E7</f>
        <v>44470</v>
      </c>
      <c r="H7" s="513">
        <f>SUMIF(46:46,YEAR(G7)&amp;"-"&amp;MONTH(G7),47:47)</f>
        <v>100</v>
      </c>
      <c r="I7" s="516">
        <f>E7</f>
        <v>44470</v>
      </c>
      <c r="J7" s="513">
        <f>SUMIF(46:46,YEAR(I7)&amp;"-"&amp;MONTH(I7),47:47)</f>
        <v>100</v>
      </c>
      <c r="K7" s="517"/>
      <c r="L7" s="2014"/>
      <c r="M7" s="2015"/>
      <c r="N7" s="2015"/>
      <c r="O7" s="2015"/>
      <c r="P7" s="3658" t="s">
        <v>524</v>
      </c>
      <c r="Q7" s="3660"/>
      <c r="R7" s="1500" t="s">
        <v>8</v>
      </c>
      <c r="S7" s="1501">
        <f t="shared" ref="S7:S14" si="0">F7</f>
        <v>100</v>
      </c>
      <c r="T7" s="1500" t="s">
        <v>8</v>
      </c>
      <c r="U7" s="1501">
        <f t="shared" ref="U7:U14" si="1">H7</f>
        <v>100</v>
      </c>
      <c r="V7" s="1500" t="s">
        <v>8</v>
      </c>
      <c r="W7" s="1501">
        <f t="shared" ref="W7:W14" si="2">J7</f>
        <v>100</v>
      </c>
      <c r="X7" s="1502"/>
      <c r="Y7" s="3658" t="s">
        <v>524</v>
      </c>
      <c r="Z7" s="3659"/>
      <c r="AA7" s="1503">
        <f>D7/F7</f>
        <v>1</v>
      </c>
      <c r="AB7" s="1503">
        <f>D7/H7</f>
        <v>1</v>
      </c>
      <c r="AC7" s="1503">
        <f>D7/J7</f>
        <v>1</v>
      </c>
    </row>
    <row r="8" spans="1:29" s="1200" customFormat="1" ht="15.75" thickBot="1">
      <c r="A8" s="2627"/>
      <c r="B8" s="2634" t="s">
        <v>525</v>
      </c>
      <c r="C8" s="518" t="s">
        <v>570</v>
      </c>
      <c r="D8" s="513">
        <v>100</v>
      </c>
      <c r="E8" s="518" t="s">
        <v>3230</v>
      </c>
      <c r="F8" s="515">
        <f>SUMIF(49:49,E8,50:50)-SUMIF(49:49,C8,50:50)+100</f>
        <v>100</v>
      </c>
      <c r="G8" s="518" t="s">
        <v>3230</v>
      </c>
      <c r="H8" s="513">
        <f>SUMIF(49:49,G8,50:50)-SUMIF(49:49,C8,50:50)+100</f>
        <v>100</v>
      </c>
      <c r="I8" s="518" t="s">
        <v>3230</v>
      </c>
      <c r="J8" s="513">
        <f>SUMIF(49:49,I8,50:50)-SUMIF(49:49,C8,50:50)+100</f>
        <v>100</v>
      </c>
      <c r="K8" s="517"/>
      <c r="L8" s="2014"/>
      <c r="M8" s="2015"/>
      <c r="N8" s="2015"/>
      <c r="O8" s="2015"/>
      <c r="P8" s="3658" t="s">
        <v>527</v>
      </c>
      <c r="Q8" s="3659"/>
      <c r="R8" s="1500" t="s">
        <v>8</v>
      </c>
      <c r="S8" s="1501">
        <f t="shared" si="0"/>
        <v>100</v>
      </c>
      <c r="T8" s="1500" t="s">
        <v>8</v>
      </c>
      <c r="U8" s="1501">
        <f t="shared" si="1"/>
        <v>100</v>
      </c>
      <c r="V8" s="1500" t="s">
        <v>8</v>
      </c>
      <c r="W8" s="1501">
        <f t="shared" si="2"/>
        <v>100</v>
      </c>
      <c r="X8" s="1502"/>
      <c r="Y8" s="3658" t="s">
        <v>527</v>
      </c>
      <c r="Z8" s="3659"/>
      <c r="AA8" s="1503">
        <f t="shared" ref="AA8:AA34" si="3">D8/F8</f>
        <v>1</v>
      </c>
      <c r="AB8" s="1503">
        <f t="shared" ref="AB8:AB34" si="4">D8/H8</f>
        <v>1</v>
      </c>
      <c r="AC8" s="1503">
        <f t="shared" ref="AC8:AC34" si="5">D8/J8</f>
        <v>1</v>
      </c>
    </row>
    <row r="9" spans="1:29" s="1200" customFormat="1" ht="15">
      <c r="A9" s="2628"/>
      <c r="B9" s="2635" t="s">
        <v>2733</v>
      </c>
      <c r="C9" s="3351" t="s">
        <v>3377</v>
      </c>
      <c r="D9" s="251">
        <v>100</v>
      </c>
      <c r="E9" s="848" t="s">
        <v>3115</v>
      </c>
      <c r="F9" s="251">
        <f>SUMIF(51:51,E9,52:52)-SUMIF(51:51,C9,52:52)+100</f>
        <v>100</v>
      </c>
      <c r="G9" s="848" t="s">
        <v>3115</v>
      </c>
      <c r="H9" s="251">
        <f>SUMIF(51:51,G9,52:52)-SUMIF(51:51,C9,52:52)+100</f>
        <v>100</v>
      </c>
      <c r="I9" s="848" t="s">
        <v>3115</v>
      </c>
      <c r="J9" s="251">
        <f>SUMIF(51:51,I9,52:52)-SUMIF(51:51,C9,52:52)+100</f>
        <v>100</v>
      </c>
      <c r="K9" s="517"/>
      <c r="L9" s="2014"/>
      <c r="M9" s="2015"/>
      <c r="N9" s="2015"/>
      <c r="O9" s="2016"/>
      <c r="P9" s="3627" t="s">
        <v>529</v>
      </c>
      <c r="Q9" s="1131" t="str">
        <f t="shared" ref="Q9:Q14" si="6">B9</f>
        <v>用途</v>
      </c>
      <c r="R9" s="1500" t="s">
        <v>8</v>
      </c>
      <c r="S9" s="1501">
        <f t="shared" si="0"/>
        <v>100</v>
      </c>
      <c r="T9" s="1500" t="s">
        <v>8</v>
      </c>
      <c r="U9" s="1501">
        <f t="shared" si="1"/>
        <v>100</v>
      </c>
      <c r="V9" s="1500" t="s">
        <v>8</v>
      </c>
      <c r="W9" s="1501">
        <f t="shared" si="2"/>
        <v>100</v>
      </c>
      <c r="X9" s="1502"/>
      <c r="Y9" s="3573" t="s">
        <v>530</v>
      </c>
      <c r="Z9" s="1130" t="str">
        <f t="shared" ref="Z9:Z14" si="7">Q9</f>
        <v>用途</v>
      </c>
      <c r="AA9" s="1503">
        <f t="shared" si="3"/>
        <v>1</v>
      </c>
      <c r="AB9" s="1503">
        <f t="shared" si="4"/>
        <v>1</v>
      </c>
      <c r="AC9" s="1503">
        <f t="shared" si="5"/>
        <v>1</v>
      </c>
    </row>
    <row r="10" spans="1:29" s="1289" customFormat="1" ht="27.75" thickBot="1">
      <c r="A10" s="2629"/>
      <c r="B10" s="2634" t="s">
        <v>2734</v>
      </c>
      <c r="C10" s="849" t="s">
        <v>3336</v>
      </c>
      <c r="D10" s="252">
        <v>100</v>
      </c>
      <c r="E10" s="849" t="s">
        <v>3336</v>
      </c>
      <c r="F10" s="252">
        <f>SUMIF(53:53,E10,54:54)-SUMIF(53:53,C10,54:54)+100</f>
        <v>100</v>
      </c>
      <c r="G10" s="849" t="s">
        <v>3336</v>
      </c>
      <c r="H10" s="252">
        <f>SUMIF(53:53,G10,54:54)-SUMIF(53:53,C10,54:54)+100</f>
        <v>100</v>
      </c>
      <c r="I10" s="849" t="s">
        <v>3336</v>
      </c>
      <c r="J10" s="252">
        <f>SUMIF(53:53,I10,54:54)-SUMIF(53:53,C10,54:54)+100</f>
        <v>100</v>
      </c>
      <c r="K10" s="577">
        <v>2</v>
      </c>
      <c r="L10" s="2017"/>
      <c r="M10" s="2056"/>
      <c r="N10" s="2056"/>
      <c r="O10" s="2018"/>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 hidden="1">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627"/>
      <c r="Q11" s="1131">
        <f t="shared" si="6"/>
        <v>111</v>
      </c>
      <c r="R11" s="1500" t="s">
        <v>8</v>
      </c>
      <c r="S11" s="1501">
        <f t="shared" si="0"/>
        <v>100</v>
      </c>
      <c r="T11" s="1500" t="s">
        <v>8</v>
      </c>
      <c r="U11" s="1501">
        <f t="shared" si="1"/>
        <v>100</v>
      </c>
      <c r="V11" s="1500" t="s">
        <v>8</v>
      </c>
      <c r="W11" s="1501">
        <f t="shared" si="2"/>
        <v>100</v>
      </c>
      <c r="X11" s="1502"/>
      <c r="Y11" s="3573"/>
      <c r="Z11" s="1130">
        <f t="shared" si="7"/>
        <v>111</v>
      </c>
      <c r="AA11" s="1503">
        <f t="shared" si="3"/>
        <v>1</v>
      </c>
      <c r="AB11" s="1503">
        <f t="shared" si="4"/>
        <v>1</v>
      </c>
      <c r="AC11" s="1503">
        <f t="shared" si="5"/>
        <v>1</v>
      </c>
    </row>
    <row r="12" spans="1:29" s="1200" customFormat="1" ht="15" hidden="1">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627"/>
      <c r="Q12" s="1131">
        <f t="shared" si="6"/>
        <v>111</v>
      </c>
      <c r="R12" s="1500" t="s">
        <v>8</v>
      </c>
      <c r="S12" s="1501">
        <f t="shared" si="0"/>
        <v>100</v>
      </c>
      <c r="T12" s="1500" t="s">
        <v>8</v>
      </c>
      <c r="U12" s="1501">
        <f t="shared" si="1"/>
        <v>100</v>
      </c>
      <c r="V12" s="1500" t="s">
        <v>8</v>
      </c>
      <c r="W12" s="1501">
        <f t="shared" si="2"/>
        <v>100</v>
      </c>
      <c r="X12" s="1502"/>
      <c r="Y12" s="3573"/>
      <c r="Z12" s="1130">
        <f t="shared" si="7"/>
        <v>111</v>
      </c>
      <c r="AA12" s="1503">
        <f>D12/F12</f>
        <v>1</v>
      </c>
      <c r="AB12" s="1503">
        <f>D12/H12</f>
        <v>1</v>
      </c>
      <c r="AC12" s="1503">
        <f>D12/J12</f>
        <v>1</v>
      </c>
    </row>
    <row r="13" spans="1:29" ht="15.75" hidden="1"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627"/>
      <c r="Q13" s="1131">
        <f t="shared" si="6"/>
        <v>111</v>
      </c>
      <c r="R13" s="1500" t="s">
        <v>8</v>
      </c>
      <c r="S13" s="1501">
        <f t="shared" si="0"/>
        <v>100</v>
      </c>
      <c r="T13" s="1500" t="s">
        <v>8</v>
      </c>
      <c r="U13" s="1501">
        <f t="shared" si="1"/>
        <v>100</v>
      </c>
      <c r="V13" s="1500" t="s">
        <v>8</v>
      </c>
      <c r="W13" s="1501">
        <f t="shared" si="2"/>
        <v>100</v>
      </c>
      <c r="X13" s="1502"/>
      <c r="Y13" s="3573"/>
      <c r="Z13" s="1130">
        <f t="shared" si="7"/>
        <v>111</v>
      </c>
      <c r="AA13" s="1503">
        <f t="shared" si="3"/>
        <v>1</v>
      </c>
      <c r="AB13" s="1503">
        <f t="shared" si="4"/>
        <v>1</v>
      </c>
      <c r="AC13" s="1503">
        <f t="shared" si="5"/>
        <v>1</v>
      </c>
    </row>
    <row r="14" spans="1:29" ht="15">
      <c r="A14" s="2624" t="s">
        <v>2731</v>
      </c>
      <c r="B14" s="163" t="s">
        <v>537</v>
      </c>
      <c r="C14" s="907"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102</v>
      </c>
      <c r="K14" s="884">
        <v>2</v>
      </c>
      <c r="L14" s="2021"/>
      <c r="M14" s="2013"/>
      <c r="N14" s="2013"/>
      <c r="O14" s="2020"/>
      <c r="P14" s="3661" t="s">
        <v>534</v>
      </c>
      <c r="Q14" s="1504" t="str">
        <f t="shared" si="6"/>
        <v>交通便捷度</v>
      </c>
      <c r="R14" s="1505" t="s">
        <v>8</v>
      </c>
      <c r="S14" s="1506">
        <f t="shared" si="0"/>
        <v>100</v>
      </c>
      <c r="T14" s="1505" t="s">
        <v>8</v>
      </c>
      <c r="U14" s="1506">
        <f t="shared" si="1"/>
        <v>100</v>
      </c>
      <c r="V14" s="1505" t="s">
        <v>8</v>
      </c>
      <c r="W14" s="1506">
        <f t="shared" si="2"/>
        <v>102</v>
      </c>
      <c r="X14" s="1499"/>
      <c r="Y14" s="3661" t="s">
        <v>534</v>
      </c>
      <c r="Z14" s="1507" t="str">
        <f t="shared" si="7"/>
        <v>交通便捷度</v>
      </c>
      <c r="AA14" s="1508">
        <f t="shared" si="3"/>
        <v>1</v>
      </c>
      <c r="AB14" s="1508">
        <f t="shared" si="4"/>
        <v>1</v>
      </c>
      <c r="AC14" s="1508">
        <f t="shared" si="5"/>
        <v>0.98039215686274506</v>
      </c>
    </row>
    <row r="15" spans="1:29" ht="15">
      <c r="A15" s="525"/>
      <c r="B15" s="857"/>
      <c r="C15" s="569" t="s">
        <v>3268</v>
      </c>
      <c r="D15" s="548"/>
      <c r="E15" s="569" t="s">
        <v>3268</v>
      </c>
      <c r="F15" s="550"/>
      <c r="G15" s="569" t="s">
        <v>3268</v>
      </c>
      <c r="H15" s="552"/>
      <c r="I15" s="569" t="s">
        <v>3273</v>
      </c>
      <c r="J15" s="548"/>
      <c r="K15" s="885"/>
      <c r="L15" s="2021"/>
      <c r="M15" s="2013"/>
      <c r="N15" s="2013"/>
      <c r="O15" s="2020"/>
      <c r="P15" s="3662"/>
      <c r="Q15" s="1504"/>
      <c r="R15" s="1505"/>
      <c r="S15" s="1506"/>
      <c r="T15" s="1505"/>
      <c r="U15" s="1506"/>
      <c r="V15" s="1505"/>
      <c r="W15" s="1506"/>
      <c r="X15" s="1499"/>
      <c r="Y15" s="3662"/>
      <c r="Z15" s="1507"/>
      <c r="AA15" s="1508">
        <v>1</v>
      </c>
      <c r="AB15" s="1508">
        <v>1</v>
      </c>
      <c r="AC15" s="1508">
        <v>1</v>
      </c>
    </row>
    <row r="16" spans="1:29" ht="15">
      <c r="A16" s="525"/>
      <c r="B16" s="2444" t="s">
        <v>2525</v>
      </c>
      <c r="C16" s="860" t="str">
        <f>IF(B1="工业",估价对象房地状况!G5,估价对象房地状况!C7)</f>
        <v>较差</v>
      </c>
      <c r="D16" s="558">
        <v>100</v>
      </c>
      <c r="E16" s="563"/>
      <c r="F16" s="564">
        <f>SUMIF(63:63,E17,64:64)-SUMIF(63:63,C17,64:64)+100</f>
        <v>102</v>
      </c>
      <c r="G16" s="565"/>
      <c r="H16" s="558">
        <f>SUMIF(63:63,G17,64:64)-SUMIF(63:63,C17,64:64)+100</f>
        <v>102</v>
      </c>
      <c r="I16" s="563"/>
      <c r="J16" s="558">
        <f>SUMIF(63:63,I17,64:64)-SUMIF(63:63,C17,64:64)+100</f>
        <v>104</v>
      </c>
      <c r="K16" s="884">
        <v>2</v>
      </c>
      <c r="L16" s="2021"/>
      <c r="M16" s="2013"/>
      <c r="N16" s="2013"/>
      <c r="O16" s="2020"/>
      <c r="P16" s="3662"/>
      <c r="Q16" s="1504" t="str">
        <f>B16</f>
        <v>公共配套设施</v>
      </c>
      <c r="R16" s="1505" t="s">
        <v>8</v>
      </c>
      <c r="S16" s="1506">
        <f>F16</f>
        <v>102</v>
      </c>
      <c r="T16" s="1505" t="s">
        <v>8</v>
      </c>
      <c r="U16" s="1506">
        <f>H16</f>
        <v>102</v>
      </c>
      <c r="V16" s="1505" t="s">
        <v>8</v>
      </c>
      <c r="W16" s="1506">
        <f>J16</f>
        <v>104</v>
      </c>
      <c r="X16" s="1499"/>
      <c r="Y16" s="3662"/>
      <c r="Z16" s="1507" t="str">
        <f>Q16</f>
        <v>公共配套设施</v>
      </c>
      <c r="AA16" s="1508">
        <f t="shared" si="3"/>
        <v>0.98039215686274506</v>
      </c>
      <c r="AB16" s="1508">
        <f t="shared" si="4"/>
        <v>0.98039215686274506</v>
      </c>
      <c r="AC16" s="1508">
        <f t="shared" si="5"/>
        <v>0.96153846153846156</v>
      </c>
    </row>
    <row r="17" spans="1:29" ht="15">
      <c r="A17" s="525"/>
      <c r="B17" s="559"/>
      <c r="C17" s="861" t="s">
        <v>3271</v>
      </c>
      <c r="D17" s="548"/>
      <c r="E17" s="569" t="s">
        <v>3268</v>
      </c>
      <c r="F17" s="550"/>
      <c r="G17" s="569" t="s">
        <v>3268</v>
      </c>
      <c r="H17" s="548"/>
      <c r="I17" s="569" t="s">
        <v>3273</v>
      </c>
      <c r="J17" s="548"/>
      <c r="K17" s="885"/>
      <c r="L17" s="2021"/>
      <c r="M17" s="2013"/>
      <c r="N17" s="2013"/>
      <c r="O17" s="2020"/>
      <c r="P17" s="3662"/>
      <c r="Q17" s="1504"/>
      <c r="R17" s="1505"/>
      <c r="S17" s="1506"/>
      <c r="T17" s="1505"/>
      <c r="U17" s="1506"/>
      <c r="V17" s="1505"/>
      <c r="W17" s="1506"/>
      <c r="X17" s="1499"/>
      <c r="Y17" s="3662"/>
      <c r="Z17" s="1507"/>
      <c r="AA17" s="1508">
        <v>1</v>
      </c>
      <c r="AB17" s="1508">
        <v>1</v>
      </c>
      <c r="AC17" s="1508">
        <v>1</v>
      </c>
    </row>
    <row r="18" spans="1:29" ht="15">
      <c r="A18" s="525"/>
      <c r="B18" s="2432"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4">
        <v>2</v>
      </c>
      <c r="L18" s="2021"/>
      <c r="M18" s="2013"/>
      <c r="N18" s="2013"/>
      <c r="O18" s="2020"/>
      <c r="P18" s="3662"/>
      <c r="Q18" s="2426" t="str">
        <f>B18</f>
        <v>基础设施水平</v>
      </c>
      <c r="R18" s="1505" t="s">
        <v>8</v>
      </c>
      <c r="S18" s="1506">
        <f>F18</f>
        <v>100</v>
      </c>
      <c r="T18" s="1505" t="s">
        <v>8</v>
      </c>
      <c r="U18" s="1506">
        <f>H18</f>
        <v>100</v>
      </c>
      <c r="V18" s="1505" t="s">
        <v>8</v>
      </c>
      <c r="W18" s="1506">
        <f>J18</f>
        <v>100</v>
      </c>
      <c r="X18" s="2428"/>
      <c r="Y18" s="3662"/>
      <c r="Z18" s="2427" t="str">
        <f>Q18</f>
        <v>基础设施水平</v>
      </c>
      <c r="AA18" s="1508">
        <f t="shared" ref="AA18" si="8">D18/F18</f>
        <v>1</v>
      </c>
      <c r="AB18" s="1508">
        <f t="shared" ref="AB18" si="9">D18/H18</f>
        <v>1</v>
      </c>
      <c r="AC18" s="1508">
        <f t="shared" ref="AC18" si="10">D18/J18</f>
        <v>1</v>
      </c>
    </row>
    <row r="19" spans="1:29" ht="15">
      <c r="A19" s="525"/>
      <c r="B19" s="571"/>
      <c r="C19" s="861" t="s">
        <v>3236</v>
      </c>
      <c r="D19" s="552"/>
      <c r="E19" s="861" t="s">
        <v>3236</v>
      </c>
      <c r="F19" s="556"/>
      <c r="G19" s="861" t="s">
        <v>3236</v>
      </c>
      <c r="H19" s="548"/>
      <c r="I19" s="569" t="s">
        <v>3236</v>
      </c>
      <c r="J19" s="548"/>
      <c r="K19" s="2443"/>
      <c r="L19" s="2021"/>
      <c r="M19" s="2013"/>
      <c r="N19" s="2013"/>
      <c r="O19" s="2020"/>
      <c r="P19" s="3662"/>
      <c r="Q19" s="2426"/>
      <c r="R19" s="1505"/>
      <c r="S19" s="1506"/>
      <c r="T19" s="1505"/>
      <c r="U19" s="1506"/>
      <c r="V19" s="1505"/>
      <c r="W19" s="1506"/>
      <c r="X19" s="2428"/>
      <c r="Y19" s="3662"/>
      <c r="Z19" s="2427"/>
      <c r="AA19" s="1508">
        <v>1</v>
      </c>
      <c r="AB19" s="1508">
        <v>1</v>
      </c>
      <c r="AC19" s="1508">
        <v>1</v>
      </c>
    </row>
    <row r="20" spans="1:29" ht="15">
      <c r="A20" s="525"/>
      <c r="B20" s="859" t="s">
        <v>797</v>
      </c>
      <c r="C20" s="860"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102</v>
      </c>
      <c r="K20" s="884">
        <v>2</v>
      </c>
      <c r="L20" s="2021"/>
      <c r="M20" s="2013"/>
      <c r="N20" s="2013"/>
      <c r="O20" s="2020"/>
      <c r="P20" s="3662"/>
      <c r="Q20" s="1504" t="str">
        <f>B20</f>
        <v>自然及人文环境</v>
      </c>
      <c r="R20" s="1505" t="s">
        <v>8</v>
      </c>
      <c r="S20" s="1506">
        <f>F20</f>
        <v>100</v>
      </c>
      <c r="T20" s="1505" t="s">
        <v>8</v>
      </c>
      <c r="U20" s="1506">
        <f>H20</f>
        <v>100</v>
      </c>
      <c r="V20" s="1505" t="s">
        <v>8</v>
      </c>
      <c r="W20" s="1506">
        <f>J20</f>
        <v>102</v>
      </c>
      <c r="X20" s="1499"/>
      <c r="Y20" s="3662"/>
      <c r="Z20" s="1507" t="str">
        <f>Q20</f>
        <v>自然及人文环境</v>
      </c>
      <c r="AA20" s="1508">
        <f t="shared" si="3"/>
        <v>1</v>
      </c>
      <c r="AB20" s="1508">
        <f t="shared" si="4"/>
        <v>1</v>
      </c>
      <c r="AC20" s="1508">
        <f t="shared" si="5"/>
        <v>0.98039215686274506</v>
      </c>
    </row>
    <row r="21" spans="1:29" ht="15">
      <c r="A21" s="525"/>
      <c r="B21" s="588"/>
      <c r="C21" s="569" t="s">
        <v>3268</v>
      </c>
      <c r="D21" s="548"/>
      <c r="E21" s="569" t="s">
        <v>3268</v>
      </c>
      <c r="F21" s="550"/>
      <c r="G21" s="569" t="s">
        <v>3268</v>
      </c>
      <c r="H21" s="548"/>
      <c r="I21" s="569" t="s">
        <v>3273</v>
      </c>
      <c r="J21" s="548"/>
      <c r="K21" s="885"/>
      <c r="L21" s="2021"/>
      <c r="M21" s="2013"/>
      <c r="N21" s="2013"/>
      <c r="O21" s="2020"/>
      <c r="P21" s="3662"/>
      <c r="Q21" s="1504"/>
      <c r="R21" s="1505"/>
      <c r="S21" s="1506"/>
      <c r="T21" s="1505"/>
      <c r="U21" s="1506"/>
      <c r="V21" s="1505"/>
      <c r="W21" s="1506"/>
      <c r="X21" s="1499"/>
      <c r="Y21" s="3662"/>
      <c r="Z21" s="1507"/>
      <c r="AA21" s="1508">
        <v>1</v>
      </c>
      <c r="AB21" s="1508">
        <v>1</v>
      </c>
      <c r="AC21" s="1508">
        <v>1</v>
      </c>
    </row>
    <row r="22" spans="1:29" ht="15.75" thickBot="1">
      <c r="A22" s="525"/>
      <c r="B22" s="859" t="s">
        <v>798</v>
      </c>
      <c r="C22" s="576" t="s">
        <v>3056</v>
      </c>
      <c r="D22" s="552">
        <v>100</v>
      </c>
      <c r="E22" s="576" t="s">
        <v>3056</v>
      </c>
      <c r="F22" s="568">
        <f>SUMIF(69:69,E22,70:70)-SUMIF(69:69,C22,70:70)+100</f>
        <v>100</v>
      </c>
      <c r="G22" s="576" t="s">
        <v>3056</v>
      </c>
      <c r="H22" s="533">
        <f>SUMIF(69:69,G22,70:70)-SUMIF(69:69,C22,70:70)+100</f>
        <v>100</v>
      </c>
      <c r="I22" s="576" t="s">
        <v>3056</v>
      </c>
      <c r="J22" s="533">
        <f>SUMIF(69:69,I22,70:70)-SUMIF(69:69,C22,70:70)+100</f>
        <v>100</v>
      </c>
      <c r="K22" s="577">
        <v>5</v>
      </c>
      <c r="L22" s="2021"/>
      <c r="M22" s="2013"/>
      <c r="N22" s="2013"/>
      <c r="O22" s="2020"/>
      <c r="P22" s="3662"/>
      <c r="Q22" s="1504" t="str">
        <f>B22</f>
        <v>楼层</v>
      </c>
      <c r="R22" s="1505" t="s">
        <v>8</v>
      </c>
      <c r="S22" s="1506">
        <f>F22</f>
        <v>100</v>
      </c>
      <c r="T22" s="1505" t="s">
        <v>8</v>
      </c>
      <c r="U22" s="1506">
        <f>H22</f>
        <v>100</v>
      </c>
      <c r="V22" s="1505" t="s">
        <v>8</v>
      </c>
      <c r="W22" s="1506">
        <f>J22</f>
        <v>100</v>
      </c>
      <c r="X22" s="1499"/>
      <c r="Y22" s="3662"/>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662"/>
      <c r="Q23" s="1504">
        <f>B23</f>
        <v>111</v>
      </c>
      <c r="R23" s="1505" t="s">
        <v>8</v>
      </c>
      <c r="S23" s="1506">
        <f>F23</f>
        <v>100</v>
      </c>
      <c r="T23" s="1505" t="s">
        <v>8</v>
      </c>
      <c r="U23" s="1506">
        <f>H23</f>
        <v>100</v>
      </c>
      <c r="V23" s="1505" t="s">
        <v>8</v>
      </c>
      <c r="W23" s="1506">
        <f>J23</f>
        <v>100</v>
      </c>
      <c r="X23" s="1499"/>
      <c r="Y23" s="3662"/>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662"/>
      <c r="Q24" s="1504">
        <f t="shared" ref="Q24:Q34" si="11">B24</f>
        <v>111</v>
      </c>
      <c r="R24" s="1505" t="s">
        <v>8</v>
      </c>
      <c r="S24" s="1506">
        <f>F24</f>
        <v>100</v>
      </c>
      <c r="T24" s="1505" t="s">
        <v>8</v>
      </c>
      <c r="U24" s="1506">
        <f>H24</f>
        <v>100</v>
      </c>
      <c r="V24" s="1505" t="s">
        <v>8</v>
      </c>
      <c r="W24" s="1506">
        <f>J24</f>
        <v>100</v>
      </c>
      <c r="X24" s="1499"/>
      <c r="Y24" s="3662"/>
      <c r="Z24" s="1507">
        <f>Q24</f>
        <v>111</v>
      </c>
      <c r="AA24" s="1508">
        <f t="shared" si="3"/>
        <v>1</v>
      </c>
      <c r="AB24" s="1508">
        <f t="shared" si="4"/>
        <v>1</v>
      </c>
      <c r="AC24" s="1508">
        <f t="shared" si="5"/>
        <v>1</v>
      </c>
    </row>
    <row r="25" spans="1:29" s="1200" customFormat="1" ht="15.75" hidden="1" thickBot="1">
      <c r="A25" s="529"/>
      <c r="B25" s="530">
        <v>111</v>
      </c>
      <c r="C25" s="926"/>
      <c r="D25" s="927">
        <v>100</v>
      </c>
      <c r="E25" s="926"/>
      <c r="F25" s="928">
        <f>SUMIF(75:75,E25,76:76)-SUMIF(75:75,C25,76:76)+100</f>
        <v>100</v>
      </c>
      <c r="G25" s="926"/>
      <c r="H25" s="927">
        <f>SUMIF(75:75,G25,76:76)-SUMIF(75:75,C25,76:76)+100</f>
        <v>100</v>
      </c>
      <c r="I25" s="926"/>
      <c r="J25" s="927">
        <f>SUMIF(75:75,I25,76:76)-SUMIF(75:75,C25,76:76)+100</f>
        <v>100</v>
      </c>
      <c r="K25" s="574"/>
      <c r="L25" s="2014"/>
      <c r="M25" s="2015"/>
      <c r="N25" s="2015"/>
      <c r="O25" s="2016"/>
      <c r="P25" s="3662"/>
      <c r="Q25" s="1131">
        <f t="shared" si="11"/>
        <v>111</v>
      </c>
      <c r="R25" s="1500" t="s">
        <v>8</v>
      </c>
      <c r="S25" s="1501">
        <f>F25</f>
        <v>100</v>
      </c>
      <c r="T25" s="1500" t="s">
        <v>8</v>
      </c>
      <c r="U25" s="1501">
        <f>H25</f>
        <v>100</v>
      </c>
      <c r="V25" s="1500" t="s">
        <v>8</v>
      </c>
      <c r="W25" s="1501">
        <f>J25</f>
        <v>100</v>
      </c>
      <c r="X25" s="1502"/>
      <c r="Y25" s="3662"/>
      <c r="Z25" s="1130">
        <f>Q25</f>
        <v>111</v>
      </c>
      <c r="AA25" s="1508">
        <f>D25/F25</f>
        <v>1</v>
      </c>
      <c r="AB25" s="1508">
        <f>D25/H25</f>
        <v>1</v>
      </c>
      <c r="AC25" s="1508">
        <f>D25/J25</f>
        <v>1</v>
      </c>
    </row>
    <row r="26" spans="1:29" ht="15">
      <c r="A26" s="2621" t="s">
        <v>2732</v>
      </c>
      <c r="B26" s="169" t="s">
        <v>801</v>
      </c>
      <c r="C26" s="902" t="s">
        <v>3379</v>
      </c>
      <c r="D26" s="590">
        <v>100</v>
      </c>
      <c r="E26" s="902" t="s">
        <v>3379</v>
      </c>
      <c r="F26" s="929">
        <f>SUMIF(77:77,E26,78:78)-SUMIF(77:77,C26,78:78)+100</f>
        <v>100</v>
      </c>
      <c r="G26" s="902" t="s">
        <v>3379</v>
      </c>
      <c r="H26" s="590">
        <f>SUMIF(77:77,G26,78:78)-SUMIF(77:77,C26,78:78)+100</f>
        <v>100</v>
      </c>
      <c r="I26" s="902" t="s">
        <v>3379</v>
      </c>
      <c r="J26" s="590">
        <f>SUMIF(77:77,I26,78:78)-SUMIF(77:77,C26,78:78)+100</f>
        <v>100</v>
      </c>
      <c r="K26" s="577">
        <v>2</v>
      </c>
      <c r="L26" s="2021"/>
      <c r="M26" s="2013"/>
      <c r="N26" s="2013"/>
      <c r="O26" s="2020"/>
      <c r="P26" s="3663" t="s">
        <v>814</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64" t="s">
        <v>814</v>
      </c>
      <c r="Z26" s="1507" t="str">
        <f t="shared" ref="Z26:Z34" si="15">Q26</f>
        <v>公共部分装修</v>
      </c>
      <c r="AA26" s="1508">
        <f t="shared" si="3"/>
        <v>1</v>
      </c>
      <c r="AB26" s="1508">
        <f t="shared" si="4"/>
        <v>1</v>
      </c>
      <c r="AC26" s="1508">
        <f t="shared" si="5"/>
        <v>1</v>
      </c>
    </row>
    <row r="27" spans="1:29" s="1290" customFormat="1" ht="15">
      <c r="A27" s="596"/>
      <c r="B27" s="520" t="s">
        <v>802</v>
      </c>
      <c r="C27" s="871">
        <v>1</v>
      </c>
      <c r="D27" s="252">
        <v>100</v>
      </c>
      <c r="E27" s="871">
        <v>1</v>
      </c>
      <c r="F27" s="568">
        <f>LOOKUP(E27,80:80,81:81)-LOOKUP(C27,80:80,81:81)+100</f>
        <v>100</v>
      </c>
      <c r="G27" s="871">
        <v>1</v>
      </c>
      <c r="H27" s="533">
        <f>LOOKUP(G27,80:80,81:81)-LOOKUP(C27,80:80,81:81)+100</f>
        <v>100</v>
      </c>
      <c r="I27" s="871">
        <v>1</v>
      </c>
      <c r="J27" s="533">
        <f>LOOKUP(I27,80:80,81:81)-LOOKUP(C27,80:80,81:81)+100</f>
        <v>100</v>
      </c>
      <c r="K27" s="577">
        <v>3</v>
      </c>
      <c r="L27" s="2019"/>
      <c r="M27" s="2049"/>
      <c r="N27" s="2049"/>
      <c r="O27" s="2022"/>
      <c r="P27" s="3664"/>
      <c r="Q27" s="1533" t="str">
        <f t="shared" si="11"/>
        <v>成新率</v>
      </c>
      <c r="R27" s="1509" t="s">
        <v>8</v>
      </c>
      <c r="S27" s="1510">
        <f t="shared" si="12"/>
        <v>100</v>
      </c>
      <c r="T27" s="1509" t="s">
        <v>8</v>
      </c>
      <c r="U27" s="1510">
        <f t="shared" si="13"/>
        <v>100</v>
      </c>
      <c r="V27" s="1509" t="s">
        <v>8</v>
      </c>
      <c r="W27" s="1510">
        <f t="shared" si="14"/>
        <v>100</v>
      </c>
      <c r="X27" s="1511"/>
      <c r="Y27" s="3664"/>
      <c r="Z27" s="1512" t="str">
        <f t="shared" si="15"/>
        <v>成新率</v>
      </c>
      <c r="AA27" s="1508">
        <f t="shared" si="3"/>
        <v>1</v>
      </c>
      <c r="AB27" s="1508">
        <f t="shared" si="4"/>
        <v>1</v>
      </c>
      <c r="AC27" s="1508">
        <f t="shared" si="5"/>
        <v>1</v>
      </c>
    </row>
    <row r="28" spans="1:29" ht="15.75" thickBot="1">
      <c r="A28" s="587"/>
      <c r="B28" s="520" t="s">
        <v>803</v>
      </c>
      <c r="C28" s="567" t="s">
        <v>3296</v>
      </c>
      <c r="D28" s="533">
        <v>100</v>
      </c>
      <c r="E28" s="567" t="s">
        <v>3296</v>
      </c>
      <c r="F28" s="568">
        <f>SUMIF(82:82,E28,83:83)-SUMIF(82:82,C28,83:83)+100</f>
        <v>100</v>
      </c>
      <c r="G28" s="567" t="s">
        <v>3296</v>
      </c>
      <c r="H28" s="533">
        <f>SUMIF(82:82,G28,83:83)-SUMIF(82:82,C28,83:83)+100</f>
        <v>100</v>
      </c>
      <c r="I28" s="567" t="s">
        <v>3296</v>
      </c>
      <c r="J28" s="533">
        <f>SUMIF(82:82,I28,83:83)-SUMIF(82:82,C28,83:83)+100</f>
        <v>100</v>
      </c>
      <c r="K28" s="577">
        <v>2</v>
      </c>
      <c r="L28" s="2021"/>
      <c r="M28" s="2013"/>
      <c r="N28" s="2013"/>
      <c r="O28" s="2020"/>
      <c r="P28" s="3664"/>
      <c r="Q28" s="1504" t="str">
        <f t="shared" si="11"/>
        <v>物业等级</v>
      </c>
      <c r="R28" s="1505" t="s">
        <v>8</v>
      </c>
      <c r="S28" s="1506">
        <f t="shared" si="12"/>
        <v>100</v>
      </c>
      <c r="T28" s="1505" t="s">
        <v>8</v>
      </c>
      <c r="U28" s="1506">
        <f t="shared" si="13"/>
        <v>100</v>
      </c>
      <c r="V28" s="1505" t="s">
        <v>8</v>
      </c>
      <c r="W28" s="1506">
        <f t="shared" si="14"/>
        <v>100</v>
      </c>
      <c r="X28" s="1499"/>
      <c r="Y28" s="3664"/>
      <c r="Z28" s="1507" t="str">
        <f t="shared" si="15"/>
        <v>物业等级</v>
      </c>
      <c r="AA28" s="1508">
        <f t="shared" si="3"/>
        <v>1</v>
      </c>
      <c r="AB28" s="1508">
        <f t="shared" si="4"/>
        <v>1</v>
      </c>
      <c r="AC28" s="1508">
        <f t="shared" si="5"/>
        <v>1</v>
      </c>
    </row>
    <row r="29" spans="1:29" ht="15" hidden="1">
      <c r="A29" s="587"/>
      <c r="B29" s="520" t="s">
        <v>815</v>
      </c>
      <c r="C29" s="918"/>
      <c r="D29" s="533">
        <v>100</v>
      </c>
      <c r="E29" s="918"/>
      <c r="F29" s="568">
        <f>SUMIF(84:84,E29,85:85)-SUMIF(84:84,C29,85:85)+100</f>
        <v>100</v>
      </c>
      <c r="G29" s="918"/>
      <c r="H29" s="533">
        <f>SUMIF(84:84,G29,85:85)-SUMIF(84:84,C29,85:85)+100</f>
        <v>100</v>
      </c>
      <c r="I29" s="918"/>
      <c r="J29" s="533">
        <f>SUMIF(84:84,I29,85:85)-SUMIF(84:84,C29,85:85)+100</f>
        <v>100</v>
      </c>
      <c r="K29" s="577"/>
      <c r="L29" s="2021"/>
      <c r="M29" s="2013"/>
      <c r="N29" s="2013"/>
      <c r="O29" s="2020"/>
      <c r="P29" s="3664"/>
      <c r="Q29" s="1504" t="str">
        <f t="shared" si="11"/>
        <v>有无电梯</v>
      </c>
      <c r="R29" s="1505" t="s">
        <v>8</v>
      </c>
      <c r="S29" s="1506">
        <f t="shared" si="12"/>
        <v>100</v>
      </c>
      <c r="T29" s="1505" t="s">
        <v>8</v>
      </c>
      <c r="U29" s="1506">
        <f t="shared" si="13"/>
        <v>100</v>
      </c>
      <c r="V29" s="1505" t="s">
        <v>8</v>
      </c>
      <c r="W29" s="1506">
        <f t="shared" si="14"/>
        <v>100</v>
      </c>
      <c r="X29" s="1499"/>
      <c r="Y29" s="3664"/>
      <c r="Z29" s="1507" t="str">
        <f t="shared" si="15"/>
        <v>有无电梯</v>
      </c>
      <c r="AA29" s="1508">
        <f t="shared" si="3"/>
        <v>1</v>
      </c>
      <c r="AB29" s="1508">
        <f t="shared" si="4"/>
        <v>1</v>
      </c>
      <c r="AC29" s="1508">
        <f t="shared" si="5"/>
        <v>1</v>
      </c>
    </row>
    <row r="30" spans="1:29" ht="15" hidden="1">
      <c r="A30" s="587"/>
      <c r="B30" s="520" t="s">
        <v>816</v>
      </c>
      <c r="C30" s="868"/>
      <c r="D30" s="533">
        <v>100</v>
      </c>
      <c r="E30" s="868"/>
      <c r="F30" s="568">
        <f>LOOKUP(E30,87:87,88:88)-LOOKUP(C30,87:87,88:88)+100</f>
        <v>100</v>
      </c>
      <c r="G30" s="868"/>
      <c r="H30" s="533">
        <f>LOOKUP(G30,87:87,88:88)-LOOKUP(C30,87:87,88:88)+100</f>
        <v>100</v>
      </c>
      <c r="I30" s="868"/>
      <c r="J30" s="533">
        <f>LOOKUP(I30,87:87,88:88)-LOOKUP(C30,87:87,88:88)+100</f>
        <v>100</v>
      </c>
      <c r="K30" s="574"/>
      <c r="L30" s="2021"/>
      <c r="M30" s="2013"/>
      <c r="N30" s="2013"/>
      <c r="O30" s="2020"/>
      <c r="P30" s="3664"/>
      <c r="Q30" s="1504" t="str">
        <f t="shared" si="11"/>
        <v>建筑面积</v>
      </c>
      <c r="R30" s="1505" t="s">
        <v>8</v>
      </c>
      <c r="S30" s="1506">
        <f t="shared" si="12"/>
        <v>100</v>
      </c>
      <c r="T30" s="1505" t="s">
        <v>8</v>
      </c>
      <c r="U30" s="1506">
        <f t="shared" si="13"/>
        <v>100</v>
      </c>
      <c r="V30" s="1505" t="s">
        <v>8</v>
      </c>
      <c r="W30" s="1506">
        <f t="shared" si="14"/>
        <v>100</v>
      </c>
      <c r="X30" s="1499"/>
      <c r="Y30" s="3664"/>
      <c r="Z30" s="1507" t="str">
        <f t="shared" si="15"/>
        <v>建筑面积</v>
      </c>
      <c r="AA30" s="1508">
        <f t="shared" si="3"/>
        <v>1</v>
      </c>
      <c r="AB30" s="1508">
        <f t="shared" si="4"/>
        <v>1</v>
      </c>
      <c r="AC30" s="1508">
        <f t="shared" si="5"/>
        <v>1</v>
      </c>
    </row>
    <row r="31" spans="1:29" s="1200" customFormat="1" ht="15" hidden="1">
      <c r="A31" s="593"/>
      <c r="B31" s="520" t="s">
        <v>817</v>
      </c>
      <c r="C31" s="918"/>
      <c r="D31" s="252">
        <v>100</v>
      </c>
      <c r="E31" s="918"/>
      <c r="F31" s="568">
        <f>SUMIF(89:89,E31,90:90)-SUMIF(89:89,C31,90:90)+100</f>
        <v>100</v>
      </c>
      <c r="G31" s="918"/>
      <c r="H31" s="533">
        <f>SUMIF(89:89,G31,90:90)-SUMIF(89:89,C31,90:90)+100</f>
        <v>100</v>
      </c>
      <c r="I31" s="918"/>
      <c r="J31" s="533">
        <f>SUMIF(89:89,I31,90:90)-SUMIF(89:89,C31,90:90)+100</f>
        <v>100</v>
      </c>
      <c r="K31" s="577"/>
      <c r="L31" s="2014"/>
      <c r="M31" s="2015"/>
      <c r="N31" s="2015"/>
      <c r="O31" s="2016"/>
      <c r="P31" s="3664"/>
      <c r="Q31" s="1131" t="str">
        <f t="shared" si="11"/>
        <v>是否封闭</v>
      </c>
      <c r="R31" s="1500" t="s">
        <v>8</v>
      </c>
      <c r="S31" s="1501">
        <f t="shared" si="12"/>
        <v>100</v>
      </c>
      <c r="T31" s="1500" t="s">
        <v>8</v>
      </c>
      <c r="U31" s="1501">
        <f t="shared" si="13"/>
        <v>100</v>
      </c>
      <c r="V31" s="1500" t="s">
        <v>8</v>
      </c>
      <c r="W31" s="1501">
        <f t="shared" si="14"/>
        <v>100</v>
      </c>
      <c r="X31" s="1502"/>
      <c r="Y31" s="3664"/>
      <c r="Z31" s="1130"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664" t="s">
        <v>544</v>
      </c>
      <c r="Q32" s="1504">
        <f t="shared" si="11"/>
        <v>111</v>
      </c>
      <c r="R32" s="1505" t="s">
        <v>8</v>
      </c>
      <c r="S32" s="1506">
        <f t="shared" si="12"/>
        <v>100</v>
      </c>
      <c r="T32" s="1505" t="s">
        <v>8</v>
      </c>
      <c r="U32" s="1506">
        <f t="shared" si="13"/>
        <v>100</v>
      </c>
      <c r="V32" s="1505" t="s">
        <v>8</v>
      </c>
      <c r="W32" s="1506">
        <f t="shared" si="14"/>
        <v>100</v>
      </c>
      <c r="X32" s="1499"/>
      <c r="Y32" s="3664"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664"/>
      <c r="Q33" s="1504">
        <f t="shared" si="11"/>
        <v>111</v>
      </c>
      <c r="R33" s="1505" t="s">
        <v>8</v>
      </c>
      <c r="S33" s="1506">
        <f t="shared" si="12"/>
        <v>100</v>
      </c>
      <c r="T33" s="1505" t="s">
        <v>8</v>
      </c>
      <c r="U33" s="1506">
        <f t="shared" si="13"/>
        <v>100</v>
      </c>
      <c r="V33" s="1505" t="s">
        <v>8</v>
      </c>
      <c r="W33" s="1506">
        <f t="shared" si="14"/>
        <v>100</v>
      </c>
      <c r="X33" s="1499"/>
      <c r="Y33" s="3664"/>
      <c r="Z33" s="1507">
        <f t="shared" si="15"/>
        <v>111</v>
      </c>
      <c r="AA33" s="1508">
        <f t="shared" si="3"/>
        <v>1</v>
      </c>
      <c r="AB33" s="1508">
        <f t="shared" si="4"/>
        <v>1</v>
      </c>
      <c r="AC33" s="1508">
        <f t="shared" si="5"/>
        <v>1</v>
      </c>
    </row>
    <row r="34" spans="1:29" ht="15.75" hidden="1" thickBot="1">
      <c r="A34" s="872"/>
      <c r="B34" s="537">
        <v>111</v>
      </c>
      <c r="C34" s="538"/>
      <c r="D34" s="539">
        <v>100</v>
      </c>
      <c r="E34" s="930"/>
      <c r="F34" s="854">
        <f>SUMIF(95:95,E34,96:96)-SUMIF(95:95,C34,96:96)+100</f>
        <v>100</v>
      </c>
      <c r="G34" s="930"/>
      <c r="H34" s="539">
        <f>SUMIF(95:95,G34,96:96)-SUMIF(95:95,C34,96:96)+100</f>
        <v>100</v>
      </c>
      <c r="I34" s="930"/>
      <c r="J34" s="539">
        <f>SUMIF(95:95,I34,96:96)-SUMIF(95:95,C34,96:96)+100</f>
        <v>100</v>
      </c>
      <c r="K34" s="574"/>
      <c r="L34" s="2021"/>
      <c r="M34" s="2013"/>
      <c r="N34" s="2013"/>
      <c r="O34" s="2020"/>
      <c r="P34" s="3664"/>
      <c r="Q34" s="1504">
        <f t="shared" si="11"/>
        <v>111</v>
      </c>
      <c r="R34" s="1505" t="s">
        <v>8</v>
      </c>
      <c r="S34" s="1506">
        <f t="shared" si="12"/>
        <v>100</v>
      </c>
      <c r="T34" s="1505" t="s">
        <v>8</v>
      </c>
      <c r="U34" s="1506">
        <f t="shared" si="13"/>
        <v>100</v>
      </c>
      <c r="V34" s="1505" t="s">
        <v>8</v>
      </c>
      <c r="W34" s="1506">
        <f t="shared" si="14"/>
        <v>100</v>
      </c>
      <c r="X34" s="1499"/>
      <c r="Y34" s="3664"/>
      <c r="Z34" s="1507">
        <f t="shared" si="15"/>
        <v>111</v>
      </c>
      <c r="AA34" s="1508">
        <f t="shared" si="3"/>
        <v>1</v>
      </c>
      <c r="AB34" s="1508">
        <f t="shared" si="4"/>
        <v>1</v>
      </c>
      <c r="AC34" s="1508">
        <f t="shared" si="5"/>
        <v>1</v>
      </c>
    </row>
    <row r="35" spans="1:29" ht="15">
      <c r="A35" s="600" t="s">
        <v>729</v>
      </c>
      <c r="B35" s="873"/>
      <c r="C35" s="2467" t="s">
        <v>1</v>
      </c>
      <c r="D35" s="2468"/>
      <c r="E35" s="2469">
        <f>ROUND(13000*E38,0)</f>
        <v>11700</v>
      </c>
      <c r="F35" s="2470"/>
      <c r="G35" s="2471">
        <f>ROUND(13000*E38,0)</f>
        <v>11700</v>
      </c>
      <c r="H35" s="2472"/>
      <c r="I35" s="2469">
        <f>ROUND(15000*E38,0)</f>
        <v>13500</v>
      </c>
      <c r="J35" s="2472"/>
      <c r="K35" s="1538"/>
      <c r="L35" s="2023"/>
      <c r="M35" s="2024"/>
      <c r="N35" s="2013"/>
      <c r="O35" s="2024"/>
      <c r="P35" s="3627" t="str">
        <f>A35</f>
        <v>成交单价（元/平方米）</v>
      </c>
      <c r="Q35" s="3627"/>
      <c r="R35" s="3666">
        <f>E35</f>
        <v>11700</v>
      </c>
      <c r="S35" s="3666"/>
      <c r="T35" s="3666">
        <f>G35</f>
        <v>11700</v>
      </c>
      <c r="U35" s="3666"/>
      <c r="V35" s="3666">
        <f>I35</f>
        <v>13500</v>
      </c>
      <c r="W35" s="3666"/>
      <c r="X35" s="1494"/>
      <c r="Y35" s="1513"/>
      <c r="Z35" s="1494"/>
      <c r="AA35" s="1494"/>
      <c r="AB35" s="1494"/>
      <c r="AC35" s="1494"/>
    </row>
    <row r="36" spans="1:29" ht="15.75" thickBot="1">
      <c r="A36" s="608" t="s">
        <v>2737</v>
      </c>
      <c r="B36" s="874"/>
      <c r="C36" s="2473">
        <f>R37</f>
        <v>11806</v>
      </c>
      <c r="D36" s="3009" t="s">
        <v>2949</v>
      </c>
      <c r="E36" s="2474">
        <f>R36</f>
        <v>11471</v>
      </c>
      <c r="F36" s="3010"/>
      <c r="G36" s="2473">
        <f>T36</f>
        <v>11471</v>
      </c>
      <c r="H36" s="3010"/>
      <c r="I36" s="2474">
        <f>V36</f>
        <v>12477</v>
      </c>
      <c r="J36" s="3010"/>
      <c r="K36" s="3018">
        <f>F36+H36+J36</f>
        <v>0</v>
      </c>
      <c r="L36" s="2023"/>
      <c r="M36" s="2024"/>
      <c r="N36" s="2013"/>
      <c r="O36" s="2024"/>
      <c r="P36" s="3627" t="str">
        <f>A36</f>
        <v>比较价格（元/平方米）</v>
      </c>
      <c r="Q36" s="3627"/>
      <c r="R36" s="3666">
        <f>IF(F1="售价",ROUND(PRODUCT(R35,AA7:AA34),0),ROUND(PRODUCT(R35,AA7:AA34),1))</f>
        <v>11471</v>
      </c>
      <c r="S36" s="3666"/>
      <c r="T36" s="3666">
        <f>IF(F1="售价",ROUND(PRODUCT(T35,AB7:AB34),0),ROUND(PRODUCT(T35,AB7:AB34),1))</f>
        <v>11471</v>
      </c>
      <c r="U36" s="3666"/>
      <c r="V36" s="3666">
        <f>IF(F1="售价",ROUND(PRODUCT(V35,AC7:AC34),0),ROUND(PRODUCT(V35,AC7:AC34),1))</f>
        <v>12477</v>
      </c>
      <c r="W36" s="3666"/>
      <c r="X36" s="1494"/>
      <c r="Y36" s="1494"/>
      <c r="Z36" s="1494"/>
      <c r="AA36" s="1494"/>
      <c r="AB36" s="1494"/>
      <c r="AC36" s="1494"/>
    </row>
    <row r="37" spans="1:29" ht="15.75" thickBot="1">
      <c r="A37" s="612" t="s">
        <v>2881</v>
      </c>
      <c r="B37" s="613"/>
      <c r="C37" s="2475">
        <f>R37</f>
        <v>11806</v>
      </c>
      <c r="D37" s="2475"/>
      <c r="E37" s="2475"/>
      <c r="F37" s="2475"/>
      <c r="G37" s="2475"/>
      <c r="H37" s="2475"/>
      <c r="I37" s="2475"/>
      <c r="J37" s="2475"/>
      <c r="K37" s="1539"/>
      <c r="L37" s="2023"/>
      <c r="M37" s="2024"/>
      <c r="N37" s="2024"/>
      <c r="O37" s="2024"/>
      <c r="P37" s="3624" t="str">
        <f>A37</f>
        <v>估价对象XX用房的比较价格（楼面单价，元/平方米）</v>
      </c>
      <c r="Q37" s="3625"/>
      <c r="R37" s="3665">
        <f>IF(F1="售价",ROUND(IF(D36="简单平均",AVERAGE(R36:W36),R36*F36+T36*H36+V36*J36),0),ROUND(IF(D36="简单平均",AVERAGE(R36:V36),R36*F36+T36*H36+V36*J36),1))</f>
        <v>11806</v>
      </c>
      <c r="S37" s="3665"/>
      <c r="T37" s="3665"/>
      <c r="U37" s="3665"/>
      <c r="V37" s="3665"/>
      <c r="W37" s="3665"/>
      <c r="X37" s="1494"/>
      <c r="Y37" s="1494"/>
      <c r="Z37" s="1494"/>
      <c r="AA37" s="1494"/>
      <c r="AB37" s="1494"/>
      <c r="AC37" s="1494"/>
    </row>
    <row r="38" spans="1:29">
      <c r="A38" s="3207"/>
      <c r="B38" s="3207"/>
      <c r="C38" s="3207"/>
      <c r="D38" s="3207"/>
      <c r="E38" s="3207">
        <v>0.9</v>
      </c>
      <c r="F38" s="3207"/>
      <c r="G38" s="3209"/>
      <c r="H38" s="3207"/>
      <c r="I38" s="3207"/>
      <c r="J38" s="3207"/>
      <c r="K38" s="3210"/>
      <c r="L38" s="2028"/>
      <c r="M38" s="2024"/>
      <c r="N38" s="2024"/>
      <c r="O38" s="2024"/>
      <c r="P38" s="2024"/>
      <c r="Q38" s="2024"/>
      <c r="R38" s="2024"/>
      <c r="S38" s="2024"/>
      <c r="T38" s="2024"/>
      <c r="U38" s="2024"/>
      <c r="V38" s="2024"/>
      <c r="W38" s="2024"/>
      <c r="X38" s="2024"/>
      <c r="Y38" s="2024"/>
      <c r="Z38" s="2024"/>
      <c r="AA38" s="2024"/>
      <c r="AB38" s="2024"/>
      <c r="AC38" s="2024"/>
    </row>
    <row r="39" spans="1:29">
      <c r="A39" s="3207"/>
      <c r="B39" s="3207"/>
      <c r="C39" s="3207"/>
      <c r="D39" s="3207"/>
      <c r="E39" s="3207"/>
      <c r="F39" s="3207"/>
      <c r="G39" s="3207"/>
      <c r="H39" s="3207"/>
      <c r="I39" s="3207"/>
      <c r="J39" s="3207"/>
      <c r="K39" s="3210"/>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7"/>
      <c r="B40" s="3207"/>
      <c r="C40" s="615" t="s">
        <v>551</v>
      </c>
      <c r="D40" s="616"/>
      <c r="E40" s="617">
        <f>IF(E35&lt;E36,E36/E35-1,E35/E36-1)</f>
        <v>1.99633859297359E-2</v>
      </c>
      <c r="F40" s="618" t="str">
        <f>IF(OR(E40&gt;=0.3,E40&lt;=-0.3),"超过30%","")</f>
        <v/>
      </c>
      <c r="G40" s="617">
        <f>IF(G35&lt;G36,G36/G35-1,G35/G36-1)</f>
        <v>1.99633859297359E-2</v>
      </c>
      <c r="H40" s="618" t="str">
        <f>IF(OR(G40&gt;=0.3,G40&lt;=-0.3),"超过30%","")</f>
        <v/>
      </c>
      <c r="I40" s="617">
        <f>IF(I35&lt;I36,I36/I35-1,I35/I36-1)</f>
        <v>8.1990863188266427E-2</v>
      </c>
      <c r="J40" s="618" t="str">
        <f>IF(OR(I40&gt;=0.3,I40&lt;=-0.3),"超过30%","")</f>
        <v/>
      </c>
      <c r="K40" s="3210"/>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7"/>
      <c r="B41" s="3207"/>
      <c r="C41" s="615" t="s">
        <v>552</v>
      </c>
      <c r="D41" s="619"/>
      <c r="E41" s="617">
        <f>IF(E36&lt;G36,G36/E36-1,E36/G36-1)</f>
        <v>0</v>
      </c>
      <c r="F41" s="618" t="str">
        <f>IF(OR(E41&gt;=0.2,E41&lt;=-0.2),"超过20%","")</f>
        <v/>
      </c>
      <c r="G41" s="617">
        <f>IF(G36&lt;I36,I36/G36-1,G36/I36-1)</f>
        <v>8.7699415918403023E-2</v>
      </c>
      <c r="H41" s="618" t="str">
        <f>IF(OR(G41&gt;=0.2,G41&lt;=-0.2),"超过20%","")</f>
        <v/>
      </c>
      <c r="I41" s="617">
        <f>IF(I36&lt;E36,E36/I36-1,I36/E36-1)</f>
        <v>8.7699415918403023E-2</v>
      </c>
      <c r="J41" s="618" t="str">
        <f>IF(OR(I41&gt;=0.2,I41&lt;=-0.2),"超过20%","")</f>
        <v/>
      </c>
      <c r="K41" s="3210"/>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08"/>
      <c r="B42" s="3208"/>
      <c r="C42" s="615" t="s">
        <v>553</v>
      </c>
      <c r="D42" s="619"/>
      <c r="E42" s="617">
        <f>IF(E35&lt;G35,G35/E35-1,E35/G35-1)</f>
        <v>0</v>
      </c>
      <c r="F42" s="618" t="str">
        <f>IF(OR(E42&gt;=0.3,E42&lt;=-0.3),"超过30%","")</f>
        <v/>
      </c>
      <c r="G42" s="617">
        <f>IF(G35&lt;I35,I35/G35-1,G35/I35-1)</f>
        <v>0.15384615384615374</v>
      </c>
      <c r="H42" s="618" t="str">
        <f>IF(OR(G42&gt;=0.3,G42&lt;=-0.3),"超过30%","")</f>
        <v/>
      </c>
      <c r="I42" s="617">
        <f>IF(I35&lt;E35,E35/I35-1,I35/E35-1)</f>
        <v>0.15384615384615374</v>
      </c>
      <c r="J42" s="618" t="str">
        <f>IF(OR(I42&gt;=0.3,I42&lt;=-0.3),"超过30%","")</f>
        <v/>
      </c>
      <c r="K42" s="3211"/>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5">
      <c r="A46" s="636" t="s">
        <v>523</v>
      </c>
      <c r="B46" s="637"/>
      <c r="C46" s="2516" t="str">
        <f>YEAR(C7)&amp;"-"&amp;MONTH(C7)</f>
        <v>2021-12</v>
      </c>
      <c r="D46" s="2518">
        <f>EDATE(C46,-1)</f>
        <v>44501</v>
      </c>
      <c r="E46" s="2518">
        <f t="shared" ref="E46:O46" si="16">EDATE(D46,-1)</f>
        <v>44470</v>
      </c>
      <c r="F46" s="2518">
        <f t="shared" si="16"/>
        <v>44440</v>
      </c>
      <c r="G46" s="2518">
        <f t="shared" si="16"/>
        <v>44409</v>
      </c>
      <c r="H46" s="2518">
        <f t="shared" si="16"/>
        <v>44378</v>
      </c>
      <c r="I46" s="2518">
        <f t="shared" si="16"/>
        <v>44348</v>
      </c>
      <c r="J46" s="2518">
        <f t="shared" si="16"/>
        <v>44317</v>
      </c>
      <c r="K46" s="2518">
        <f t="shared" si="16"/>
        <v>44287</v>
      </c>
      <c r="L46" s="2518">
        <f t="shared" si="16"/>
        <v>44256</v>
      </c>
      <c r="M46" s="2518">
        <f t="shared" si="16"/>
        <v>44228</v>
      </c>
      <c r="N46" s="2518">
        <f t="shared" si="16"/>
        <v>44197</v>
      </c>
      <c r="O46" s="2518">
        <f t="shared" si="16"/>
        <v>44166</v>
      </c>
      <c r="P46" s="2038"/>
      <c r="Q46" s="2039"/>
      <c r="R46" s="2039"/>
      <c r="S46" s="2039"/>
      <c r="T46" s="2039"/>
      <c r="U46" s="2039"/>
      <c r="V46" s="2039"/>
      <c r="W46" s="2039"/>
      <c r="X46" s="2039"/>
      <c r="Y46" s="2039"/>
      <c r="Z46" s="2039"/>
      <c r="AA46" s="2039"/>
      <c r="AB46" s="2039"/>
      <c r="AC46" s="2039"/>
    </row>
    <row r="47" spans="1:29" s="1200" customFormat="1" ht="15">
      <c r="A47" s="638"/>
      <c r="B47" s="639"/>
      <c r="C47" s="640">
        <v>100</v>
      </c>
      <c r="D47" s="641">
        <f>C47</f>
        <v>100</v>
      </c>
      <c r="E47" s="641">
        <f t="shared" ref="E47:M47" si="17">D47</f>
        <v>100</v>
      </c>
      <c r="F47" s="641">
        <f t="shared" si="17"/>
        <v>100</v>
      </c>
      <c r="G47" s="641">
        <f t="shared" si="17"/>
        <v>100</v>
      </c>
      <c r="H47" s="641">
        <f t="shared" si="17"/>
        <v>100</v>
      </c>
      <c r="I47" s="641">
        <f t="shared" si="17"/>
        <v>100</v>
      </c>
      <c r="J47" s="641">
        <f t="shared" si="17"/>
        <v>100</v>
      </c>
      <c r="K47" s="641">
        <f t="shared" si="17"/>
        <v>100</v>
      </c>
      <c r="L47" s="641">
        <f t="shared" si="17"/>
        <v>100</v>
      </c>
      <c r="M47" s="641">
        <f t="shared" si="17"/>
        <v>100</v>
      </c>
      <c r="N47" s="641"/>
      <c r="O47" s="643"/>
      <c r="P47" s="2036"/>
      <c r="Q47" s="1902"/>
      <c r="R47" s="1902"/>
      <c r="S47" s="1902"/>
      <c r="T47" s="1902"/>
      <c r="U47" s="1902"/>
      <c r="V47" s="1902"/>
      <c r="W47" s="1902"/>
      <c r="X47" s="1902"/>
      <c r="Y47" s="1902"/>
      <c r="Z47" s="1902"/>
      <c r="AA47" s="1902"/>
      <c r="AB47" s="1902"/>
      <c r="AC47" s="1902"/>
    </row>
    <row r="48" spans="1:29" s="1200"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0"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0"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t="str">
        <f>C9</f>
        <v>地下仓储</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730</v>
      </c>
      <c r="D53" s="665" t="s">
        <v>731</v>
      </c>
      <c r="E53" s="665" t="s">
        <v>732</v>
      </c>
      <c r="F53" s="665" t="s">
        <v>733</v>
      </c>
      <c r="G53" s="665" t="s">
        <v>734</v>
      </c>
      <c r="H53" s="665" t="s">
        <v>735</v>
      </c>
      <c r="I53" s="665" t="s">
        <v>736</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1">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0"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0"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0"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0"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98</v>
      </c>
      <c r="E62" s="670">
        <f>D62-$K14</f>
        <v>96</v>
      </c>
      <c r="F62" s="670">
        <f>E62-$K14</f>
        <v>94</v>
      </c>
      <c r="G62" s="670">
        <f>F62-$K14</f>
        <v>92</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2536</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98</v>
      </c>
      <c r="E64" s="670">
        <f>D64-$K16</f>
        <v>96</v>
      </c>
      <c r="F64" s="670">
        <f>E64-$K16</f>
        <v>94</v>
      </c>
      <c r="G64" s="670">
        <f>F64-$K16</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2537</v>
      </c>
      <c r="C65" s="2439" t="s">
        <v>2538</v>
      </c>
      <c r="D65" s="2439" t="s">
        <v>2539</v>
      </c>
      <c r="E65" s="2439" t="s">
        <v>2540</v>
      </c>
      <c r="F65" s="2439" t="s">
        <v>2541</v>
      </c>
      <c r="G65" s="2439" t="s">
        <v>2542</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98</v>
      </c>
      <c r="E66" s="670">
        <f>D66-$K18</f>
        <v>96</v>
      </c>
      <c r="F66" s="670">
        <f>E66-$K18</f>
        <v>94</v>
      </c>
      <c r="G66" s="670">
        <f>F66-$K18</f>
        <v>92</v>
      </c>
      <c r="H66" s="921"/>
      <c r="I66" s="921"/>
      <c r="J66" s="921"/>
      <c r="K66" s="921"/>
      <c r="L66" s="921"/>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737</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98</v>
      </c>
      <c r="E68" s="670">
        <f>D68-$K20</f>
        <v>96</v>
      </c>
      <c r="F68" s="670">
        <f>E68-$K20</f>
        <v>94</v>
      </c>
      <c r="G68" s="670">
        <f>F68-$K20</f>
        <v>92</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3330" t="s">
        <v>3378</v>
      </c>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95</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0" customFormat="1" ht="15.75" thickTop="1">
      <c r="A71" s="700"/>
      <c r="B71" s="664">
        <f>B23</f>
        <v>111</v>
      </c>
      <c r="C71" s="534"/>
      <c r="D71" s="534"/>
      <c r="E71" s="534"/>
      <c r="F71" s="534"/>
      <c r="G71" s="679"/>
      <c r="H71" s="679"/>
      <c r="I71" s="679"/>
      <c r="J71" s="679"/>
      <c r="K71" s="679"/>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0" customFormat="1" ht="15.75" thickTop="1">
      <c r="A73" s="700"/>
      <c r="B73" s="664">
        <f>B24</f>
        <v>111</v>
      </c>
      <c r="C73" s="534"/>
      <c r="D73" s="534"/>
      <c r="E73" s="534"/>
      <c r="F73" s="534"/>
      <c r="G73" s="679"/>
      <c r="H73" s="679"/>
      <c r="I73" s="679"/>
      <c r="J73" s="679"/>
      <c r="K73" s="679"/>
      <c r="L73" s="679"/>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0"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0"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744</v>
      </c>
      <c r="C77" s="3330" t="s">
        <v>3292</v>
      </c>
      <c r="D77" s="3330" t="s">
        <v>3293</v>
      </c>
      <c r="E77" s="3329" t="s">
        <v>3294</v>
      </c>
      <c r="F77" s="3329" t="s">
        <v>3295</v>
      </c>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8">C78-$K26</f>
        <v>98</v>
      </c>
      <c r="E78" s="670">
        <f t="shared" si="18"/>
        <v>96</v>
      </c>
      <c r="F78" s="670">
        <f t="shared" si="18"/>
        <v>94</v>
      </c>
      <c r="G78" s="670">
        <f t="shared" si="18"/>
        <v>92</v>
      </c>
      <c r="H78" s="670">
        <f t="shared" si="18"/>
        <v>90</v>
      </c>
      <c r="I78" s="670">
        <f t="shared" si="18"/>
        <v>88</v>
      </c>
      <c r="J78" s="670">
        <f t="shared" si="18"/>
        <v>86</v>
      </c>
      <c r="K78" s="670">
        <f t="shared" si="18"/>
        <v>84</v>
      </c>
      <c r="L78" s="670">
        <f t="shared" si="18"/>
        <v>82</v>
      </c>
      <c r="M78" s="671">
        <f t="shared" si="18"/>
        <v>80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5.75" thickBot="1">
      <c r="A81" s="678"/>
      <c r="B81" s="669"/>
      <c r="C81" s="703">
        <v>100</v>
      </c>
      <c r="D81" s="670">
        <f t="shared" ref="D81:M81" si="19">C81+$K27</f>
        <v>103</v>
      </c>
      <c r="E81" s="670">
        <f t="shared" si="19"/>
        <v>106</v>
      </c>
      <c r="F81" s="670">
        <f t="shared" si="19"/>
        <v>109</v>
      </c>
      <c r="G81" s="670">
        <f t="shared" si="19"/>
        <v>112</v>
      </c>
      <c r="H81" s="670">
        <f t="shared" si="19"/>
        <v>115</v>
      </c>
      <c r="I81" s="670">
        <f t="shared" si="19"/>
        <v>118</v>
      </c>
      <c r="J81" s="670">
        <f t="shared" si="19"/>
        <v>121</v>
      </c>
      <c r="K81" s="670">
        <f t="shared" si="19"/>
        <v>124</v>
      </c>
      <c r="L81" s="670">
        <f t="shared" si="19"/>
        <v>127</v>
      </c>
      <c r="M81" s="670">
        <f t="shared" si="19"/>
        <v>130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810</v>
      </c>
      <c r="C82" s="3341" t="s">
        <v>3338</v>
      </c>
      <c r="D82" s="3341" t="s">
        <v>3339</v>
      </c>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20">C83-$K28</f>
        <v>98</v>
      </c>
      <c r="E83" s="670">
        <f t="shared" si="20"/>
        <v>96</v>
      </c>
      <c r="F83" s="670">
        <f t="shared" si="20"/>
        <v>94</v>
      </c>
      <c r="G83" s="670">
        <f t="shared" si="20"/>
        <v>92</v>
      </c>
      <c r="H83" s="670">
        <f t="shared" si="20"/>
        <v>90</v>
      </c>
      <c r="I83" s="670">
        <f t="shared" si="20"/>
        <v>88</v>
      </c>
      <c r="J83" s="670">
        <f t="shared" si="20"/>
        <v>86</v>
      </c>
      <c r="K83" s="670">
        <f t="shared" si="20"/>
        <v>84</v>
      </c>
      <c r="L83" s="670">
        <f t="shared" si="20"/>
        <v>82</v>
      </c>
      <c r="M83" s="671">
        <f t="shared" si="20"/>
        <v>80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818</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1">C85+$K29</f>
        <v>100</v>
      </c>
      <c r="E85" s="670">
        <f t="shared" si="21"/>
        <v>100</v>
      </c>
      <c r="F85" s="670">
        <f t="shared" si="21"/>
        <v>100</v>
      </c>
      <c r="G85" s="670">
        <f t="shared" si="21"/>
        <v>100</v>
      </c>
      <c r="H85" s="670">
        <f t="shared" si="21"/>
        <v>100</v>
      </c>
      <c r="I85" s="670">
        <f t="shared" si="21"/>
        <v>100</v>
      </c>
      <c r="J85" s="670">
        <f t="shared" si="21"/>
        <v>100</v>
      </c>
      <c r="K85" s="670">
        <f t="shared" si="21"/>
        <v>100</v>
      </c>
      <c r="L85" s="670">
        <f t="shared" si="21"/>
        <v>100</v>
      </c>
      <c r="M85" s="670">
        <f t="shared" si="21"/>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819</v>
      </c>
      <c r="C86" s="699" t="str">
        <f t="shared" ref="C86:L86" si="22">C87&amp;"(含)"&amp;"-"&amp;D87</f>
        <v>0(含)-30</v>
      </c>
      <c r="D86" s="699" t="str">
        <f t="shared" si="22"/>
        <v>30(含)-</v>
      </c>
      <c r="E86" s="699" t="str">
        <f t="shared" si="22"/>
        <v>(含)-</v>
      </c>
      <c r="F86" s="699" t="str">
        <f t="shared" si="22"/>
        <v>(含)-</v>
      </c>
      <c r="G86" s="699" t="str">
        <f t="shared" si="22"/>
        <v>(含)-</v>
      </c>
      <c r="H86" s="699" t="str">
        <f t="shared" si="22"/>
        <v>(含)-</v>
      </c>
      <c r="I86" s="699" t="str">
        <f t="shared" si="22"/>
        <v>(含)-</v>
      </c>
      <c r="J86" s="699" t="str">
        <f t="shared" si="22"/>
        <v>(含)-</v>
      </c>
      <c r="K86" s="699" t="str">
        <f t="shared" si="22"/>
        <v>(含)-</v>
      </c>
      <c r="L86" s="699" t="str">
        <f t="shared" si="22"/>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v>0</v>
      </c>
      <c r="D87" s="721">
        <v>30</v>
      </c>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0" customFormat="1" ht="15" thickTop="1">
      <c r="A89" s="719"/>
      <c r="B89" s="664" t="s">
        <v>820</v>
      </c>
      <c r="C89" s="679"/>
      <c r="D89" s="679"/>
      <c r="E89" s="679"/>
      <c r="F89" s="679"/>
      <c r="G89" s="679"/>
      <c r="H89" s="679"/>
      <c r="I89" s="679"/>
      <c r="J89" s="679"/>
      <c r="K89" s="679"/>
      <c r="L89" s="679"/>
      <c r="M89" s="877"/>
      <c r="N89" s="2045"/>
      <c r="O89" s="2045"/>
      <c r="P89" s="2046"/>
      <c r="Q89" s="2047"/>
      <c r="R89" s="2048"/>
      <c r="S89" s="2048"/>
      <c r="T89" s="2048"/>
      <c r="U89" s="2048"/>
      <c r="V89" s="2048"/>
      <c r="W89" s="2048"/>
      <c r="X89" s="2048"/>
      <c r="Y89" s="2048"/>
      <c r="Z89" s="2048"/>
      <c r="AA89" s="2048"/>
      <c r="AB89" s="2048"/>
      <c r="AC89" s="2048"/>
    </row>
    <row r="90" spans="1:29" s="1290"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3">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6">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10 E10 G10 I10" xr:uid="{00000000-0002-0000-1A00-000003000000}">
      <formula1>土地年限区间</formula1>
    </dataValidation>
    <dataValidation type="list" allowBlank="1" showInputMessage="1" showErrorMessage="1" sqref="C8 E8 G8 I8" xr:uid="{00000000-0002-0000-1A00-000004000000}">
      <formula1>仓储交易情况</formula1>
    </dataValidation>
    <dataValidation type="list" allowBlank="1" showInputMessage="1" showErrorMessage="1" sqref="E9 G9 I9" xr:uid="{00000000-0002-0000-1A00-000005000000}">
      <formula1>仓储用途</formula1>
    </dataValidation>
    <dataValidation type="list" allowBlank="1" showInputMessage="1" showErrorMessage="1" sqref="C21 E21 G21 I21" xr:uid="{00000000-0002-0000-1A00-000006000000}">
      <formula1>环境</formula1>
    </dataValidation>
    <dataValidation type="list" allowBlank="1" showInputMessage="1" showErrorMessage="1" sqref="C22 E22 G22 I22" xr:uid="{00000000-0002-0000-1A00-000007000000}">
      <formula1>仓储楼层</formula1>
    </dataValidation>
    <dataValidation type="list" allowBlank="1" showInputMessage="1" showErrorMessage="1" sqref="C26 E26 G26 I26" xr:uid="{00000000-0002-0000-1A00-000008000000}">
      <formula1>仓储公共部分装修</formula1>
    </dataValidation>
    <dataValidation type="list" allowBlank="1" showInputMessage="1" showErrorMessage="1" sqref="C29 E29 G29 I29" xr:uid="{00000000-0002-0000-1A00-000009000000}">
      <formula1>有无电梯</formula1>
    </dataValidation>
    <dataValidation type="list" allowBlank="1" showInputMessage="1" showErrorMessage="1" sqref="C31 E31 G31 I31" xr:uid="{00000000-0002-0000-1A00-00000A000000}">
      <formula1>是否封闭</formula1>
    </dataValidation>
    <dataValidation type="list" allowBlank="1" showInputMessage="1" showErrorMessage="1" sqref="B1" xr:uid="{00000000-0002-0000-1A00-00000B000000}">
      <formula1>地类判定</formula1>
    </dataValidation>
    <dataValidation type="list" allowBlank="1" showInputMessage="1" showErrorMessage="1" sqref="C28 E28 G28 I28" xr:uid="{00000000-0002-0000-1A00-00000C000000}">
      <formula1>仓储物业等级</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F1" xr:uid="{00000000-0002-0000-1A00-00000E000000}">
      <formula1>"售价,租金"</formula1>
    </dataValidation>
    <dataValidation type="list" allowBlank="1" showInputMessage="1" showErrorMessage="1" sqref="D36" xr:uid="{00000000-0002-0000-1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8"/>
  <sheetViews>
    <sheetView workbookViewId="0">
      <selection activeCell="I18" sqref="I18"/>
    </sheetView>
  </sheetViews>
  <sheetFormatPr defaultRowHeight="13.5"/>
  <cols>
    <col min="1" max="1" width="16.5" customWidth="1"/>
    <col min="2" max="2" width="11.375" bestFit="1" customWidth="1"/>
    <col min="4" max="4" width="12.125" customWidth="1"/>
    <col min="7" max="8" width="11.5" customWidth="1"/>
    <col min="9" max="9" width="29.25" customWidth="1"/>
    <col min="10" max="10" width="25.375" customWidth="1"/>
  </cols>
  <sheetData>
    <row r="1" spans="1:12" s="3359" customFormat="1" ht="24">
      <c r="A1" s="3360" t="s">
        <v>2842</v>
      </c>
      <c r="B1" s="3361" t="s">
        <v>3309</v>
      </c>
      <c r="C1" s="3362" t="s">
        <v>3017</v>
      </c>
      <c r="D1" s="3362" t="s">
        <v>3315</v>
      </c>
      <c r="E1" s="3360" t="s">
        <v>3019</v>
      </c>
      <c r="F1" s="3360" t="s">
        <v>3312</v>
      </c>
      <c r="G1" s="3360"/>
      <c r="H1" s="3360"/>
      <c r="I1" s="3360"/>
      <c r="J1" s="3360"/>
      <c r="K1" s="3360" t="s">
        <v>3367</v>
      </c>
      <c r="L1" s="3360"/>
    </row>
    <row r="2" spans="1:12" s="3359" customFormat="1" ht="12">
      <c r="A2" s="3363" t="s">
        <v>3359</v>
      </c>
      <c r="B2" s="3364">
        <v>44470</v>
      </c>
      <c r="C2" s="3360" t="s">
        <v>3116</v>
      </c>
      <c r="D2" s="3365">
        <v>16139</v>
      </c>
      <c r="E2" s="3360">
        <v>425</v>
      </c>
      <c r="F2" s="3360">
        <v>3</v>
      </c>
      <c r="G2" s="3360" t="s">
        <v>3362</v>
      </c>
      <c r="H2" s="3360" t="s">
        <v>3363</v>
      </c>
      <c r="I2" s="3360"/>
      <c r="J2" s="3360"/>
      <c r="K2" s="3360">
        <v>16349</v>
      </c>
      <c r="L2" s="3360" t="s">
        <v>3372</v>
      </c>
    </row>
    <row r="3" spans="1:12" s="3359" customFormat="1" ht="12">
      <c r="A3" s="3360" t="s">
        <v>3361</v>
      </c>
      <c r="B3" s="3364">
        <v>44470</v>
      </c>
      <c r="C3" s="3360" t="s">
        <v>3116</v>
      </c>
      <c r="D3" s="3360">
        <v>14053</v>
      </c>
      <c r="E3" s="3360">
        <v>11682</v>
      </c>
      <c r="F3" s="3360">
        <v>90</v>
      </c>
      <c r="G3" s="3360" t="s">
        <v>3364</v>
      </c>
      <c r="H3" s="3360" t="s">
        <v>3365</v>
      </c>
      <c r="I3" s="3360" t="s">
        <v>3360</v>
      </c>
      <c r="J3" s="3360" t="s">
        <v>3366</v>
      </c>
      <c r="K3" s="3365">
        <v>13616</v>
      </c>
      <c r="L3" s="3360" t="s">
        <v>3371</v>
      </c>
    </row>
    <row r="4" spans="1:12" s="3344" customFormat="1" ht="12">
      <c r="A4" s="3366" t="s">
        <v>3369</v>
      </c>
      <c r="B4" s="3364">
        <v>44470</v>
      </c>
      <c r="C4" s="3360" t="s">
        <v>3116</v>
      </c>
      <c r="D4" s="3367">
        <v>18797</v>
      </c>
      <c r="E4" s="3366">
        <v>105</v>
      </c>
      <c r="F4" s="3366">
        <v>2</v>
      </c>
      <c r="G4" s="3366"/>
      <c r="H4" s="3366"/>
      <c r="I4" s="3366" t="s">
        <v>3370</v>
      </c>
      <c r="J4" s="3366"/>
      <c r="K4" s="3366">
        <v>19810</v>
      </c>
      <c r="L4" s="3366" t="s">
        <v>3373</v>
      </c>
    </row>
    <row r="5" spans="1:12" s="3344" customFormat="1" ht="12">
      <c r="A5" s="3370"/>
      <c r="B5" s="3371"/>
      <c r="C5" s="3372"/>
      <c r="D5" s="3373"/>
      <c r="E5" s="3370"/>
      <c r="F5" s="3370"/>
      <c r="G5" s="3370"/>
      <c r="H5" s="3370"/>
      <c r="I5" s="3370"/>
      <c r="J5" s="3370"/>
      <c r="K5" s="3370"/>
      <c r="L5" s="3370"/>
    </row>
    <row r="6" spans="1:12">
      <c r="B6" s="3241" t="s">
        <v>3376</v>
      </c>
      <c r="H6" s="3241"/>
    </row>
    <row r="7" spans="1:12">
      <c r="A7" s="3241" t="s">
        <v>3374</v>
      </c>
      <c r="B7" s="3368">
        <v>15000</v>
      </c>
    </row>
    <row r="8" spans="1:12" s="3313" customFormat="1">
      <c r="A8" s="3376" t="s">
        <v>3375</v>
      </c>
      <c r="B8" s="3375">
        <v>15000</v>
      </c>
    </row>
    <row r="9" spans="1:12" s="3313" customFormat="1">
      <c r="A9" s="3374" t="s">
        <v>3228</v>
      </c>
      <c r="B9" s="3375">
        <v>13000</v>
      </c>
    </row>
    <row r="10" spans="1:12" s="3313" customFormat="1">
      <c r="A10" s="3374" t="s">
        <v>3333</v>
      </c>
      <c r="B10" s="3375">
        <v>13000</v>
      </c>
    </row>
    <row r="11" spans="1:12">
      <c r="B11" s="3369"/>
    </row>
    <row r="12" spans="1:12">
      <c r="B12" s="3369"/>
    </row>
    <row r="13" spans="1:12">
      <c r="B13" s="3369"/>
    </row>
    <row r="18" spans="4:8">
      <c r="D18" s="3241"/>
      <c r="E18" s="3241"/>
      <c r="F18" s="3241"/>
      <c r="G18" s="3241"/>
      <c r="H18" s="3241"/>
    </row>
  </sheetData>
  <phoneticPr fontId="22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受贵公司委托，我公司对北京市宋庄镇6004地块出让国有建设用地使用权抵押价格进行了预评估。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估价对象为使用的、位于北京市宋庄镇6004地块出让国有建设用地使用权。根据，估价对象（分摊）出让国有建设用地使用权面积为23100.27平方米。根据，估价对象规划建筑面积为63115.493平方米。</v>
      </c>
    </row>
    <row r="7" spans="1:4" ht="56.25">
      <c r="A7" s="1707" t="s">
        <v>2724</v>
      </c>
    </row>
    <row r="8" spans="1:4" ht="18.75">
      <c r="A8" s="1706" t="s">
        <v>1896</v>
      </c>
    </row>
    <row r="9" spans="1:4" ht="75">
      <c r="A9" s="1708" t="str">
        <f>IF(项目基本情况!B8="抵押",IF(项目基本情况!B5=项目基本情况!B6,定义!C51,定义!B51),定义!D51)</f>
        <v>拟使用北京市宋庄镇6004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2021年12月2日（评估专业人员勘察现场之日）</v>
      </c>
    </row>
    <row r="12" spans="1:4" ht="18.75">
      <c r="A12" s="1709" t="s">
        <v>2012</v>
      </c>
    </row>
    <row r="13" spans="1:4" ht="18.75">
      <c r="A13" s="1703" t="s">
        <v>2887</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根据，估价对象（分摊）出让国有建设用地使用权面积为23100.27平方米。根据，估价对象规划建筑面积为63115.493平方米。</v>
      </c>
    </row>
    <row r="21" spans="1:1" ht="18.75">
      <c r="A21" s="1703" t="s">
        <v>2061</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本次估价对象为出让国有建设用地使用权，证载土地终止日期为住宅2091年5月16日、商业2061年5月16日地下车库2071年5月16日、仓储2071年5月16日。截至估价期日，出让国有建设用地使用权剩余土地使用年限为。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2021年12月2日，在规划利用条件下、设定土地开发程度为红线外“七通”、宗地内场地，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3" t="str">
        <f>IF(项目基本情况!B9="市场价格","——",IF(项目基本情况!E9="——","",定义!C57))</f>
        <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view="pageBreakPreview" zoomScale="90" zoomScaleNormal="60" zoomScaleSheetLayoutView="90" workbookViewId="0">
      <selection activeCell="G18" sqref="G1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3115</v>
      </c>
      <c r="D1" s="2793" t="s">
        <v>3128</v>
      </c>
      <c r="E1" s="2239" t="s">
        <v>2357</v>
      </c>
      <c r="F1" s="2240">
        <f ca="1">J53</f>
        <v>47.98</v>
      </c>
      <c r="G1" s="3252">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1716</v>
      </c>
      <c r="B2" s="764">
        <f ca="1">C40+J29+L46</f>
        <v>0</v>
      </c>
      <c r="C2" s="3257"/>
      <c r="D2" s="3258"/>
      <c r="E2" s="3259"/>
      <c r="F2" s="3259"/>
      <c r="G2" s="3253"/>
      <c r="H2" s="1937"/>
      <c r="I2" s="1937"/>
      <c r="J2" s="1937"/>
      <c r="K2" s="1938"/>
      <c r="L2" s="1937"/>
      <c r="M2" s="1937"/>
    </row>
    <row r="3" spans="1:33" ht="18" customHeight="1" thickBot="1">
      <c r="A3" s="821" t="s">
        <v>1717</v>
      </c>
      <c r="B3" s="822">
        <f ca="1">IF(ISERROR(B2*10000/F43),0,ROUND(B2*10000/F43,0))</f>
        <v>0</v>
      </c>
      <c r="C3" s="3257"/>
      <c r="D3" s="3258"/>
      <c r="E3" s="3259"/>
      <c r="F3" s="3259"/>
      <c r="G3" s="3253"/>
      <c r="H3" s="765" t="s">
        <v>689</v>
      </c>
      <c r="I3" s="1313"/>
      <c r="J3" s="1313"/>
      <c r="K3" s="1523"/>
      <c r="L3" s="1313"/>
      <c r="M3" s="1313"/>
    </row>
    <row r="4" spans="1:33" ht="18" customHeight="1">
      <c r="A4" s="766" t="s">
        <v>1718</v>
      </c>
      <c r="B4" s="767" t="s">
        <v>1719</v>
      </c>
      <c r="C4" s="767" t="s">
        <v>1720</v>
      </c>
      <c r="D4" s="767" t="s">
        <v>627</v>
      </c>
      <c r="E4" s="768" t="s">
        <v>1721</v>
      </c>
      <c r="F4" s="769"/>
      <c r="G4" s="1942"/>
      <c r="H4" s="766" t="s">
        <v>1722</v>
      </c>
      <c r="I4" s="767" t="s">
        <v>1723</v>
      </c>
      <c r="J4" s="767" t="s">
        <v>1724</v>
      </c>
      <c r="K4" s="767" t="s">
        <v>1725</v>
      </c>
      <c r="L4" s="768" t="s">
        <v>1726</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2" t="s">
        <v>2442</v>
      </c>
      <c r="C6" s="772">
        <f ca="1">ROUND(F6*F8*F7*(1-F9)/10000,0)</f>
        <v>0</v>
      </c>
      <c r="D6" s="2347" t="s">
        <v>2441</v>
      </c>
      <c r="E6" s="773" t="s">
        <v>1728</v>
      </c>
      <c r="F6" s="774">
        <f ca="1">INDIRECT("'数据-取费表'!u"&amp;$G$1)</f>
        <v>0</v>
      </c>
      <c r="G6" s="1942"/>
      <c r="H6" s="2354" t="s">
        <v>2447</v>
      </c>
      <c r="I6" s="3682" t="s">
        <v>2442</v>
      </c>
      <c r="J6" s="772">
        <f ca="1">ROUND(M6*M8*M7*(1-M9)/10000,0)</f>
        <v>0</v>
      </c>
      <c r="K6" s="338" t="s">
        <v>1727</v>
      </c>
      <c r="L6" s="773" t="s">
        <v>1728</v>
      </c>
      <c r="M6" s="774">
        <f ca="1">INDIRECT("'数据-取费表'!z"&amp;$G$1)</f>
        <v>0</v>
      </c>
    </row>
    <row r="7" spans="1:33" ht="18" customHeight="1">
      <c r="A7" s="2350"/>
      <c r="B7" s="3683"/>
      <c r="C7" s="777"/>
      <c r="D7" s="778"/>
      <c r="E7" s="773" t="s">
        <v>1729</v>
      </c>
      <c r="F7" s="774">
        <f ca="1">IF(INDIRECT("'数据-取费表'!ah"&amp;$G$1)="",INDIRECT("'数据-取费表'!k"&amp;$G$1),INDIRECT("'数据-取费表'!ah"&amp;$G$1))</f>
        <v>6701</v>
      </c>
      <c r="G7" s="1942"/>
      <c r="H7" s="2339"/>
      <c r="I7" s="3683"/>
      <c r="J7" s="777"/>
      <c r="K7" s="778"/>
      <c r="L7" s="773" t="s">
        <v>1729</v>
      </c>
      <c r="M7" s="774">
        <f ca="1">F7</f>
        <v>6701</v>
      </c>
    </row>
    <row r="8" spans="1:33" ht="18" customHeight="1">
      <c r="A8" s="2343"/>
      <c r="B8" s="3684"/>
      <c r="C8" s="777"/>
      <c r="D8" s="778"/>
      <c r="E8" s="773" t="s">
        <v>1730</v>
      </c>
      <c r="F8" s="774">
        <f ca="1">INDIRECT("'数据-取费表'!ai"&amp;$G$1)</f>
        <v>365</v>
      </c>
      <c r="G8" s="1942"/>
      <c r="H8" s="2339"/>
      <c r="I8" s="3684"/>
      <c r="J8" s="777"/>
      <c r="K8" s="778"/>
      <c r="L8" s="773" t="s">
        <v>1730</v>
      </c>
      <c r="M8" s="774">
        <f ca="1">INDIRECT("'数据-取费表'!ai"&amp;$G$1)</f>
        <v>365</v>
      </c>
    </row>
    <row r="9" spans="1:33" ht="18" customHeight="1">
      <c r="A9" s="775"/>
      <c r="B9" s="3685"/>
      <c r="C9" s="777"/>
      <c r="D9" s="778"/>
      <c r="E9" s="773" t="s">
        <v>1731</v>
      </c>
      <c r="F9" s="783">
        <f ca="1">INDIRECT("'数据-取费表'!w"&amp;$G$1)</f>
        <v>0</v>
      </c>
      <c r="G9" s="1942"/>
      <c r="H9" s="2355"/>
      <c r="I9" s="3684"/>
      <c r="J9" s="777"/>
      <c r="K9" s="778"/>
      <c r="L9" s="784" t="s">
        <v>1731</v>
      </c>
      <c r="M9" s="785">
        <f ca="1">INDIRECT("'数据-取费表'!ab"&amp;$G$1)</f>
        <v>0</v>
      </c>
    </row>
    <row r="10" spans="1:33" ht="18" customHeight="1">
      <c r="A10" s="1742" t="s">
        <v>2445</v>
      </c>
      <c r="B10" s="2344" t="s">
        <v>2438</v>
      </c>
      <c r="C10" s="788">
        <f ca="1">ROUND(IF(F10="押一",C6/12*F11,IF(F10="押二",C6/12*2*F11,IF(F10="押三",C6/12*3*F11,C11*F11))),0)</f>
        <v>0</v>
      </c>
      <c r="D10" s="2351" t="s">
        <v>2916</v>
      </c>
      <c r="E10" s="2348" t="s">
        <v>2443</v>
      </c>
      <c r="F10" s="2462" t="s">
        <v>3129</v>
      </c>
      <c r="G10" s="1942"/>
      <c r="H10" s="2411" t="s">
        <v>2448</v>
      </c>
      <c r="I10" s="2416" t="s">
        <v>2438</v>
      </c>
      <c r="J10" s="772">
        <f ca="1">ROUND(IF(M10="押一",J6/12*M11,IF(M10="押二",J6/12*2*M11,IF(M10="押三",J6/12*3*M11,J11*M11))),0)</f>
        <v>0</v>
      </c>
      <c r="K10" s="2351" t="s">
        <v>2916</v>
      </c>
      <c r="L10" s="2348" t="s">
        <v>2443</v>
      </c>
      <c r="M10" s="2462"/>
    </row>
    <row r="11" spans="1:33" ht="18" customHeight="1">
      <c r="A11" s="779"/>
      <c r="B11" s="2345" t="s">
        <v>2552</v>
      </c>
      <c r="C11" s="2349"/>
      <c r="D11" s="778"/>
      <c r="E11" s="2348" t="s">
        <v>2444</v>
      </c>
      <c r="F11" s="785">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1">
        <f ca="1">ROUND(C29*F13,0)</f>
        <v>0</v>
      </c>
      <c r="D13" s="1746" t="s">
        <v>2283</v>
      </c>
      <c r="E13" s="1746" t="s">
        <v>1734</v>
      </c>
      <c r="F13" s="2386">
        <f ca="1">INDIRECT("'数据-取费表'!y"&amp;$G$1)</f>
        <v>0</v>
      </c>
      <c r="G13" s="1942"/>
      <c r="H13" s="1741">
        <v>2</v>
      </c>
      <c r="I13" s="1739" t="s">
        <v>1732</v>
      </c>
      <c r="J13" s="1731">
        <f ca="1">ROUND(J14*J15,0)</f>
        <v>0</v>
      </c>
      <c r="K13" s="1733" t="s">
        <v>1733</v>
      </c>
      <c r="L13" s="2402"/>
      <c r="M13" s="2403"/>
    </row>
    <row r="14" spans="1:33" ht="18" customHeight="1">
      <c r="A14" s="1574" t="s">
        <v>1874</v>
      </c>
      <c r="B14" s="773" t="s">
        <v>639</v>
      </c>
      <c r="C14" s="793">
        <f ca="1">INDIRECT("'数据-取费表'!m"&amp;$G$1)+INDIRECT("'数据-取费表'!t"&amp;$G$1)</f>
        <v>2080</v>
      </c>
      <c r="D14" s="1890" t="s">
        <v>1735</v>
      </c>
      <c r="E14" s="1891"/>
      <c r="F14" s="794"/>
      <c r="G14" s="1942"/>
      <c r="H14" s="1575" t="s">
        <v>1820</v>
      </c>
      <c r="I14" s="2108" t="s">
        <v>2802</v>
      </c>
      <c r="J14" s="52">
        <f ca="1">C29</f>
        <v>2918</v>
      </c>
      <c r="K14" s="25"/>
      <c r="L14" s="790"/>
      <c r="M14" s="791"/>
    </row>
    <row r="15" spans="1:33" s="1944" customFormat="1" ht="18" customHeight="1" thickBot="1">
      <c r="A15" s="1574" t="s">
        <v>1875</v>
      </c>
      <c r="B15" s="773" t="s">
        <v>641</v>
      </c>
      <c r="C15" s="52">
        <f ca="1">ROUND(C14*F15,0)</f>
        <v>104</v>
      </c>
      <c r="D15" s="795" t="s">
        <v>1736</v>
      </c>
      <c r="E15" s="795" t="s">
        <v>1737</v>
      </c>
      <c r="F15" s="796">
        <f>'数据-取费表'!B33</f>
        <v>0.05</v>
      </c>
      <c r="G15" s="3254"/>
      <c r="H15" s="2401" t="s">
        <v>1879</v>
      </c>
      <c r="I15" s="2396" t="s">
        <v>1734</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1876</v>
      </c>
      <c r="B16" s="773" t="s">
        <v>644</v>
      </c>
      <c r="C16" s="52">
        <f ca="1">ROUND(INDIRECT("'数据-取费表'!m"&amp;$G$1)*F16,0)</f>
        <v>0</v>
      </c>
      <c r="D16" s="773" t="s">
        <v>1736</v>
      </c>
      <c r="E16" s="773" t="s">
        <v>1737</v>
      </c>
      <c r="F16" s="798">
        <f ca="1">IF(INDIRECT("'数据-取费表'!c"&amp;$G$1)="住宅",'数据-取费表'!B34,0)</f>
        <v>0</v>
      </c>
      <c r="G16" s="1942"/>
      <c r="H16" s="1741" t="s">
        <v>1738</v>
      </c>
      <c r="I16" s="1739" t="s">
        <v>1739</v>
      </c>
      <c r="J16" s="781">
        <f ca="1">ROUND(J17+J22+J23+J24,0)</f>
        <v>245</v>
      </c>
      <c r="K16" s="1733" t="s">
        <v>1740</v>
      </c>
      <c r="L16" s="2336"/>
      <c r="M16" s="2341"/>
    </row>
    <row r="17" spans="1:33" s="1944" customFormat="1" ht="18" customHeight="1">
      <c r="A17" s="1574" t="s">
        <v>1877</v>
      </c>
      <c r="B17" s="773" t="s">
        <v>647</v>
      </c>
      <c r="C17" s="52">
        <f ca="1">ROUND(F17*(F43+INDIRECT("'数据-取费表'!S"&amp;$G$1))/10000,0)</f>
        <v>139</v>
      </c>
      <c r="D17" s="773" t="s">
        <v>1741</v>
      </c>
      <c r="E17" s="773" t="s">
        <v>1742</v>
      </c>
      <c r="F17" s="55">
        <f>'数据-取费表'!B35</f>
        <v>200</v>
      </c>
      <c r="G17" s="3254"/>
      <c r="H17" s="1575" t="s">
        <v>1820</v>
      </c>
      <c r="I17" s="773" t="s">
        <v>650</v>
      </c>
      <c r="J17" s="3014">
        <f ca="1">ROUND(IF(AND(项目基本情况!B11="自然人",项目基本情况!B10="北京市"),J6*M17/(1+'数据-取费表'!C42),J18+J19+J20),0)</f>
        <v>245</v>
      </c>
      <c r="K17" s="2335" t="s">
        <v>1743</v>
      </c>
      <c r="L17" s="2334" t="s">
        <v>1744</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31</v>
      </c>
      <c r="D18" s="773" t="s">
        <v>1736</v>
      </c>
      <c r="E18" s="773" t="s">
        <v>1737</v>
      </c>
      <c r="F18" s="798">
        <f>'数据-取费表'!B36</f>
        <v>1.4999999999999999E-2</v>
      </c>
      <c r="G18" s="3254"/>
      <c r="H18" s="1574" t="s">
        <v>1874</v>
      </c>
      <c r="I18" s="773" t="s">
        <v>1745</v>
      </c>
      <c r="J18" s="52">
        <f ca="1">ROUND(J6*M18/(1+'数据-取费表'!C42),1)</f>
        <v>0</v>
      </c>
      <c r="K18" s="2334" t="s">
        <v>1746</v>
      </c>
      <c r="L18" s="773" t="s">
        <v>1737</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1820</v>
      </c>
      <c r="B19" s="773" t="s">
        <v>656</v>
      </c>
      <c r="C19" s="52">
        <f ca="1">SUM(C14:C18)</f>
        <v>2354</v>
      </c>
      <c r="D19" s="258" t="s">
        <v>1747</v>
      </c>
      <c r="E19" s="1893"/>
      <c r="F19" s="55"/>
      <c r="G19" s="1942"/>
      <c r="H19" s="1574" t="s">
        <v>1875</v>
      </c>
      <c r="I19" s="773" t="s">
        <v>1748</v>
      </c>
      <c r="J19" s="52">
        <f ca="1">IF(K19="按租金收入计税",ROUND(J6*M19/(1+'数据-取费表'!C42),1),ROUND(C29*F33*0.7,1))</f>
        <v>245.1</v>
      </c>
      <c r="K19" s="799" t="s">
        <v>659</v>
      </c>
      <c r="L19" s="773" t="s">
        <v>1737</v>
      </c>
      <c r="M19" s="798">
        <f>IF(K19="按租金收入计税",'数据-取费表'!B51,'数据-取费表'!B50)</f>
        <v>1.2E-2</v>
      </c>
    </row>
    <row r="20" spans="1:33" s="1944" customFormat="1" ht="18" customHeight="1">
      <c r="A20" s="1575" t="s">
        <v>1879</v>
      </c>
      <c r="B20" s="773" t="s">
        <v>660</v>
      </c>
      <c r="C20" s="52">
        <f ca="1">ROUND(C19*F20,0)</f>
        <v>59</v>
      </c>
      <c r="D20" s="800" t="s">
        <v>1749</v>
      </c>
      <c r="E20" s="773" t="s">
        <v>1737</v>
      </c>
      <c r="F20" s="798">
        <f>'数据-取费表'!B37</f>
        <v>2.5000000000000001E-2</v>
      </c>
      <c r="G20" s="3254"/>
      <c r="H20" s="1577" t="s">
        <v>1870</v>
      </c>
      <c r="I20" s="338" t="s">
        <v>1750</v>
      </c>
      <c r="J20" s="53">
        <f ca="1">ROUND(M20*M21/10000,0)</f>
        <v>0</v>
      </c>
      <c r="K20" s="802" t="s">
        <v>1751</v>
      </c>
      <c r="L20" s="773" t="s">
        <v>1752</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1753</v>
      </c>
      <c r="C21" s="52" t="s">
        <v>1754</v>
      </c>
      <c r="D21" s="800" t="s">
        <v>2284</v>
      </c>
      <c r="E21" s="773" t="s">
        <v>1755</v>
      </c>
      <c r="F21" s="798">
        <f>'数据-取费表'!B38</f>
        <v>2.5000000000000001E-2</v>
      </c>
      <c r="G21" s="3254"/>
      <c r="H21" s="2356"/>
      <c r="I21" s="782"/>
      <c r="J21" s="68"/>
      <c r="K21" s="804"/>
      <c r="L21" s="773" t="s">
        <v>1756</v>
      </c>
      <c r="M21" s="774">
        <f ca="1">INDIRECT("'数据-取费表'!r"&amp;$G$1)</f>
        <v>2537.73</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1757</v>
      </c>
      <c r="C22" s="52"/>
      <c r="D22" s="2421" t="str">
        <f>IF(F23&lt;=1,"单利计息。","复利计息。")&amp;"建造成本、管理费用、销售费用产生的利息。"</f>
        <v>复利计息。建造成本、管理费用、销售费用产生的利息。</v>
      </c>
      <c r="E22" s="1893"/>
      <c r="F22" s="55"/>
      <c r="G22" s="1942"/>
      <c r="H22" s="1575" t="s">
        <v>1879</v>
      </c>
      <c r="I22" s="773" t="s">
        <v>1758</v>
      </c>
      <c r="J22" s="52">
        <f ca="1">ROUND(J14*M22,0)</f>
        <v>0</v>
      </c>
      <c r="K22" s="2334" t="s">
        <v>1759</v>
      </c>
      <c r="L22" s="773" t="s">
        <v>1737</v>
      </c>
      <c r="M22" s="805">
        <f ca="1">INDIRECT("'数据-取费表'!Ak"&amp;$G$1)</f>
        <v>0</v>
      </c>
    </row>
    <row r="23" spans="1:33" s="1944" customFormat="1" ht="18" customHeight="1">
      <c r="A23" s="1574" t="s">
        <v>1821</v>
      </c>
      <c r="B23" s="773" t="s">
        <v>2514</v>
      </c>
      <c r="C23" s="52">
        <f ca="1">ROUND(IF('数据-取费表'!B22&lt;=1,(C19+C20)*F24*F23/2,(C19+C20)*(POWER((1+F24),F23/2)-1)),0)</f>
        <v>78</v>
      </c>
      <c r="D23" s="2420" t="str">
        <f>IF(F23&lt;=1,"(建造成本+管理费用)×利率×(建设周期÷2)","(建造成本+管理费用)×((1+利率)^(建设周期÷2)-1)")</f>
        <v>(建造成本+管理费用)×((1+利率)^(建设周期÷2)-1)</v>
      </c>
      <c r="E23" s="773" t="s">
        <v>1760</v>
      </c>
      <c r="F23" s="631">
        <f>'数据-取费表'!B20</f>
        <v>1.5</v>
      </c>
      <c r="G23" s="3254"/>
      <c r="H23" s="1575" t="s">
        <v>1880</v>
      </c>
      <c r="I23" s="773" t="s">
        <v>673</v>
      </c>
      <c r="J23" s="52">
        <f ca="1">ROUND(J13*M23,0)</f>
        <v>0</v>
      </c>
      <c r="K23" s="2334" t="s">
        <v>1761</v>
      </c>
      <c r="L23" s="773" t="s">
        <v>1737</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1762</v>
      </c>
      <c r="C24" s="52">
        <f ca="1">ROUND(IF('数据-取费表'!B22&lt;=1,F21*F24*F23/2,F21*(POWER((1+F24),F23/2)-1)),4)</f>
        <v>8.0000000000000004E-4</v>
      </c>
      <c r="D24" s="2420" t="str">
        <f>IF(F23&lt;=1,"销售费用×利率×(建设周期÷2)","销售费用×((1+利率)^(建设周期÷2)-1)")</f>
        <v>销售费用×((1+利率)^(建设周期÷2)-1)</v>
      </c>
      <c r="E24" s="773" t="s">
        <v>1763</v>
      </c>
      <c r="F24" s="807">
        <f ca="1">'数据-取费表'!B40</f>
        <v>4.3499999999999997E-2</v>
      </c>
      <c r="G24" s="3254"/>
      <c r="H24" s="2401" t="s">
        <v>1881</v>
      </c>
      <c r="I24" s="2396" t="s">
        <v>660</v>
      </c>
      <c r="J24" s="2394">
        <f ca="1">ROUND(J5*M24,0)</f>
        <v>0</v>
      </c>
      <c r="K24" s="2395" t="s">
        <v>1764</v>
      </c>
      <c r="L24" s="2396" t="s">
        <v>1737</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1765</v>
      </c>
      <c r="E25" s="1893"/>
      <c r="F25" s="55"/>
      <c r="G25" s="1942"/>
      <c r="H25" s="1741" t="s">
        <v>1766</v>
      </c>
      <c r="I25" s="2719" t="s">
        <v>2798</v>
      </c>
      <c r="J25" s="781">
        <f ca="1">J5-J16</f>
        <v>-245</v>
      </c>
      <c r="K25" s="2398" t="s">
        <v>1767</v>
      </c>
      <c r="L25" s="2399"/>
      <c r="M25" s="2400"/>
    </row>
    <row r="26" spans="1:33" ht="18" customHeight="1">
      <c r="A26" s="1574" t="s">
        <v>1821</v>
      </c>
      <c r="B26" s="773" t="s">
        <v>2420</v>
      </c>
      <c r="C26" s="52">
        <f ca="1">ROUND((C19+C20)*F26,0)</f>
        <v>193</v>
      </c>
      <c r="D26" s="800" t="s">
        <v>1768</v>
      </c>
      <c r="E26" s="784" t="s">
        <v>1769</v>
      </c>
      <c r="F26" s="783">
        <f ca="1">INDIRECT("'数据-取费表'!q"&amp;$G$1)</f>
        <v>0.08</v>
      </c>
      <c r="G26" s="1942"/>
      <c r="H26" s="2352" t="s">
        <v>1770</v>
      </c>
      <c r="I26" s="2109" t="s">
        <v>2803</v>
      </c>
      <c r="J26" s="772">
        <f ca="1">IF(J5&lt;&gt;0,ROUND(J25*(1-((1+M28)/(1+M26))^M27)/(M26-M28),0),0)</f>
        <v>0</v>
      </c>
      <c r="K26" s="802" t="s">
        <v>1771</v>
      </c>
      <c r="L26" s="773" t="s">
        <v>2402</v>
      </c>
      <c r="M26" s="783">
        <f ca="1">INDIRECT("'数据-取费表'!I"&amp;$G$1)</f>
        <v>0.05</v>
      </c>
    </row>
    <row r="27" spans="1:33" ht="18" customHeight="1">
      <c r="A27" s="1574" t="s">
        <v>1822</v>
      </c>
      <c r="B27" s="773" t="s">
        <v>680</v>
      </c>
      <c r="C27" s="52">
        <f ca="1">ROUND(F21*F26,4)</f>
        <v>2E-3</v>
      </c>
      <c r="D27" s="800" t="s">
        <v>1772</v>
      </c>
      <c r="E27" s="795"/>
      <c r="F27" s="796"/>
      <c r="G27" s="1942"/>
      <c r="H27" s="2353"/>
      <c r="I27" s="776"/>
      <c r="J27" s="777"/>
      <c r="K27" s="809" t="s">
        <v>1773</v>
      </c>
      <c r="L27" s="773" t="s">
        <v>1774</v>
      </c>
      <c r="M27" s="810">
        <f ca="1">INDIRECT("'数据-取费表'!ag"&amp;$G$1)</f>
        <v>0</v>
      </c>
    </row>
    <row r="28" spans="1:33" s="1944" customFormat="1" ht="18" customHeight="1">
      <c r="A28" s="1576" t="s">
        <v>1831</v>
      </c>
      <c r="B28" s="773" t="s">
        <v>681</v>
      </c>
      <c r="C28" s="52">
        <f>ROUND(F28/(1+'数据-取费表'!C42),4)</f>
        <v>5.2400000000000002E-2</v>
      </c>
      <c r="D28" s="800" t="s">
        <v>2285</v>
      </c>
      <c r="E28" s="773" t="s">
        <v>1775</v>
      </c>
      <c r="F28" s="798">
        <f>'数据-取费表'!B41</f>
        <v>5.5000000000000007E-2</v>
      </c>
      <c r="G28" s="3254"/>
      <c r="H28" s="1741"/>
      <c r="I28" s="780"/>
      <c r="J28" s="781"/>
      <c r="K28" s="804"/>
      <c r="L28" s="773" t="s">
        <v>1776</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2918</v>
      </c>
      <c r="D29" s="2395"/>
      <c r="E29" s="2396"/>
      <c r="F29" s="2397"/>
      <c r="G29" s="3254"/>
      <c r="H29" s="811" t="s">
        <v>1777</v>
      </c>
      <c r="I29" s="812" t="s">
        <v>1778</v>
      </c>
      <c r="J29" s="813">
        <f ca="1">ROUND(J26/(1+F40)^F41,0)</f>
        <v>0</v>
      </c>
      <c r="K29" s="814" t="s">
        <v>1779</v>
      </c>
      <c r="L29" s="815"/>
      <c r="M29" s="816">
        <f ca="1">INDIRECT("'数据-取费表'!k"&amp;$G$1)</f>
        <v>6701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1">
        <f ca="1">ROUND(C31+C36+C37+C38,0)</f>
        <v>0</v>
      </c>
      <c r="D30" s="1733" t="s">
        <v>1781</v>
      </c>
      <c r="E30" s="2336"/>
      <c r="F30" s="2341"/>
      <c r="G30" s="1942"/>
      <c r="H30" s="1945"/>
      <c r="I30" s="1946"/>
      <c r="J30" s="1947"/>
      <c r="K30" s="1948"/>
      <c r="L30" s="1949"/>
      <c r="M30" s="1950"/>
    </row>
    <row r="31" spans="1:33" ht="18" customHeight="1">
      <c r="A31" s="1575" t="s">
        <v>1820</v>
      </c>
      <c r="B31" s="773" t="s">
        <v>650</v>
      </c>
      <c r="C31" s="3014">
        <f ca="1">ROUND(IF(AND(项目基本情况!B11="自然人",项目基本情况!B10="北京市"),C6*F31/(1+'数据-取费表'!C42),C32+C33+C34),0)</f>
        <v>0</v>
      </c>
      <c r="D31" s="1890" t="s">
        <v>1782</v>
      </c>
      <c r="E31" s="1888" t="s">
        <v>1783</v>
      </c>
      <c r="F31" s="3013" t="str">
        <f>IF(项目基本情况!B11="企业","——",IF('数据-取费表'!B10="住宅",IF(F6*F7*F8/12/(1+'数据-取费表'!F30)&gt;100000,4%,2.5%),IF(F6*F7*F8/12/(1+'数据-取费表'!F30)&gt;100000,12%,7%)))</f>
        <v>——</v>
      </c>
      <c r="G31" s="1942"/>
      <c r="H31" s="3251" t="s">
        <v>2973</v>
      </c>
      <c r="I31" s="1946"/>
      <c r="J31" s="1947"/>
      <c r="K31" s="1948"/>
      <c r="L31" s="1949"/>
      <c r="M31" s="1950"/>
    </row>
    <row r="32" spans="1:33" ht="18" customHeight="1">
      <c r="A32" s="1574" t="s">
        <v>1821</v>
      </c>
      <c r="B32" s="773" t="s">
        <v>1784</v>
      </c>
      <c r="C32" s="52">
        <f ca="1">ROUND(C6*F32/(1+'数据-取费表'!C42),1)</f>
        <v>0</v>
      </c>
      <c r="D32" s="1888" t="s">
        <v>1785</v>
      </c>
      <c r="E32" s="773" t="s">
        <v>1786</v>
      </c>
      <c r="F32" s="798">
        <f>'数据-取费表'!B41</f>
        <v>5.5000000000000007E-2</v>
      </c>
      <c r="G32" s="1942"/>
      <c r="H32" s="1951"/>
      <c r="I32" s="1952"/>
      <c r="J32" s="1953"/>
      <c r="K32" s="1954"/>
      <c r="L32" s="1955"/>
      <c r="M32" s="1956"/>
    </row>
    <row r="33" spans="1:18" ht="18" customHeight="1">
      <c r="A33" s="1574" t="s">
        <v>1822</v>
      </c>
      <c r="B33" s="773" t="s">
        <v>1787</v>
      </c>
      <c r="C33" s="52">
        <f ca="1">IF(D33="按租金收入计税",ROUND(C6*F33/(1+'数据-取费表'!C42),1),IF(D33="按房产原值计税",ROUND(C29*F33*0.7,1),INDIRECT("'数据-取费表'!Aj"&amp;$G$1)))</f>
        <v>0</v>
      </c>
      <c r="D33" s="799" t="s">
        <v>3130</v>
      </c>
      <c r="E33" s="773" t="s">
        <v>1786</v>
      </c>
      <c r="F33" s="798">
        <f>IF(D33="按租金收入计税",'数据-取费表'!B51,'数据-取费表'!B50)</f>
        <v>0.12</v>
      </c>
      <c r="G33" s="1942"/>
      <c r="H33" s="1957"/>
      <c r="I33" s="1957"/>
      <c r="J33" s="1957"/>
      <c r="K33" s="1958"/>
      <c r="L33" s="1957"/>
      <c r="M33" s="1957"/>
    </row>
    <row r="34" spans="1:18" ht="18" customHeight="1">
      <c r="A34" s="1577" t="s">
        <v>1823</v>
      </c>
      <c r="B34" s="338" t="s">
        <v>1788</v>
      </c>
      <c r="C34" s="53">
        <f ca="1">ROUND(F34*F35/10000,1)</f>
        <v>0.4</v>
      </c>
      <c r="D34" s="802" t="s">
        <v>1789</v>
      </c>
      <c r="E34" s="773" t="s">
        <v>1790</v>
      </c>
      <c r="F34" s="631">
        <f>'数据-取费表'!B52</f>
        <v>1.5</v>
      </c>
      <c r="G34" s="1942"/>
      <c r="H34" s="1945"/>
      <c r="I34" s="823" t="s">
        <v>1803</v>
      </c>
      <c r="J34" s="824"/>
      <c r="K34" s="1960"/>
      <c r="L34" s="1959"/>
      <c r="M34" s="1959"/>
    </row>
    <row r="35" spans="1:18" ht="18" customHeight="1">
      <c r="A35" s="803"/>
      <c r="B35" s="782"/>
      <c r="C35" s="68"/>
      <c r="D35" s="804"/>
      <c r="E35" s="773" t="s">
        <v>1791</v>
      </c>
      <c r="F35" s="774">
        <f ca="1">INDIRECT("'数据-取费表'!r"&amp;$G$1)</f>
        <v>2537.73</v>
      </c>
      <c r="G35" s="1942"/>
      <c r="H35" s="1945"/>
      <c r="I35" s="825" t="s">
        <v>1804</v>
      </c>
      <c r="J35" s="826">
        <f ca="1">ROUND(C13*J36,0)</f>
        <v>0</v>
      </c>
      <c r="K35" s="1958"/>
      <c r="L35" s="1957"/>
      <c r="M35" s="1957"/>
    </row>
    <row r="36" spans="1:18" ht="18" customHeight="1">
      <c r="A36" s="1575" t="s">
        <v>1879</v>
      </c>
      <c r="B36" s="773" t="s">
        <v>1792</v>
      </c>
      <c r="C36" s="52">
        <f ca="1">ROUND(C29*F36,1)</f>
        <v>0</v>
      </c>
      <c r="D36" s="1888" t="s">
        <v>1793</v>
      </c>
      <c r="E36" s="773" t="s">
        <v>1786</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1888" t="s">
        <v>1794</v>
      </c>
      <c r="E37" s="773" t="s">
        <v>1786</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1795</v>
      </c>
      <c r="E38" s="2396" t="s">
        <v>1786</v>
      </c>
      <c r="F38" s="2392">
        <f ca="1">INDIRECT("'数据-取费表'!Am"&amp;$G$1)</f>
        <v>0</v>
      </c>
      <c r="G38" s="1942"/>
      <c r="H38" s="1957"/>
      <c r="I38" s="831" t="s">
        <v>1807</v>
      </c>
      <c r="J38" s="832"/>
      <c r="K38" s="1962"/>
      <c r="L38" s="1957"/>
      <c r="M38" s="1957"/>
    </row>
    <row r="39" spans="1:18" ht="24.6" customHeight="1" thickTop="1">
      <c r="A39" s="1741" t="s">
        <v>1884</v>
      </c>
      <c r="B39" s="2719" t="s">
        <v>2798</v>
      </c>
      <c r="C39" s="781">
        <f ca="1">C5-C30</f>
        <v>0</v>
      </c>
      <c r="D39" s="2398" t="s">
        <v>1796</v>
      </c>
      <c r="E39" s="2399"/>
      <c r="F39" s="2400"/>
      <c r="G39" s="1942"/>
      <c r="H39" s="1957"/>
      <c r="I39" s="825" t="s">
        <v>1808</v>
      </c>
      <c r="J39" s="833" t="e">
        <f ca="1">ROUND(J35/C39,3)</f>
        <v>#DIV/0!</v>
      </c>
      <c r="K39" s="1962"/>
      <c r="L39" s="1957"/>
      <c r="M39" s="1957"/>
    </row>
    <row r="40" spans="1:18" ht="18" customHeight="1">
      <c r="A40" s="770" t="s">
        <v>1885</v>
      </c>
      <c r="B40" s="2109" t="s">
        <v>2287</v>
      </c>
      <c r="C40" s="772">
        <f ca="1">ROUND(C39*(1-((1+F42)/(1+F40))^F41)/(F40-F42),0)</f>
        <v>0</v>
      </c>
      <c r="D40" s="802" t="s">
        <v>1797</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2907</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1799</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6701</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3131</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49.48</v>
      </c>
      <c r="M48" s="3256"/>
      <c r="O48" s="2250" t="s">
        <v>2362</v>
      </c>
      <c r="P48" s="2251" t="s">
        <v>2388</v>
      </c>
      <c r="Q48" s="2252">
        <f ca="1">C40+J29</f>
        <v>0</v>
      </c>
      <c r="R48" s="2251" t="s">
        <v>2363</v>
      </c>
    </row>
    <row r="49" spans="1:18" s="1939" customFormat="1" ht="18" customHeight="1" thickBot="1">
      <c r="A49" s="775"/>
      <c r="B49" s="776"/>
      <c r="C49" s="777"/>
      <c r="D49" s="778"/>
      <c r="E49" s="773" t="s">
        <v>1729</v>
      </c>
      <c r="F49" s="774">
        <f ca="1">F7</f>
        <v>6701</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1730</v>
      </c>
      <c r="F50" s="774">
        <f ca="1">F8</f>
        <v>365</v>
      </c>
      <c r="G50" s="1974"/>
      <c r="H50" s="1972"/>
      <c r="I50" s="2794" t="s">
        <v>2330</v>
      </c>
      <c r="J50" s="2801">
        <f>SUMPRODUCT((I63:I65=J47)*(J62:L62=J48)*(J63:L65))</f>
        <v>60</v>
      </c>
      <c r="K50" s="2805" t="s">
        <v>2336</v>
      </c>
      <c r="L50" s="2236"/>
      <c r="M50" s="3256"/>
      <c r="O50" s="2253" t="s">
        <v>2366</v>
      </c>
      <c r="P50" s="2251" t="s">
        <v>2390</v>
      </c>
      <c r="Q50" s="2252">
        <f ca="1">C29</f>
        <v>2918</v>
      </c>
      <c r="R50" s="2251" t="s">
        <v>2363</v>
      </c>
    </row>
    <row r="51" spans="1:18" s="1939" customFormat="1" ht="18" customHeight="1" thickBot="1">
      <c r="A51" s="775"/>
      <c r="B51" s="776"/>
      <c r="C51" s="777"/>
      <c r="D51" s="778"/>
      <c r="E51" s="773" t="s">
        <v>634</v>
      </c>
      <c r="F51" s="2223"/>
      <c r="H51" s="1972"/>
      <c r="I51" s="2798" t="s">
        <v>2331</v>
      </c>
      <c r="J51" s="2802">
        <f>IF(J49="",J50,J49+J50-YEAR('数据-取费表'!B2))</f>
        <v>61</v>
      </c>
      <c r="K51" s="2794" t="s">
        <v>2337</v>
      </c>
      <c r="L51" s="2808">
        <f ca="1">ROUND(-PV(INDIRECT("'数据-取费表'!h"&amp;$G$1),J51,(C39-C13*J36),0),0)</f>
        <v>0</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2917</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2920</v>
      </c>
      <c r="J53" s="2853">
        <f ca="1">IF(M47="住宅",IF(D1="——",MAX(J51,L48),MAX(J51,L48-'数据-取费表'!B20)),IF(D1="——",MIN(J51,L48),MIN(J51,L48-'数据-取费表'!B20)))</f>
        <v>47.98</v>
      </c>
      <c r="K53" s="3680" t="s">
        <v>2909</v>
      </c>
      <c r="L53" s="3681"/>
      <c r="M53" s="3256"/>
      <c r="O53" s="2253" t="s">
        <v>2371</v>
      </c>
      <c r="P53" s="2251" t="s">
        <v>2372</v>
      </c>
      <c r="Q53" s="2252">
        <f ca="1">J53</f>
        <v>47.98</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2288</v>
      </c>
      <c r="C56" s="52">
        <f ca="1">C29</f>
        <v>2918</v>
      </c>
      <c r="D56" s="2478"/>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0</v>
      </c>
      <c r="D57" s="25" t="s">
        <v>1740</v>
      </c>
      <c r="E57" s="2479"/>
      <c r="F57" s="55"/>
      <c r="I57" s="2814" t="s">
        <v>2341</v>
      </c>
      <c r="J57" s="2815" t="str">
        <f ca="1">IF(OR(M47="住宅",J51&lt;L48,J56="是"),"——",J51-L48)</f>
        <v>——</v>
      </c>
      <c r="K57" s="2794" t="s">
        <v>2346</v>
      </c>
      <c r="L57" s="1819" t="str">
        <f ca="1">IF(L48&lt;J51,"——",IF(L55="比较法",L49,IF(L55="基准地价",L50,L51)))</f>
        <v>——</v>
      </c>
      <c r="M57" s="3256"/>
      <c r="O57" s="2250" t="s">
        <v>2362</v>
      </c>
      <c r="P57" s="2251" t="s">
        <v>2392</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0</v>
      </c>
      <c r="D58" s="2477" t="s">
        <v>651</v>
      </c>
      <c r="E58" s="2478"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2478" t="s">
        <v>1746</v>
      </c>
      <c r="E59" s="773" t="s">
        <v>1737</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1748</v>
      </c>
      <c r="C60" s="52">
        <f ca="1">IF(D60="按租金收入计税",ROUND(C48*F60/(1+'数据-取费表'!C42),1),IF(D60="按房产原值计税",ROUND(C56*F60*0.7,1),INDIRECT("'数据-取费表'!Aj"&amp;$G$1)))</f>
        <v>0</v>
      </c>
      <c r="D60" s="2478" t="str">
        <f>D33</f>
        <v>按租金收入计税</v>
      </c>
      <c r="E60" s="773" t="s">
        <v>1737</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0.4</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2537.73</v>
      </c>
      <c r="I62" s="2819" t="s">
        <v>2350</v>
      </c>
      <c r="J62" s="2820" t="s">
        <v>2351</v>
      </c>
      <c r="K62" s="2820" t="s">
        <v>2352</v>
      </c>
      <c r="L62" s="2820" t="s">
        <v>2333</v>
      </c>
      <c r="M62" s="2821" t="s">
        <v>2888</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2478" t="s">
        <v>1793</v>
      </c>
      <c r="E63" s="773" t="s">
        <v>1737</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2478" t="s">
        <v>674</v>
      </c>
      <c r="E64" s="773" t="s">
        <v>1737</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2478" t="s">
        <v>677</v>
      </c>
      <c r="E65" s="773" t="s">
        <v>1737</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0</v>
      </c>
      <c r="D66" s="2477" t="s">
        <v>694</v>
      </c>
      <c r="E66" s="2476"/>
      <c r="F66" s="808"/>
      <c r="K66" s="1965"/>
      <c r="O66" s="2250" t="s">
        <v>2362</v>
      </c>
      <c r="P66" s="2251" t="s">
        <v>2392</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1774</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6701</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1674</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2629</v>
      </c>
      <c r="B6" s="426"/>
      <c r="C6" s="1549">
        <f>SUM(C10:K10)</f>
        <v>0</v>
      </c>
      <c r="D6" s="1988"/>
      <c r="E6" s="1988"/>
      <c r="F6" s="1988"/>
      <c r="G6" s="1988"/>
      <c r="H6" s="1988"/>
      <c r="I6" s="1988"/>
      <c r="J6" s="1988"/>
      <c r="K6" s="1989"/>
      <c r="L6" s="3190"/>
      <c r="M6" s="3190"/>
      <c r="N6" s="3190"/>
      <c r="O6" s="3190"/>
      <c r="P6" s="3190"/>
      <c r="Q6" s="3190"/>
      <c r="R6" s="3190"/>
      <c r="S6" s="3190"/>
      <c r="T6" s="3190"/>
      <c r="U6" s="3190"/>
      <c r="V6" s="3190"/>
      <c r="W6" s="3190"/>
      <c r="X6" s="3190"/>
      <c r="Y6" s="3190"/>
      <c r="Z6" s="3190"/>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1835</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1837</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1854</v>
      </c>
      <c r="B11" s="1547"/>
      <c r="C11" s="1547"/>
      <c r="D11" s="1547"/>
      <c r="E11" s="1547"/>
      <c r="F11" s="1547"/>
      <c r="G11" s="1547"/>
      <c r="H11" s="1547"/>
      <c r="I11" s="1547"/>
      <c r="J11" s="1547"/>
      <c r="K11" s="1548"/>
      <c r="L11" s="3190"/>
      <c r="M11" s="3190"/>
      <c r="N11" s="3190"/>
      <c r="O11" s="3190"/>
      <c r="P11" s="3190"/>
      <c r="Q11" s="3190"/>
      <c r="R11" s="3190"/>
      <c r="S11" s="3190"/>
      <c r="T11" s="3190"/>
      <c r="U11" s="3190"/>
      <c r="V11" s="3190"/>
      <c r="W11" s="3190"/>
      <c r="X11" s="3190"/>
      <c r="Y11" s="3190"/>
      <c r="Z11" s="3190"/>
    </row>
    <row r="12" spans="1:41" s="1964" customFormat="1" ht="13.5" customHeight="1">
      <c r="A12" s="427" t="s">
        <v>464</v>
      </c>
      <c r="B12" s="437" t="s">
        <v>465</v>
      </c>
      <c r="C12" s="438" t="s">
        <v>469</v>
      </c>
      <c r="D12" s="439" t="s">
        <v>470</v>
      </c>
      <c r="E12" s="439" t="s">
        <v>471</v>
      </c>
      <c r="F12" s="439" t="s">
        <v>472</v>
      </c>
      <c r="G12" s="437"/>
      <c r="H12" s="440"/>
      <c r="I12" s="440"/>
      <c r="J12" s="440"/>
      <c r="K12" s="441"/>
      <c r="L12" s="3191"/>
      <c r="M12" s="3191"/>
      <c r="N12" s="3191"/>
      <c r="O12" s="3191"/>
      <c r="P12" s="3191"/>
      <c r="Q12" s="3191"/>
      <c r="R12" s="3191"/>
      <c r="S12" s="3191"/>
      <c r="T12" s="3191"/>
      <c r="U12" s="3191"/>
      <c r="V12" s="3191"/>
      <c r="W12" s="3191"/>
      <c r="X12" s="3191"/>
      <c r="Y12" s="3191"/>
      <c r="Z12" s="3191"/>
    </row>
    <row r="13" spans="1:41" s="1995" customFormat="1" ht="13.5" customHeight="1">
      <c r="A13" s="1559" t="s">
        <v>1838</v>
      </c>
      <c r="B13" s="442" t="s">
        <v>473</v>
      </c>
      <c r="C13" s="443">
        <f ca="1">IF(B1="",'数据-取费表'!M16,INDIRECT("'数据-取费表'!M"&amp;$K$1)+INDIRECT("'数据-取费表'!t"&amp;$K$1))</f>
        <v>27070</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1839</v>
      </c>
      <c r="B14" s="442" t="s">
        <v>474</v>
      </c>
      <c r="C14" s="52">
        <f ca="1">ROUND(C13*F14,0)</f>
        <v>1354</v>
      </c>
      <c r="D14" s="444"/>
      <c r="E14" s="362"/>
      <c r="F14" s="446">
        <f>'数据-取费表'!B33</f>
        <v>0.05</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1840</v>
      </c>
      <c r="B15" s="442" t="s">
        <v>476</v>
      </c>
      <c r="C15" s="52">
        <f ca="1">ROUND(IF(B1="",SUMIF('数据-取费表'!C:C,"住宅",'数据-取费表'!M:M)*F15,IF(INDIRECT("'数据-取费表'!c"&amp;$K$1)="住宅",INDIRECT("'数据-取费表'!M"&amp;$K$1)*F15,0)),0)</f>
        <v>1660</v>
      </c>
      <c r="D15" s="444"/>
      <c r="E15" s="362"/>
      <c r="F15" s="446">
        <f>'数据-取费表'!B34</f>
        <v>0.08</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1841</v>
      </c>
      <c r="B16" s="442" t="s">
        <v>478</v>
      </c>
      <c r="C16" s="52">
        <f ca="1">ROUND(D16*E16/10000,0)</f>
        <v>1262</v>
      </c>
      <c r="D16" s="444">
        <f ca="1">IF(B1="",'数据-汇总表'!E3,INDIRECT("'数据-取费表'!K"&amp;$K$1)+INDIRECT("'数据-取费表'!S"&amp;$K$1))</f>
        <v>63115.493000000002</v>
      </c>
      <c r="E16" s="52">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1842</v>
      </c>
      <c r="B17" s="442" t="s">
        <v>479</v>
      </c>
      <c r="C17" s="447">
        <f ca="1">ROUND(C13*F17,0)</f>
        <v>406</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1843</v>
      </c>
      <c r="B18" s="452" t="s">
        <v>481</v>
      </c>
      <c r="C18" s="453">
        <f ca="1">SUM(C13:C17)</f>
        <v>31752</v>
      </c>
      <c r="D18" s="454"/>
      <c r="E18" s="455"/>
      <c r="F18" s="455"/>
      <c r="G18" s="1278" t="s">
        <v>2414</v>
      </c>
      <c r="H18" s="440"/>
      <c r="I18" s="440"/>
      <c r="J18" s="440"/>
      <c r="K18" s="441"/>
      <c r="L18" s="3193"/>
      <c r="M18" s="3193"/>
      <c r="N18" s="3193"/>
      <c r="O18" s="3193"/>
      <c r="P18" s="3193"/>
      <c r="Q18" s="3193"/>
      <c r="R18" s="3193"/>
      <c r="S18" s="3193"/>
      <c r="T18" s="3193"/>
      <c r="U18" s="3193"/>
      <c r="V18" s="3193"/>
      <c r="W18" s="3193"/>
      <c r="X18" s="3193"/>
      <c r="Y18" s="3193"/>
      <c r="Z18" s="3193"/>
    </row>
    <row r="19" spans="1:26" s="1998" customFormat="1" ht="13.5" customHeight="1">
      <c r="A19" s="1560" t="s">
        <v>1844</v>
      </c>
      <c r="B19" s="452" t="s">
        <v>487</v>
      </c>
      <c r="C19" s="453">
        <f ca="1">ROUND(C18*F19,0)</f>
        <v>794</v>
      </c>
      <c r="D19" s="455"/>
      <c r="E19" s="455"/>
      <c r="F19" s="459">
        <f>'数据-取费表'!B37</f>
        <v>2.5000000000000001E-2</v>
      </c>
      <c r="G19" s="437" t="s">
        <v>497</v>
      </c>
      <c r="H19" s="440"/>
      <c r="I19" s="440"/>
      <c r="J19" s="440"/>
      <c r="K19" s="441"/>
      <c r="L19" s="3195"/>
      <c r="M19" s="3195"/>
      <c r="N19" s="3195"/>
      <c r="O19" s="3193"/>
      <c r="P19" s="3193"/>
      <c r="Q19" s="3193"/>
      <c r="R19" s="3193"/>
      <c r="S19" s="3193"/>
      <c r="T19" s="3193"/>
      <c r="U19" s="3193"/>
      <c r="V19" s="3193"/>
      <c r="W19" s="3193"/>
      <c r="X19" s="3193"/>
      <c r="Y19" s="3193"/>
      <c r="Z19" s="3193"/>
    </row>
    <row r="20" spans="1:26" s="1998" customFormat="1" ht="13.5" customHeight="1">
      <c r="A20" s="1560" t="s">
        <v>1845</v>
      </c>
      <c r="B20" s="452" t="s">
        <v>498</v>
      </c>
      <c r="C20" s="2738">
        <f>F20</f>
        <v>2.5000000000000001E-2</v>
      </c>
      <c r="D20" s="462" t="s">
        <v>499</v>
      </c>
      <c r="E20" s="462"/>
      <c r="F20" s="479">
        <f>'数据-取费表'!B38</f>
        <v>2.5000000000000001E-2</v>
      </c>
      <c r="G20" s="1278" t="s">
        <v>500</v>
      </c>
      <c r="H20" s="440"/>
      <c r="I20" s="440"/>
      <c r="J20" s="440"/>
      <c r="K20" s="441"/>
      <c r="L20" s="3195"/>
      <c r="M20" s="3195"/>
      <c r="N20" s="3195"/>
      <c r="O20" s="3193"/>
      <c r="P20" s="3193"/>
      <c r="Q20" s="3193"/>
      <c r="R20" s="3193"/>
      <c r="S20" s="3193"/>
      <c r="T20" s="3193"/>
      <c r="U20" s="3193"/>
      <c r="V20" s="3193"/>
      <c r="W20" s="3193"/>
      <c r="X20" s="3193"/>
      <c r="Y20" s="3193"/>
      <c r="Z20" s="3193"/>
    </row>
    <row r="21" spans="1:26" s="2000" customFormat="1" ht="13.5" customHeight="1">
      <c r="A21" s="1560" t="s">
        <v>1848</v>
      </c>
      <c r="B21" s="454" t="s">
        <v>488</v>
      </c>
      <c r="C21" s="463">
        <f ca="1">C22</f>
        <v>1056</v>
      </c>
      <c r="D21" s="460">
        <f ca="1">C23</f>
        <v>8.0000000000000004E-4</v>
      </c>
      <c r="E21" s="462" t="s">
        <v>501</v>
      </c>
      <c r="F21" s="464">
        <f ca="1">'数据-取费表'!B40</f>
        <v>4.3499999999999997E-2</v>
      </c>
      <c r="G21" s="1278" t="str">
        <f>IF('数据-取费表'!B22&lt;=1,"单利计息。","复利计息。")&amp;"建造成本、管理费用及销售费用产生的利息。"</f>
        <v>复利计息。建造成本、管理费用及销售费用产生的利息。</v>
      </c>
      <c r="H21" s="440"/>
      <c r="I21" s="440"/>
      <c r="J21" s="440"/>
      <c r="K21" s="441"/>
      <c r="L21" s="3201" t="s">
        <v>2435</v>
      </c>
      <c r="M21" s="3202"/>
      <c r="N21" s="3202"/>
      <c r="O21" s="3202"/>
      <c r="P21" s="3202"/>
      <c r="Q21" s="3195"/>
      <c r="R21" s="3195"/>
      <c r="S21" s="3195"/>
      <c r="T21" s="3195"/>
      <c r="U21" s="3195"/>
      <c r="V21" s="3195"/>
      <c r="W21" s="3195"/>
      <c r="X21" s="3195"/>
      <c r="Y21" s="3195"/>
      <c r="Z21" s="3195"/>
    </row>
    <row r="22" spans="1:26" s="1999" customFormat="1" ht="13.5" customHeight="1">
      <c r="A22" s="1559" t="s">
        <v>1838</v>
      </c>
      <c r="B22" s="1279" t="s">
        <v>2417</v>
      </c>
      <c r="C22" s="480">
        <f ca="1">ROUND(IF('数据-取费表'!B22&lt;=1,(C18+C19)*F21*'数据-取费表'!B20/2,(C18+C19)*(POWER((1+F21),'数据-取费表'!B20/2)-1)),0)</f>
        <v>1056</v>
      </c>
      <c r="D22" s="465"/>
      <c r="E22" s="466"/>
      <c r="F22" s="467"/>
      <c r="G22" s="2417" t="str">
        <f>IF('数据-取费表'!B22&lt;=1,"((1)+(2))×年利率×建设期÷2","((1)+(2))×((1+年利率)^(建设期÷2)-1)")</f>
        <v>((1)+(2))×((1+年利率)^(建设期÷2)-1)</v>
      </c>
      <c r="H22" s="450"/>
      <c r="I22" s="450"/>
      <c r="J22" s="450"/>
      <c r="K22" s="451"/>
      <c r="L22" s="3194"/>
      <c r="M22" s="3194"/>
      <c r="N22" s="3194"/>
      <c r="O22" s="3194"/>
      <c r="P22" s="3194"/>
      <c r="Q22" s="3194"/>
      <c r="R22" s="3194"/>
      <c r="S22" s="3194"/>
      <c r="T22" s="3194"/>
      <c r="U22" s="3194"/>
      <c r="V22" s="3194"/>
      <c r="W22" s="3194"/>
      <c r="X22" s="3194"/>
      <c r="Y22" s="3194"/>
      <c r="Z22" s="3194"/>
    </row>
    <row r="23" spans="1:26" s="1999" customFormat="1" ht="13.5" customHeight="1">
      <c r="A23" s="1559" t="s">
        <v>1839</v>
      </c>
      <c r="B23" s="1279" t="s">
        <v>502</v>
      </c>
      <c r="C23" s="481">
        <f ca="1">ROUND(IF('数据-取费表'!B22&lt;=1,F20*F21*'数据-取费表'!B20/2,F20*(POWER((1+F21),'数据-取费表'!B20/2)-1)),4)</f>
        <v>8.0000000000000004E-4</v>
      </c>
      <c r="D23" s="465"/>
      <c r="E23" s="466"/>
      <c r="F23" s="467"/>
      <c r="G23" s="2417" t="str">
        <f>IF('数据-取费表'!B22&lt;=1,"销售费用率×年利率×建设期÷2","销售费用率×((1+年利率)^(建设期÷2)-1)")</f>
        <v>销售费用率×((1+年利率)^(建设期÷2)-1)</v>
      </c>
      <c r="H23" s="450"/>
      <c r="I23" s="450"/>
      <c r="J23" s="450"/>
      <c r="K23" s="451"/>
      <c r="L23" s="3194"/>
      <c r="M23" s="3194"/>
      <c r="N23" s="3194"/>
      <c r="O23" s="3194"/>
      <c r="P23" s="3194"/>
      <c r="Q23" s="3194"/>
      <c r="R23" s="3194"/>
      <c r="S23" s="3194"/>
      <c r="T23" s="3194"/>
      <c r="U23" s="3194"/>
      <c r="V23" s="3194"/>
      <c r="W23" s="3194"/>
      <c r="X23" s="3194"/>
      <c r="Y23" s="3194"/>
      <c r="Z23" s="3194"/>
    </row>
    <row r="24" spans="1:26" s="1999" customFormat="1" ht="13.5" customHeight="1">
      <c r="A24" s="1560" t="s">
        <v>1849</v>
      </c>
      <c r="B24" s="2740" t="s">
        <v>2808</v>
      </c>
      <c r="C24" s="471">
        <f ca="1">C25</f>
        <v>3906</v>
      </c>
      <c r="D24" s="482">
        <f ca="1">C26</f>
        <v>3.0000000000000001E-3</v>
      </c>
      <c r="E24" s="462" t="s">
        <v>501</v>
      </c>
      <c r="F24" s="472">
        <f ca="1">IF(B1="",'数据-取费表'!Q16,INDIRECT("'数据-取费表'!q"&amp;$K$1))</f>
        <v>0.12</v>
      </c>
      <c r="G24" s="437"/>
      <c r="H24" s="440"/>
      <c r="I24" s="440"/>
      <c r="J24" s="440"/>
      <c r="K24" s="441"/>
      <c r="L24" s="3194"/>
      <c r="M24" s="3194"/>
      <c r="N24" s="3194"/>
      <c r="O24" s="3194"/>
      <c r="P24" s="3194"/>
      <c r="Q24" s="3194"/>
      <c r="R24" s="3194"/>
      <c r="S24" s="3194"/>
      <c r="T24" s="3194"/>
      <c r="U24" s="3194"/>
      <c r="V24" s="3194"/>
      <c r="W24" s="3194"/>
      <c r="X24" s="3194"/>
      <c r="Y24" s="3194"/>
      <c r="Z24" s="3194"/>
    </row>
    <row r="25" spans="1:26" s="1999" customFormat="1" ht="13.5" customHeight="1">
      <c r="A25" s="1559" t="s">
        <v>1838</v>
      </c>
      <c r="B25" s="1279" t="s">
        <v>2418</v>
      </c>
      <c r="C25" s="483">
        <f ca="1">ROUND((C18+C19)*F24,0)</f>
        <v>3906</v>
      </c>
      <c r="D25" s="465"/>
      <c r="E25" s="466"/>
      <c r="F25" s="473"/>
      <c r="G25" s="1277" t="s">
        <v>2415</v>
      </c>
      <c r="H25" s="450"/>
      <c r="I25" s="450"/>
      <c r="J25" s="450"/>
      <c r="K25" s="451"/>
      <c r="L25" s="3194"/>
      <c r="M25" s="3194"/>
      <c r="N25" s="3194"/>
      <c r="O25" s="3194"/>
      <c r="P25" s="3194"/>
      <c r="Q25" s="3194"/>
      <c r="R25" s="3194"/>
      <c r="S25" s="3194"/>
      <c r="T25" s="3194"/>
      <c r="U25" s="3194"/>
      <c r="V25" s="3194"/>
      <c r="W25" s="3194"/>
      <c r="X25" s="3194"/>
      <c r="Y25" s="3194"/>
      <c r="Z25" s="3194"/>
    </row>
    <row r="26" spans="1:26" s="1999" customFormat="1" ht="13.5" customHeight="1">
      <c r="A26" s="1559" t="s">
        <v>1839</v>
      </c>
      <c r="B26" s="1279" t="s">
        <v>503</v>
      </c>
      <c r="C26" s="484">
        <f ca="1">ROUND(F20*F24,4)</f>
        <v>3.0000000000000001E-3</v>
      </c>
      <c r="D26" s="465"/>
      <c r="E26" s="474"/>
      <c r="F26" s="473"/>
      <c r="G26" s="1277" t="s">
        <v>504</v>
      </c>
      <c r="H26" s="450"/>
      <c r="I26" s="450"/>
      <c r="J26" s="450"/>
      <c r="K26" s="451"/>
      <c r="L26" s="3194"/>
      <c r="M26" s="3194"/>
      <c r="N26" s="3194"/>
      <c r="O26" s="3194"/>
      <c r="P26" s="3194"/>
      <c r="Q26" s="3194"/>
      <c r="R26" s="3194"/>
      <c r="S26" s="3194"/>
      <c r="T26" s="3194"/>
      <c r="U26" s="3194"/>
      <c r="V26" s="3194"/>
      <c r="W26" s="3194"/>
      <c r="X26" s="3194"/>
      <c r="Y26" s="3194"/>
      <c r="Z26" s="3194"/>
    </row>
    <row r="27" spans="1:26" s="1999" customFormat="1" ht="13.5" customHeight="1">
      <c r="A27" s="1563" t="s">
        <v>1857</v>
      </c>
      <c r="B27" s="452" t="s">
        <v>505</v>
      </c>
      <c r="C27" s="2739">
        <f>ROUND(F27/(1+'数据-取费表'!C42),4)</f>
        <v>5.2400000000000002E-2</v>
      </c>
      <c r="D27" s="455" t="s">
        <v>2806</v>
      </c>
      <c r="E27" s="455"/>
      <c r="F27" s="459">
        <f>'数据-取费表'!B41</f>
        <v>5.5000000000000007E-2</v>
      </c>
      <c r="G27" s="1871" t="s">
        <v>2277</v>
      </c>
      <c r="H27" s="440"/>
      <c r="I27" s="440"/>
      <c r="J27" s="440"/>
      <c r="K27" s="441"/>
      <c r="L27" s="3194"/>
      <c r="M27" s="3194"/>
      <c r="N27" s="3194"/>
      <c r="O27" s="3194"/>
      <c r="P27" s="3194"/>
      <c r="Q27" s="3194"/>
      <c r="R27" s="3194"/>
      <c r="S27" s="3194"/>
      <c r="T27" s="3194"/>
      <c r="U27" s="3194"/>
      <c r="V27" s="3194"/>
      <c r="W27" s="3194"/>
      <c r="X27" s="3194"/>
      <c r="Y27" s="3194"/>
      <c r="Z27" s="3194"/>
    </row>
    <row r="28" spans="1:26" s="2000" customFormat="1" ht="13.5" customHeight="1">
      <c r="A28" s="1563" t="s">
        <v>1858</v>
      </c>
      <c r="B28" s="469" t="s">
        <v>506</v>
      </c>
      <c r="C28" s="463">
        <f ca="1">ROUND((C18+C19+C21+C24)/(1-C20-D21-D24-C27),0)</f>
        <v>40823</v>
      </c>
      <c r="D28" s="470"/>
      <c r="E28" s="462"/>
      <c r="F28" s="464"/>
      <c r="G28" s="1278" t="s">
        <v>2416</v>
      </c>
      <c r="H28" s="440"/>
      <c r="I28" s="440"/>
      <c r="J28" s="440"/>
      <c r="K28" s="441"/>
      <c r="L28" s="3195"/>
      <c r="M28" s="3195"/>
      <c r="N28" s="3195"/>
      <c r="O28" s="3195"/>
      <c r="P28" s="3195"/>
      <c r="Q28" s="3195"/>
      <c r="R28" s="3195"/>
      <c r="S28" s="3195"/>
      <c r="T28" s="3195"/>
      <c r="U28" s="3195"/>
      <c r="V28" s="3195"/>
      <c r="W28" s="3195"/>
      <c r="X28" s="3195"/>
      <c r="Y28" s="3195"/>
      <c r="Z28" s="3195"/>
    </row>
    <row r="29" spans="1:26" s="2000" customFormat="1" ht="13.5" customHeight="1">
      <c r="A29" s="1563" t="s">
        <v>1859</v>
      </c>
      <c r="B29" s="469" t="s">
        <v>507</v>
      </c>
      <c r="C29" s="485">
        <f ca="1">IF(B1="",'数据-取费表'!N16,INDIRECT("'数据-取费表'!N"&amp;$K$1))</f>
        <v>0</v>
      </c>
      <c r="D29" s="486"/>
      <c r="E29" s="487"/>
      <c r="F29" s="488"/>
      <c r="G29" s="437"/>
      <c r="H29" s="440"/>
      <c r="I29" s="440"/>
      <c r="J29" s="440"/>
      <c r="K29" s="441"/>
      <c r="L29" s="3195"/>
      <c r="M29" s="3195"/>
      <c r="N29" s="3195"/>
      <c r="O29" s="3195"/>
      <c r="P29" s="3195"/>
      <c r="Q29" s="3195"/>
      <c r="R29" s="3195"/>
      <c r="S29" s="3195"/>
      <c r="T29" s="3195"/>
      <c r="U29" s="3195"/>
      <c r="V29" s="3195"/>
      <c r="W29" s="3195"/>
      <c r="X29" s="3195"/>
      <c r="Y29" s="3195"/>
      <c r="Z29" s="3195"/>
    </row>
    <row r="30" spans="1:26" s="2000" customFormat="1" ht="13.5" customHeight="1">
      <c r="A30" s="436">
        <v>2</v>
      </c>
      <c r="B30" s="469" t="s">
        <v>508</v>
      </c>
      <c r="C30" s="490">
        <f ca="1">ROUND(C28*C29,0)</f>
        <v>0</v>
      </c>
      <c r="D30" s="486"/>
      <c r="E30" s="491"/>
      <c r="F30" s="492"/>
      <c r="G30" s="1280" t="s">
        <v>509</v>
      </c>
      <c r="H30" s="489"/>
      <c r="I30" s="489"/>
      <c r="J30" s="440"/>
      <c r="K30" s="441"/>
      <c r="L30" s="3195"/>
      <c r="M30" s="3195"/>
      <c r="N30" s="3195"/>
      <c r="O30" s="3195"/>
      <c r="P30" s="3195"/>
      <c r="Q30" s="3195"/>
      <c r="R30" s="3195"/>
      <c r="S30" s="3195"/>
      <c r="T30" s="3195"/>
      <c r="U30" s="3195"/>
      <c r="V30" s="3195"/>
      <c r="W30" s="3195"/>
      <c r="X30" s="3195"/>
      <c r="Y30" s="3195"/>
      <c r="Z30" s="3195"/>
    </row>
    <row r="31" spans="1:26" s="2005" customFormat="1" ht="13.5" customHeight="1">
      <c r="A31" s="2332" t="s">
        <v>1855</v>
      </c>
      <c r="B31" s="1281"/>
      <c r="C31" s="493">
        <f>ROUND(C6*F31/(1+'数据-取费表'!C42),0)</f>
        <v>0</v>
      </c>
      <c r="D31" s="1282"/>
      <c r="E31" s="1282"/>
      <c r="F31" s="494">
        <f>'数据-取费表'!B41</f>
        <v>5.5000000000000007E-2</v>
      </c>
      <c r="G31" s="1283"/>
      <c r="H31" s="1283"/>
      <c r="I31" s="1283"/>
      <c r="J31" s="1284"/>
      <c r="K31" s="1285"/>
      <c r="L31" s="3200"/>
      <c r="M31" s="3200"/>
      <c r="N31" s="3200"/>
      <c r="O31" s="3200"/>
      <c r="P31" s="3200"/>
      <c r="Q31" s="3200"/>
      <c r="R31" s="3200"/>
      <c r="S31" s="3200"/>
      <c r="T31" s="3200"/>
      <c r="U31" s="3200"/>
      <c r="V31" s="3200"/>
      <c r="W31" s="3200"/>
      <c r="X31" s="3200"/>
      <c r="Y31" s="3200"/>
      <c r="Z31" s="3200"/>
    </row>
    <row r="32" spans="1:26" s="1964"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3" t="s">
        <v>2915</v>
      </c>
      <c r="H32" s="476"/>
      <c r="I32" s="476"/>
      <c r="J32" s="476"/>
      <c r="K32" s="478"/>
      <c r="L32" s="3191"/>
      <c r="M32" s="3191"/>
      <c r="N32" s="3191"/>
      <c r="O32" s="3191"/>
      <c r="P32" s="3191"/>
      <c r="Q32" s="3191"/>
      <c r="R32" s="3191"/>
      <c r="S32" s="3191"/>
      <c r="T32" s="3191"/>
      <c r="U32" s="3191"/>
      <c r="V32" s="3191"/>
      <c r="W32" s="3191"/>
      <c r="X32" s="3191"/>
      <c r="Y32" s="3191"/>
      <c r="Z32" s="3191"/>
    </row>
    <row r="33" spans="1:5" s="1994" customFormat="1">
      <c r="A33" s="3198"/>
      <c r="C33" s="3199"/>
      <c r="E33" s="3198"/>
    </row>
    <row r="34" spans="1:5" s="1994" customFormat="1" ht="12.75" customHeight="1">
      <c r="A34" s="3198"/>
      <c r="C34" s="3199"/>
      <c r="E34" s="3198"/>
    </row>
    <row r="35" spans="1:5" s="1994" customFormat="1">
      <c r="A35" s="3198"/>
      <c r="C35" s="3199"/>
      <c r="E35" s="3198"/>
    </row>
    <row r="36" spans="1:5" s="1994" customFormat="1">
      <c r="A36" s="3198"/>
      <c r="C36" s="3199"/>
      <c r="E36" s="3198"/>
    </row>
    <row r="37" spans="1:5" s="1994" customFormat="1">
      <c r="A37" s="3198"/>
      <c r="C37" s="3199"/>
      <c r="E37" s="3198"/>
    </row>
    <row r="38" spans="1:5" s="1994" customFormat="1">
      <c r="A38" s="3198"/>
      <c r="C38" s="3199"/>
      <c r="E38" s="3198"/>
    </row>
    <row r="39" spans="1:5" s="1994" customFormat="1">
      <c r="A39" s="3198"/>
      <c r="C39" s="3199"/>
      <c r="E39" s="3198"/>
    </row>
    <row r="40" spans="1:5" s="1994" customFormat="1">
      <c r="A40" s="3198"/>
      <c r="C40" s="3199"/>
      <c r="E40" s="3198"/>
    </row>
    <row r="41" spans="1:5" s="1994" customFormat="1">
      <c r="A41" s="3198"/>
      <c r="C41" s="3199"/>
      <c r="E41" s="3198"/>
    </row>
    <row r="42" spans="1:5" s="1994" customFormat="1">
      <c r="A42" s="3198"/>
      <c r="C42" s="3199"/>
      <c r="E42" s="3198"/>
    </row>
    <row r="43" spans="1:5" s="1994" customFormat="1">
      <c r="A43" s="3198"/>
      <c r="C43" s="3199"/>
      <c r="E43" s="3198"/>
    </row>
    <row r="44" spans="1:5" s="1994" customFormat="1">
      <c r="A44" s="3198"/>
      <c r="C44" s="3199"/>
      <c r="E44" s="3198"/>
    </row>
    <row r="45" spans="1:5" s="1994" customFormat="1">
      <c r="A45" s="3198"/>
      <c r="C45" s="3199"/>
      <c r="E45" s="3198"/>
    </row>
    <row r="46" spans="1:5" s="1994" customFormat="1">
      <c r="A46" s="3198"/>
      <c r="C46" s="3199"/>
      <c r="E46" s="3198"/>
    </row>
    <row r="47" spans="1:5" s="1994" customFormat="1">
      <c r="A47" s="3198"/>
      <c r="C47" s="3199"/>
      <c r="E47" s="3198"/>
    </row>
    <row r="48" spans="1:5"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sheetData>
  <sheetProtection password="CEE9" sheet="1" objects="1" scenarios="1" formatCells="0" formatColumns="0" formatRows="0"/>
  <phoneticPr fontId="42" type="noConversion"/>
  <dataValidations count="1">
    <dataValidation type="list" allowBlank="1" showInputMessage="1" showErrorMessage="1" sqref="C7:K7 B1" xr:uid="{00000000-0002-0000-1D00-000000000000}">
      <formula1>项目类型</formula1>
    </dataValidation>
  </dataValidations>
  <pageMargins left="0.7" right="0.7" top="0.75" bottom="0.75" header="0.3" footer="0.3"/>
  <pageSetup paperSize="9" scale="71"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510</v>
      </c>
      <c r="B1" s="496"/>
      <c r="C1" s="497" t="s">
        <v>591</v>
      </c>
      <c r="D1" s="498" t="s">
        <v>512</v>
      </c>
      <c r="E1" s="728"/>
      <c r="F1" s="729"/>
      <c r="G1" s="728"/>
      <c r="H1" s="728"/>
      <c r="I1" s="728"/>
      <c r="J1" s="728"/>
      <c r="K1" s="73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501" t="e">
        <f>F63</f>
        <v>#DIV/0!</v>
      </c>
      <c r="C2" s="3215"/>
      <c r="D2" s="3215"/>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c r="A3" s="1329" t="s">
        <v>1675</v>
      </c>
      <c r="B3" s="503" t="e">
        <f>ROUND(B2*10000/'数据-汇总表'!E3,0)</f>
        <v>#DIV/0!</v>
      </c>
      <c r="C3" s="3214"/>
      <c r="D3" s="3214"/>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4" t="s">
        <v>514</v>
      </c>
      <c r="B4" s="420" t="e">
        <f>IF(B43="单位面积地价",C45,ROUND(B2*10000/'数据-汇总表'!D3,0))</f>
        <v>#DIV/0!</v>
      </c>
      <c r="C4" s="3214"/>
      <c r="D4" s="3214"/>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2"/>
      <c r="B5" s="423" t="e">
        <f>ROUND(B2/('数据-汇总表'!D3/666.67),0)</f>
        <v>#DIV/0!</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3206"/>
      <c r="AC5" s="1941"/>
    </row>
    <row r="6" spans="1:29" ht="15">
      <c r="A6" s="505" t="s">
        <v>515</v>
      </c>
      <c r="B6" s="506"/>
      <c r="C6" s="3633" t="s">
        <v>516</v>
      </c>
      <c r="D6" s="3634"/>
      <c r="E6" s="3668" t="s">
        <v>517</v>
      </c>
      <c r="F6" s="3669"/>
      <c r="G6" s="3633" t="s">
        <v>518</v>
      </c>
      <c r="H6" s="3634"/>
      <c r="I6" s="3633" t="s">
        <v>519</v>
      </c>
      <c r="J6" s="3634"/>
      <c r="K6" s="507" t="s">
        <v>520</v>
      </c>
      <c r="L6" s="2012"/>
      <c r="M6" s="2013"/>
      <c r="N6" s="2013"/>
      <c r="O6" s="2013"/>
      <c r="P6" s="3635" t="s">
        <v>521</v>
      </c>
      <c r="Q6" s="3636"/>
      <c r="R6" s="3641" t="s">
        <v>517</v>
      </c>
      <c r="S6" s="3642"/>
      <c r="T6" s="3641" t="s">
        <v>518</v>
      </c>
      <c r="U6" s="3642"/>
      <c r="V6" s="3628" t="s">
        <v>519</v>
      </c>
      <c r="W6" s="3628"/>
      <c r="X6" s="1499"/>
      <c r="Y6" s="3641" t="s">
        <v>521</v>
      </c>
      <c r="Z6" s="3642"/>
      <c r="AA6" s="3630" t="s">
        <v>517</v>
      </c>
      <c r="AB6" s="3631" t="s">
        <v>518</v>
      </c>
      <c r="AC6" s="3630" t="s">
        <v>519</v>
      </c>
    </row>
    <row r="7" spans="1:29" ht="15">
      <c r="A7" s="508"/>
      <c r="B7" s="509"/>
      <c r="C7" s="3672" t="s">
        <v>2875</v>
      </c>
      <c r="D7" s="3673"/>
      <c r="E7" s="3676" t="s">
        <v>2876</v>
      </c>
      <c r="F7" s="3677"/>
      <c r="G7" s="3672" t="s">
        <v>2877</v>
      </c>
      <c r="H7" s="3673"/>
      <c r="I7" s="3672" t="s">
        <v>2878</v>
      </c>
      <c r="J7" s="3673"/>
      <c r="K7" s="507"/>
      <c r="L7" s="2012"/>
      <c r="M7" s="2013"/>
      <c r="N7" s="2013"/>
      <c r="O7" s="2013"/>
      <c r="P7" s="3637"/>
      <c r="Q7" s="3638"/>
      <c r="R7" s="3643"/>
      <c r="S7" s="3644"/>
      <c r="T7" s="3643"/>
      <c r="U7" s="3644"/>
      <c r="V7" s="3628"/>
      <c r="W7" s="3628"/>
      <c r="X7" s="1499"/>
      <c r="Y7" s="3643"/>
      <c r="Z7" s="3644"/>
      <c r="AA7" s="3631"/>
      <c r="AB7" s="3631"/>
      <c r="AC7" s="3631"/>
    </row>
    <row r="8" spans="1:29" ht="15.75" thickBot="1">
      <c r="A8" s="510"/>
      <c r="B8" s="511"/>
      <c r="C8" s="3670" t="s">
        <v>2879</v>
      </c>
      <c r="D8" s="3671"/>
      <c r="E8" s="3674" t="s">
        <v>2879</v>
      </c>
      <c r="F8" s="3675"/>
      <c r="G8" s="3670" t="s">
        <v>2879</v>
      </c>
      <c r="H8" s="3671"/>
      <c r="I8" s="3670" t="s">
        <v>2879</v>
      </c>
      <c r="J8" s="3671"/>
      <c r="K8" s="507" t="s">
        <v>522</v>
      </c>
      <c r="L8" s="2012"/>
      <c r="M8" s="2013"/>
      <c r="N8" s="2013"/>
      <c r="O8" s="2013"/>
      <c r="P8" s="3639"/>
      <c r="Q8" s="3640"/>
      <c r="R8" s="3643"/>
      <c r="S8" s="3644"/>
      <c r="T8" s="3645"/>
      <c r="U8" s="3646"/>
      <c r="V8" s="3628"/>
      <c r="W8" s="3628"/>
      <c r="X8" s="1499"/>
      <c r="Y8" s="3645"/>
      <c r="Z8" s="3646"/>
      <c r="AA8" s="3632"/>
      <c r="AB8" s="3632"/>
      <c r="AC8" s="3632"/>
    </row>
    <row r="9" spans="1:29" s="1200" customFormat="1" ht="15.75" thickBot="1">
      <c r="A9" s="2626"/>
      <c r="B9" s="2633" t="s">
        <v>523</v>
      </c>
      <c r="C9" s="512">
        <f>'数据-取费表'!B2</f>
        <v>44532</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658" t="s">
        <v>524</v>
      </c>
      <c r="Q9" s="3660"/>
      <c r="R9" s="1500" t="s">
        <v>8</v>
      </c>
      <c r="S9" s="1501">
        <f t="shared" ref="S9:S17" si="0">F9</f>
        <v>0</v>
      </c>
      <c r="T9" s="1500" t="s">
        <v>8</v>
      </c>
      <c r="U9" s="1501">
        <f t="shared" ref="U9:U17" si="1">H9</f>
        <v>0</v>
      </c>
      <c r="V9" s="1500" t="s">
        <v>8</v>
      </c>
      <c r="W9" s="1501">
        <f t="shared" ref="W9:W17" si="2">J9</f>
        <v>0</v>
      </c>
      <c r="X9" s="1502"/>
      <c r="Y9" s="3658" t="s">
        <v>524</v>
      </c>
      <c r="Z9" s="3659"/>
      <c r="AA9" s="1503" t="e">
        <f>D9/F9</f>
        <v>#DIV/0!</v>
      </c>
      <c r="AB9" s="1503" t="e">
        <f>D9/H9</f>
        <v>#DIV/0!</v>
      </c>
      <c r="AC9" s="1503" t="e">
        <f>D9/J9</f>
        <v>#DIV/0!</v>
      </c>
    </row>
    <row r="10" spans="1:29" s="1200"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658" t="s">
        <v>527</v>
      </c>
      <c r="Q10" s="3659"/>
      <c r="R10" s="1500" t="s">
        <v>8</v>
      </c>
      <c r="S10" s="1501">
        <f t="shared" si="0"/>
        <v>0</v>
      </c>
      <c r="T10" s="1500" t="s">
        <v>8</v>
      </c>
      <c r="U10" s="1501">
        <f t="shared" si="1"/>
        <v>0</v>
      </c>
      <c r="V10" s="1500" t="s">
        <v>8</v>
      </c>
      <c r="W10" s="1501">
        <f t="shared" si="2"/>
        <v>0</v>
      </c>
      <c r="X10" s="1502"/>
      <c r="Y10" s="3658" t="s">
        <v>527</v>
      </c>
      <c r="Z10" s="3659"/>
      <c r="AA10" s="1503" t="e">
        <f t="shared" ref="AA10:AA42" si="3">D10/F10</f>
        <v>#DIV/0!</v>
      </c>
      <c r="AB10" s="1503" t="e">
        <f t="shared" ref="AB10:AB42" si="4">D10/H10</f>
        <v>#DIV/0!</v>
      </c>
      <c r="AC10" s="1503" t="e">
        <f t="shared" ref="AC10:AC42" si="5">D10/J10</f>
        <v>#DIV/0!</v>
      </c>
    </row>
    <row r="11" spans="1:29" s="1200" customFormat="1" ht="15">
      <c r="A11" s="2628"/>
      <c r="B11" s="2635" t="s">
        <v>2733</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627" t="s">
        <v>529</v>
      </c>
      <c r="Q11" s="1131" t="str">
        <f t="shared" ref="Q11:Q17" si="6">B11</f>
        <v>用途</v>
      </c>
      <c r="R11" s="1500" t="s">
        <v>8</v>
      </c>
      <c r="S11" s="1501">
        <f t="shared" si="0"/>
        <v>100</v>
      </c>
      <c r="T11" s="1500" t="s">
        <v>8</v>
      </c>
      <c r="U11" s="1501">
        <f t="shared" si="1"/>
        <v>100</v>
      </c>
      <c r="V11" s="1500" t="s">
        <v>8</v>
      </c>
      <c r="W11" s="1501">
        <f t="shared" si="2"/>
        <v>100</v>
      </c>
      <c r="X11" s="1502"/>
      <c r="Y11" s="3573" t="s">
        <v>530</v>
      </c>
      <c r="Z11" s="1130" t="str">
        <f t="shared" ref="Z11:Z17" si="7">Q11</f>
        <v>用途</v>
      </c>
      <c r="AA11" s="1503">
        <f t="shared" si="3"/>
        <v>1</v>
      </c>
      <c r="AB11" s="1503">
        <f t="shared" si="4"/>
        <v>1</v>
      </c>
      <c r="AC11" s="1503">
        <f t="shared" si="5"/>
        <v>1</v>
      </c>
    </row>
    <row r="12" spans="1:29" s="1289" customFormat="1" ht="27">
      <c r="A12" s="2629"/>
      <c r="B12" s="2634" t="s">
        <v>2734</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627"/>
      <c r="Q12" s="1131" t="str">
        <f t="shared" si="6"/>
        <v>土地使用年限（年）</v>
      </c>
      <c r="R12" s="1500" t="s">
        <v>8</v>
      </c>
      <c r="S12" s="1501">
        <f t="shared" si="0"/>
        <v>100</v>
      </c>
      <c r="T12" s="1500" t="s">
        <v>8</v>
      </c>
      <c r="U12" s="1501">
        <f t="shared" si="1"/>
        <v>100</v>
      </c>
      <c r="V12" s="1500" t="s">
        <v>8</v>
      </c>
      <c r="W12" s="1501">
        <f t="shared" si="2"/>
        <v>100</v>
      </c>
      <c r="X12" s="1502"/>
      <c r="Y12" s="3573"/>
      <c r="Z12" s="1130" t="str">
        <f t="shared" si="7"/>
        <v>土地使用年限（年）</v>
      </c>
      <c r="AA12" s="1503">
        <f t="shared" si="3"/>
        <v>1</v>
      </c>
      <c r="AB12" s="1503">
        <f t="shared" si="4"/>
        <v>1</v>
      </c>
      <c r="AC12" s="1503">
        <f t="shared" si="5"/>
        <v>1</v>
      </c>
    </row>
    <row r="13" spans="1:29" ht="15">
      <c r="A13" s="2630"/>
      <c r="B13" s="2634"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627"/>
      <c r="Q13" s="1131" t="str">
        <f t="shared" si="6"/>
        <v>容积率</v>
      </c>
      <c r="R13" s="1500" t="s">
        <v>8</v>
      </c>
      <c r="S13" s="1501" t="e">
        <f t="shared" si="0"/>
        <v>#N/A</v>
      </c>
      <c r="T13" s="1500" t="s">
        <v>8</v>
      </c>
      <c r="U13" s="1501" t="e">
        <f t="shared" si="1"/>
        <v>#N/A</v>
      </c>
      <c r="V13" s="1500" t="s">
        <v>8</v>
      </c>
      <c r="W13" s="1501" t="e">
        <f t="shared" si="2"/>
        <v>#N/A</v>
      </c>
      <c r="X13" s="1502"/>
      <c r="Y13" s="3573"/>
      <c r="Z13" s="1130" t="str">
        <f t="shared" si="7"/>
        <v>容积率</v>
      </c>
      <c r="AA13" s="1503" t="e">
        <f t="shared" si="3"/>
        <v>#N/A</v>
      </c>
      <c r="AB13" s="1503" t="e">
        <f t="shared" si="4"/>
        <v>#N/A</v>
      </c>
      <c r="AC13" s="1503" t="e">
        <f t="shared" si="5"/>
        <v>#N/A</v>
      </c>
    </row>
    <row r="14" spans="1:29" s="1200"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627"/>
      <c r="Q14" s="1131">
        <f t="shared" si="6"/>
        <v>111</v>
      </c>
      <c r="R14" s="1500" t="s">
        <v>8</v>
      </c>
      <c r="S14" s="1501">
        <f t="shared" si="0"/>
        <v>100</v>
      </c>
      <c r="T14" s="1500" t="s">
        <v>8</v>
      </c>
      <c r="U14" s="1501">
        <f t="shared" si="1"/>
        <v>100</v>
      </c>
      <c r="V14" s="1500" t="s">
        <v>8</v>
      </c>
      <c r="W14" s="1501">
        <f t="shared" si="2"/>
        <v>100</v>
      </c>
      <c r="X14" s="1502"/>
      <c r="Y14" s="3573"/>
      <c r="Z14" s="1130">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627"/>
      <c r="Q15" s="1131">
        <f t="shared" si="6"/>
        <v>111</v>
      </c>
      <c r="R15" s="1500" t="s">
        <v>8</v>
      </c>
      <c r="S15" s="1501">
        <f t="shared" si="0"/>
        <v>100</v>
      </c>
      <c r="T15" s="1500" t="s">
        <v>8</v>
      </c>
      <c r="U15" s="1501">
        <f t="shared" si="1"/>
        <v>100</v>
      </c>
      <c r="V15" s="1500" t="s">
        <v>8</v>
      </c>
      <c r="W15" s="1501">
        <f t="shared" si="2"/>
        <v>100</v>
      </c>
      <c r="X15" s="1502"/>
      <c r="Y15" s="3573"/>
      <c r="Z15" s="1130">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627"/>
      <c r="Q16" s="1131">
        <f t="shared" si="6"/>
        <v>111</v>
      </c>
      <c r="R16" s="1500" t="s">
        <v>8</v>
      </c>
      <c r="S16" s="1501">
        <f t="shared" si="0"/>
        <v>100</v>
      </c>
      <c r="T16" s="1500" t="s">
        <v>8</v>
      </c>
      <c r="U16" s="1501">
        <f t="shared" si="1"/>
        <v>100</v>
      </c>
      <c r="V16" s="1500" t="s">
        <v>8</v>
      </c>
      <c r="W16" s="1501">
        <f t="shared" si="2"/>
        <v>100</v>
      </c>
      <c r="X16" s="1502"/>
      <c r="Y16" s="3573"/>
      <c r="Z16" s="1130">
        <f t="shared" si="7"/>
        <v>111</v>
      </c>
      <c r="AA16" s="1503">
        <f t="shared" si="3"/>
        <v>1</v>
      </c>
      <c r="AB16" s="1503">
        <f t="shared" si="4"/>
        <v>1</v>
      </c>
      <c r="AC16" s="1503">
        <f t="shared" si="5"/>
        <v>1</v>
      </c>
    </row>
    <row r="17" spans="1:29" ht="15">
      <c r="A17" s="2624" t="s">
        <v>2731</v>
      </c>
      <c r="B17" s="163" t="s">
        <v>592</v>
      </c>
      <c r="C17" s="907">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661" t="s">
        <v>534</v>
      </c>
      <c r="Q17" s="1504" t="str">
        <f t="shared" si="6"/>
        <v>产业集聚程度</v>
      </c>
      <c r="R17" s="1505" t="s">
        <v>8</v>
      </c>
      <c r="S17" s="1506">
        <f t="shared" si="0"/>
        <v>100</v>
      </c>
      <c r="T17" s="1505" t="s">
        <v>8</v>
      </c>
      <c r="U17" s="1506">
        <f t="shared" si="1"/>
        <v>100</v>
      </c>
      <c r="V17" s="1505" t="s">
        <v>8</v>
      </c>
      <c r="W17" s="1506">
        <f t="shared" si="2"/>
        <v>100</v>
      </c>
      <c r="X17" s="1499"/>
      <c r="Y17" s="3661"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662"/>
      <c r="Q18" s="1504"/>
      <c r="R18" s="1505"/>
      <c r="S18" s="1506"/>
      <c r="T18" s="1505"/>
      <c r="U18" s="1506"/>
      <c r="V18" s="1505"/>
      <c r="W18" s="1506"/>
      <c r="X18" s="1499"/>
      <c r="Y18" s="3662"/>
      <c r="Z18" s="1507"/>
      <c r="AA18" s="1508">
        <v>1</v>
      </c>
      <c r="AB18" s="1508">
        <v>1</v>
      </c>
      <c r="AC18" s="1508">
        <v>1</v>
      </c>
    </row>
    <row r="19" spans="1:29" ht="15">
      <c r="A19" s="525"/>
      <c r="B19" s="859" t="s">
        <v>537</v>
      </c>
      <c r="C19" s="860">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662"/>
      <c r="Q19" s="1504" t="str">
        <f>B19</f>
        <v>交通便捷度</v>
      </c>
      <c r="R19" s="1505" t="s">
        <v>8</v>
      </c>
      <c r="S19" s="1506">
        <f>F19</f>
        <v>100</v>
      </c>
      <c r="T19" s="1505" t="s">
        <v>8</v>
      </c>
      <c r="U19" s="1506">
        <f>H19</f>
        <v>100</v>
      </c>
      <c r="V19" s="1505" t="s">
        <v>8</v>
      </c>
      <c r="W19" s="1506">
        <f>J19</f>
        <v>100</v>
      </c>
      <c r="X19" s="1499"/>
      <c r="Y19" s="3662"/>
      <c r="Z19" s="1507" t="str">
        <f>Q19</f>
        <v>交通便捷度</v>
      </c>
      <c r="AA19" s="1508">
        <f t="shared" si="3"/>
        <v>1</v>
      </c>
      <c r="AB19" s="1508">
        <f t="shared" si="4"/>
        <v>1</v>
      </c>
      <c r="AC19" s="1508">
        <f t="shared" si="5"/>
        <v>1</v>
      </c>
    </row>
    <row r="20" spans="1:29" ht="15">
      <c r="A20" s="525"/>
      <c r="B20" s="908"/>
      <c r="C20" s="569"/>
      <c r="D20" s="548"/>
      <c r="E20" s="549"/>
      <c r="F20" s="548"/>
      <c r="G20" s="549"/>
      <c r="H20" s="548"/>
      <c r="I20" s="551"/>
      <c r="J20" s="548"/>
      <c r="K20" s="524"/>
      <c r="L20" s="2021"/>
      <c r="M20" s="2013"/>
      <c r="N20" s="2013"/>
      <c r="O20" s="2020"/>
      <c r="P20" s="3662"/>
      <c r="Q20" s="1504"/>
      <c r="R20" s="1505"/>
      <c r="S20" s="1506"/>
      <c r="T20" s="1505"/>
      <c r="U20" s="1506"/>
      <c r="V20" s="1505"/>
      <c r="W20" s="1506"/>
      <c r="X20" s="1499"/>
      <c r="Y20" s="3662"/>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2"/>
      <c r="L21" s="2021"/>
      <c r="M21" s="2013"/>
      <c r="N21" s="2013"/>
      <c r="O21" s="2020"/>
      <c r="P21" s="3662"/>
      <c r="Q21" s="1504" t="str">
        <f t="shared" ref="Q21:Q35" si="8">B21</f>
        <v>区域土地利用方向</v>
      </c>
      <c r="R21" s="1505" t="s">
        <v>8</v>
      </c>
      <c r="S21" s="1506">
        <f>F21</f>
        <v>100</v>
      </c>
      <c r="T21" s="1505" t="s">
        <v>8</v>
      </c>
      <c r="U21" s="1506">
        <f>H21</f>
        <v>100</v>
      </c>
      <c r="V21" s="1505" t="s">
        <v>8</v>
      </c>
      <c r="W21" s="1506">
        <f>J21</f>
        <v>100</v>
      </c>
      <c r="X21" s="1499"/>
      <c r="Y21" s="3662"/>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8"/>
      <c r="L22" s="2021"/>
      <c r="M22" s="2013"/>
      <c r="N22" s="2013"/>
      <c r="O22" s="2020"/>
      <c r="P22" s="3662"/>
      <c r="Q22" s="1504"/>
      <c r="R22" s="1505"/>
      <c r="S22" s="1506"/>
      <c r="T22" s="1505"/>
      <c r="U22" s="1506"/>
      <c r="V22" s="1505"/>
      <c r="W22" s="1506"/>
      <c r="X22" s="1499"/>
      <c r="Y22" s="3662"/>
      <c r="Z22" s="1507"/>
      <c r="AA22" s="1508"/>
      <c r="AB22" s="1508"/>
      <c r="AC22" s="1508"/>
    </row>
    <row r="23" spans="1:29" ht="15">
      <c r="A23" s="508"/>
      <c r="B23" s="908"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662"/>
      <c r="Q23" s="1504" t="str">
        <f t="shared" si="8"/>
        <v>环境状况</v>
      </c>
      <c r="R23" s="1505" t="s">
        <v>8</v>
      </c>
      <c r="S23" s="1506">
        <f>F23</f>
        <v>100</v>
      </c>
      <c r="T23" s="1505" t="s">
        <v>8</v>
      </c>
      <c r="U23" s="1506">
        <f>H23</f>
        <v>100</v>
      </c>
      <c r="V23" s="1505" t="s">
        <v>8</v>
      </c>
      <c r="W23" s="1506">
        <f>J23</f>
        <v>100</v>
      </c>
      <c r="X23" s="1499"/>
      <c r="Y23" s="3662"/>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662"/>
      <c r="Q24" s="1504"/>
      <c r="R24" s="1505"/>
      <c r="S24" s="1506"/>
      <c r="T24" s="1505"/>
      <c r="U24" s="1506"/>
      <c r="V24" s="1505"/>
      <c r="W24" s="1506"/>
      <c r="X24" s="1499"/>
      <c r="Y24" s="3662"/>
      <c r="Z24" s="1507"/>
      <c r="AA24" s="1508">
        <v>1</v>
      </c>
      <c r="AB24" s="1508">
        <v>1</v>
      </c>
      <c r="AC24" s="1508">
        <v>1</v>
      </c>
    </row>
    <row r="25" spans="1:29" s="1200" customFormat="1" ht="15">
      <c r="A25" s="570"/>
      <c r="B25" s="2434" t="s">
        <v>2527</v>
      </c>
      <c r="C25" s="860">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662"/>
      <c r="Q25" s="1131" t="str">
        <f t="shared" si="8"/>
        <v>公共配套设施</v>
      </c>
      <c r="R25" s="1500" t="s">
        <v>8</v>
      </c>
      <c r="S25" s="1501">
        <f>F25</f>
        <v>100</v>
      </c>
      <c r="T25" s="1500" t="s">
        <v>8</v>
      </c>
      <c r="U25" s="1501">
        <f>H25</f>
        <v>100</v>
      </c>
      <c r="V25" s="1500" t="s">
        <v>8</v>
      </c>
      <c r="W25" s="1501">
        <f>J25</f>
        <v>100</v>
      </c>
      <c r="X25" s="1502"/>
      <c r="Y25" s="3662"/>
      <c r="Z25" s="1130" t="str">
        <f>Q25</f>
        <v>公共配套设施</v>
      </c>
      <c r="AA25" s="1508">
        <f>D25/F25</f>
        <v>1</v>
      </c>
      <c r="AB25" s="1508">
        <f>D25/H25</f>
        <v>1</v>
      </c>
      <c r="AC25" s="1508">
        <f>D25/J25</f>
        <v>1</v>
      </c>
    </row>
    <row r="26" spans="1:29" s="1200" customFormat="1" ht="15">
      <c r="A26" s="570"/>
      <c r="B26" s="588"/>
      <c r="C26" s="2433"/>
      <c r="D26" s="548"/>
      <c r="E26" s="547"/>
      <c r="F26" s="548"/>
      <c r="G26" s="547"/>
      <c r="H26" s="548"/>
      <c r="I26" s="569"/>
      <c r="J26" s="548"/>
      <c r="K26" s="524"/>
      <c r="L26" s="2014"/>
      <c r="M26" s="2015"/>
      <c r="N26" s="2015"/>
      <c r="O26" s="2016"/>
      <c r="P26" s="3662"/>
      <c r="Q26" s="1131"/>
      <c r="R26" s="1500"/>
      <c r="S26" s="1501"/>
      <c r="T26" s="1500"/>
      <c r="U26" s="1501"/>
      <c r="V26" s="1500"/>
      <c r="W26" s="1501"/>
      <c r="X26" s="1502"/>
      <c r="Y26" s="3662"/>
      <c r="Z26" s="1130"/>
      <c r="AA26" s="1503">
        <v>1</v>
      </c>
      <c r="AB26" s="1503">
        <v>1</v>
      </c>
      <c r="AC26" s="1503">
        <v>1</v>
      </c>
    </row>
    <row r="27" spans="1:29" s="1200" customFormat="1" ht="15">
      <c r="A27" s="570"/>
      <c r="B27" s="2434" t="s">
        <v>2528</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662"/>
      <c r="Q27" s="2425" t="str">
        <f t="shared" ref="Q27" si="9">B27</f>
        <v>基础设施水平</v>
      </c>
      <c r="R27" s="1500" t="s">
        <v>8</v>
      </c>
      <c r="S27" s="1501">
        <f>F27</f>
        <v>100</v>
      </c>
      <c r="T27" s="1500" t="s">
        <v>8</v>
      </c>
      <c r="U27" s="1501">
        <f>H27</f>
        <v>100</v>
      </c>
      <c r="V27" s="1500" t="s">
        <v>8</v>
      </c>
      <c r="W27" s="1501">
        <f>J27</f>
        <v>100</v>
      </c>
      <c r="X27" s="1502"/>
      <c r="Y27" s="3662"/>
      <c r="Z27" s="2424" t="str">
        <f>Q27</f>
        <v>基础设施水平</v>
      </c>
      <c r="AA27" s="1508">
        <f>D27/F27</f>
        <v>1</v>
      </c>
      <c r="AB27" s="1508">
        <f>D27/H27</f>
        <v>1</v>
      </c>
      <c r="AC27" s="1508">
        <f>D27/J27</f>
        <v>1</v>
      </c>
    </row>
    <row r="28" spans="1:29" s="1200" customFormat="1" ht="15">
      <c r="A28" s="570"/>
      <c r="B28" s="588"/>
      <c r="C28" s="2433"/>
      <c r="D28" s="548"/>
      <c r="E28" s="572"/>
      <c r="F28" s="548"/>
      <c r="G28" s="572"/>
      <c r="H28" s="548"/>
      <c r="I28" s="572"/>
      <c r="J28" s="548"/>
      <c r="K28" s="524"/>
      <c r="L28" s="2014"/>
      <c r="M28" s="2015"/>
      <c r="N28" s="2015"/>
      <c r="O28" s="2016"/>
      <c r="P28" s="3662"/>
      <c r="Q28" s="2425"/>
      <c r="R28" s="1500"/>
      <c r="S28" s="1501"/>
      <c r="T28" s="1500"/>
      <c r="U28" s="1501"/>
      <c r="V28" s="1500"/>
      <c r="W28" s="1501"/>
      <c r="X28" s="1502"/>
      <c r="Y28" s="3662"/>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662"/>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62"/>
      <c r="Z29" s="1507" t="str">
        <f t="shared" ref="Z29:Z42" si="13">Q29</f>
        <v>临街状况</v>
      </c>
      <c r="AA29" s="1508">
        <f t="shared" si="3"/>
        <v>1</v>
      </c>
      <c r="AB29" s="1508">
        <f t="shared" si="4"/>
        <v>1</v>
      </c>
      <c r="AC29" s="1508">
        <f t="shared" si="5"/>
        <v>1</v>
      </c>
    </row>
    <row r="30" spans="1:29" ht="27">
      <c r="A30" s="525"/>
      <c r="B30" s="908"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662"/>
      <c r="Q30" s="1504" t="str">
        <f t="shared" si="8"/>
        <v>毗邻道路的类型与等级</v>
      </c>
      <c r="R30" s="1505" t="s">
        <v>8</v>
      </c>
      <c r="S30" s="1506">
        <f t="shared" si="10"/>
        <v>100</v>
      </c>
      <c r="T30" s="1505" t="s">
        <v>8</v>
      </c>
      <c r="U30" s="1506">
        <f t="shared" si="11"/>
        <v>100</v>
      </c>
      <c r="V30" s="1505" t="s">
        <v>8</v>
      </c>
      <c r="W30" s="1506">
        <f t="shared" si="12"/>
        <v>100</v>
      </c>
      <c r="X30" s="1499"/>
      <c r="Y30" s="3662"/>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662"/>
      <c r="Q31" s="1504"/>
      <c r="R31" s="1505"/>
      <c r="S31" s="1506"/>
      <c r="T31" s="1505"/>
      <c r="U31" s="1506"/>
      <c r="V31" s="1505"/>
      <c r="W31" s="1506"/>
      <c r="X31" s="1499"/>
      <c r="Y31" s="3662"/>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662"/>
      <c r="Q32" s="1504" t="str">
        <f t="shared" si="8"/>
        <v>土地级别</v>
      </c>
      <c r="R32" s="1505" t="s">
        <v>8</v>
      </c>
      <c r="S32" s="1506">
        <f t="shared" si="10"/>
        <v>100</v>
      </c>
      <c r="T32" s="1505" t="s">
        <v>8</v>
      </c>
      <c r="U32" s="1506">
        <f t="shared" si="11"/>
        <v>100</v>
      </c>
      <c r="V32" s="1505" t="s">
        <v>8</v>
      </c>
      <c r="W32" s="1506">
        <f t="shared" si="12"/>
        <v>100</v>
      </c>
      <c r="X32" s="1499"/>
      <c r="Y32" s="3662"/>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662"/>
      <c r="Q33" s="1504">
        <f t="shared" si="8"/>
        <v>111</v>
      </c>
      <c r="R33" s="1505" t="s">
        <v>8</v>
      </c>
      <c r="S33" s="1506">
        <f t="shared" si="10"/>
        <v>100</v>
      </c>
      <c r="T33" s="1505" t="s">
        <v>8</v>
      </c>
      <c r="U33" s="1506">
        <f t="shared" si="11"/>
        <v>100</v>
      </c>
      <c r="V33" s="1505" t="s">
        <v>8</v>
      </c>
      <c r="W33" s="1506">
        <f t="shared" si="12"/>
        <v>100</v>
      </c>
      <c r="X33" s="1499"/>
      <c r="Y33" s="3662"/>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663" t="s">
        <v>544</v>
      </c>
      <c r="Q34" s="1504">
        <f t="shared" si="8"/>
        <v>111</v>
      </c>
      <c r="R34" s="1505" t="s">
        <v>8</v>
      </c>
      <c r="S34" s="1506">
        <f t="shared" si="10"/>
        <v>100</v>
      </c>
      <c r="T34" s="1505" t="s">
        <v>8</v>
      </c>
      <c r="U34" s="1506">
        <f t="shared" si="11"/>
        <v>100</v>
      </c>
      <c r="V34" s="1505" t="s">
        <v>8</v>
      </c>
      <c r="W34" s="1506">
        <f t="shared" si="12"/>
        <v>100</v>
      </c>
      <c r="X34" s="1499"/>
      <c r="Y34" s="3664" t="s">
        <v>544</v>
      </c>
      <c r="Z34" s="1507">
        <f t="shared" si="13"/>
        <v>111</v>
      </c>
      <c r="AA34" s="1508">
        <f t="shared" si="3"/>
        <v>1</v>
      </c>
      <c r="AB34" s="1508">
        <f t="shared" si="4"/>
        <v>1</v>
      </c>
      <c r="AC34" s="1508">
        <f t="shared" si="5"/>
        <v>1</v>
      </c>
    </row>
    <row r="35" spans="1:29" s="1290"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664"/>
      <c r="Q35" s="1504">
        <f t="shared" si="8"/>
        <v>111</v>
      </c>
      <c r="R35" s="1509" t="s">
        <v>8</v>
      </c>
      <c r="S35" s="1510">
        <f t="shared" si="10"/>
        <v>100</v>
      </c>
      <c r="T35" s="1509" t="s">
        <v>8</v>
      </c>
      <c r="U35" s="1510">
        <f t="shared" si="11"/>
        <v>100</v>
      </c>
      <c r="V35" s="1509" t="s">
        <v>8</v>
      </c>
      <c r="W35" s="1510">
        <f t="shared" si="12"/>
        <v>100</v>
      </c>
      <c r="X35" s="1511"/>
      <c r="Y35" s="3664"/>
      <c r="Z35" s="1512">
        <f t="shared" si="13"/>
        <v>111</v>
      </c>
      <c r="AA35" s="1508">
        <f t="shared" si="3"/>
        <v>1</v>
      </c>
      <c r="AB35" s="1508">
        <f t="shared" si="4"/>
        <v>1</v>
      </c>
      <c r="AC35" s="1508">
        <f t="shared" si="5"/>
        <v>1</v>
      </c>
    </row>
    <row r="36" spans="1:29" ht="15">
      <c r="A36" s="2621"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664"/>
      <c r="Q36" s="1504" t="str">
        <f>B36</f>
        <v>宗地面积</v>
      </c>
      <c r="R36" s="1505" t="s">
        <v>8</v>
      </c>
      <c r="S36" s="1506" t="e">
        <f t="shared" si="10"/>
        <v>#N/A</v>
      </c>
      <c r="T36" s="1505" t="s">
        <v>8</v>
      </c>
      <c r="U36" s="1506" t="e">
        <f t="shared" si="11"/>
        <v>#N/A</v>
      </c>
      <c r="V36" s="1505" t="s">
        <v>8</v>
      </c>
      <c r="W36" s="1506" t="e">
        <f t="shared" si="12"/>
        <v>#N/A</v>
      </c>
      <c r="X36" s="1499"/>
      <c r="Y36" s="3664"/>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664"/>
      <c r="Q37" s="1504" t="str">
        <f t="shared" ref="Q37:Q42" si="14">B37</f>
        <v>宗地形状</v>
      </c>
      <c r="R37" s="1505" t="s">
        <v>8</v>
      </c>
      <c r="S37" s="1506">
        <f t="shared" si="10"/>
        <v>100</v>
      </c>
      <c r="T37" s="1505" t="s">
        <v>8</v>
      </c>
      <c r="U37" s="1506">
        <f t="shared" si="11"/>
        <v>100</v>
      </c>
      <c r="V37" s="1505" t="s">
        <v>8</v>
      </c>
      <c r="W37" s="1506">
        <f t="shared" si="12"/>
        <v>100</v>
      </c>
      <c r="X37" s="1499"/>
      <c r="Y37" s="3664"/>
      <c r="Z37" s="1507" t="str">
        <f t="shared" si="13"/>
        <v>宗地形状</v>
      </c>
      <c r="AA37" s="1508">
        <f t="shared" si="3"/>
        <v>1</v>
      </c>
      <c r="AB37" s="1508">
        <f t="shared" si="4"/>
        <v>1</v>
      </c>
      <c r="AC37" s="1508">
        <f t="shared" si="5"/>
        <v>1</v>
      </c>
    </row>
    <row r="38" spans="1:29" s="1200" customFormat="1" ht="15">
      <c r="A38" s="593"/>
      <c r="B38" s="1806" t="s">
        <v>2407</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664"/>
      <c r="Q38" s="1504" t="str">
        <f t="shared" si="14"/>
        <v>宗地开发程度</v>
      </c>
      <c r="R38" s="1500" t="s">
        <v>8</v>
      </c>
      <c r="S38" s="1501">
        <f t="shared" si="10"/>
        <v>100</v>
      </c>
      <c r="T38" s="1500" t="s">
        <v>8</v>
      </c>
      <c r="U38" s="1501">
        <f t="shared" si="11"/>
        <v>100</v>
      </c>
      <c r="V38" s="1500" t="s">
        <v>8</v>
      </c>
      <c r="W38" s="1501">
        <f t="shared" si="12"/>
        <v>100</v>
      </c>
      <c r="X38" s="1502"/>
      <c r="Y38" s="3664"/>
      <c r="Z38" s="1130"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64" t="s">
        <v>595</v>
      </c>
      <c r="Q39" s="1504" t="str">
        <f t="shared" si="14"/>
        <v>工程地质条件</v>
      </c>
      <c r="R39" s="1505" t="s">
        <v>8</v>
      </c>
      <c r="S39" s="1506">
        <f t="shared" si="10"/>
        <v>100</v>
      </c>
      <c r="T39" s="1505" t="s">
        <v>8</v>
      </c>
      <c r="U39" s="1506">
        <f t="shared" si="11"/>
        <v>100</v>
      </c>
      <c r="V39" s="1505" t="s">
        <v>8</v>
      </c>
      <c r="W39" s="1506">
        <f t="shared" si="12"/>
        <v>100</v>
      </c>
      <c r="X39" s="1499"/>
      <c r="Y39" s="3664"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664"/>
      <c r="Q40" s="1504">
        <f t="shared" si="14"/>
        <v>111</v>
      </c>
      <c r="R40" s="1505" t="s">
        <v>8</v>
      </c>
      <c r="S40" s="1506">
        <f t="shared" si="10"/>
        <v>100</v>
      </c>
      <c r="T40" s="1505" t="s">
        <v>8</v>
      </c>
      <c r="U40" s="1506">
        <f t="shared" si="11"/>
        <v>100</v>
      </c>
      <c r="V40" s="1505" t="s">
        <v>8</v>
      </c>
      <c r="W40" s="1506">
        <f t="shared" si="12"/>
        <v>100</v>
      </c>
      <c r="X40" s="1499"/>
      <c r="Y40" s="3664"/>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664"/>
      <c r="Q41" s="1504">
        <f t="shared" si="14"/>
        <v>111</v>
      </c>
      <c r="R41" s="1505" t="s">
        <v>8</v>
      </c>
      <c r="S41" s="1506">
        <f t="shared" si="10"/>
        <v>100</v>
      </c>
      <c r="T41" s="1505" t="s">
        <v>8</v>
      </c>
      <c r="U41" s="1506">
        <f t="shared" si="11"/>
        <v>100</v>
      </c>
      <c r="V41" s="1505" t="s">
        <v>8</v>
      </c>
      <c r="W41" s="1506">
        <f t="shared" si="12"/>
        <v>100</v>
      </c>
      <c r="X41" s="1499"/>
      <c r="Y41" s="3664"/>
      <c r="Z41" s="1507">
        <f t="shared" si="13"/>
        <v>111</v>
      </c>
      <c r="AA41" s="1508">
        <f t="shared" si="3"/>
        <v>1</v>
      </c>
      <c r="AB41" s="1508">
        <f t="shared" si="4"/>
        <v>1</v>
      </c>
      <c r="AC41" s="1508">
        <f t="shared" si="5"/>
        <v>1</v>
      </c>
    </row>
    <row r="42" spans="1:29" s="1290"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664"/>
      <c r="Q42" s="1504">
        <f t="shared" si="14"/>
        <v>111</v>
      </c>
      <c r="R42" s="1509" t="s">
        <v>8</v>
      </c>
      <c r="S42" s="1510">
        <f t="shared" si="10"/>
        <v>100</v>
      </c>
      <c r="T42" s="1509" t="s">
        <v>8</v>
      </c>
      <c r="U42" s="1510">
        <f t="shared" si="11"/>
        <v>100</v>
      </c>
      <c r="V42" s="1509" t="s">
        <v>8</v>
      </c>
      <c r="W42" s="1510">
        <f t="shared" si="12"/>
        <v>100</v>
      </c>
      <c r="X42" s="1511"/>
      <c r="Y42" s="3664"/>
      <c r="Z42" s="1512">
        <f t="shared" si="13"/>
        <v>111</v>
      </c>
      <c r="AA42" s="1508">
        <f t="shared" si="3"/>
        <v>1</v>
      </c>
      <c r="AB42" s="1508">
        <f t="shared" si="4"/>
        <v>1</v>
      </c>
      <c r="AC42" s="1508">
        <f t="shared" si="5"/>
        <v>1</v>
      </c>
    </row>
    <row r="43" spans="1:29" ht="15">
      <c r="A43" s="600" t="s">
        <v>550</v>
      </c>
      <c r="B43" s="601" t="s">
        <v>2880</v>
      </c>
      <c r="C43" s="602" t="s">
        <v>1</v>
      </c>
      <c r="D43" s="603"/>
      <c r="E43" s="604"/>
      <c r="F43" s="605"/>
      <c r="G43" s="606"/>
      <c r="H43" s="607"/>
      <c r="I43" s="604"/>
      <c r="J43" s="607"/>
      <c r="K43" s="1291"/>
      <c r="L43" s="2023"/>
      <c r="M43" s="2013"/>
      <c r="N43" s="2013"/>
      <c r="O43" s="2024"/>
      <c r="P43" s="3627" t="str">
        <f>A43</f>
        <v>成交单价</v>
      </c>
      <c r="Q43" s="3627"/>
      <c r="R43" s="3628">
        <f>E43</f>
        <v>0</v>
      </c>
      <c r="S43" s="3628"/>
      <c r="T43" s="3628">
        <f>G43</f>
        <v>0</v>
      </c>
      <c r="U43" s="3628"/>
      <c r="V43" s="3628">
        <f>I43</f>
        <v>0</v>
      </c>
      <c r="W43" s="3628"/>
      <c r="X43" s="1494"/>
      <c r="Y43" s="1513"/>
      <c r="Z43" s="1494"/>
      <c r="AA43" s="1494"/>
      <c r="AB43" s="1494"/>
      <c r="AC43" s="1494"/>
    </row>
    <row r="44" spans="1:29" ht="15.75" thickBot="1">
      <c r="A44" s="608" t="s">
        <v>2670</v>
      </c>
      <c r="B44" s="609"/>
      <c r="C44" s="610" t="e">
        <f>R45</f>
        <v>#DIV/0!</v>
      </c>
      <c r="D44" s="3009" t="s">
        <v>2949</v>
      </c>
      <c r="E44" s="610" t="e">
        <f>R44</f>
        <v>#DIV/0!</v>
      </c>
      <c r="F44" s="3010"/>
      <c r="G44" s="611" t="e">
        <f>T44</f>
        <v>#DIV/0!</v>
      </c>
      <c r="H44" s="3010"/>
      <c r="I44" s="610" t="e">
        <f>V44</f>
        <v>#DIV/0!</v>
      </c>
      <c r="J44" s="3010"/>
      <c r="K44" s="3011">
        <f>F44+H44+J44</f>
        <v>0</v>
      </c>
      <c r="L44" s="2023"/>
      <c r="M44" s="2013"/>
      <c r="N44" s="2013"/>
      <c r="O44" s="2024"/>
      <c r="P44" s="3627" t="str">
        <f>A44</f>
        <v>比较价格（元/平方米）</v>
      </c>
      <c r="Q44" s="3627"/>
      <c r="R44" s="3629" t="e">
        <f>ROUND(PRODUCT(R43,AA9:AA42),0)</f>
        <v>#DIV/0!</v>
      </c>
      <c r="S44" s="3629"/>
      <c r="T44" s="3629" t="e">
        <f>ROUND(PRODUCT(T43,AB9:AB42),0)</f>
        <v>#DIV/0!</v>
      </c>
      <c r="U44" s="3629"/>
      <c r="V44" s="3629" t="e">
        <f>ROUND(PRODUCT(V43,AC9:AC42),0)</f>
        <v>#DIV/0!</v>
      </c>
      <c r="W44" s="3629"/>
      <c r="X44" s="1494"/>
      <c r="Y44" s="1494"/>
      <c r="Z44" s="1494"/>
      <c r="AA44" s="1494"/>
      <c r="AB44" s="1494"/>
      <c r="AC44" s="1494"/>
    </row>
    <row r="45" spans="1:29" ht="15.75" thickBot="1">
      <c r="A45" s="612" t="s">
        <v>2881</v>
      </c>
      <c r="B45" s="613"/>
      <c r="C45" s="614" t="e">
        <f>R45</f>
        <v>#DIV/0!</v>
      </c>
      <c r="D45" s="614"/>
      <c r="E45" s="614"/>
      <c r="F45" s="614"/>
      <c r="G45" s="614"/>
      <c r="H45" s="614"/>
      <c r="I45" s="614"/>
      <c r="J45" s="614"/>
      <c r="K45" s="1292"/>
      <c r="L45" s="2023"/>
      <c r="M45" s="2013"/>
      <c r="N45" s="2013"/>
      <c r="O45" s="2024"/>
      <c r="P45" s="3624" t="str">
        <f>A45</f>
        <v>估价对象XX用房的比较价格（楼面单价，元/平方米）</v>
      </c>
      <c r="Q45" s="3625"/>
      <c r="R45" s="3691" t="e">
        <f>ROUND(IF(D44="简单平均",AVERAGE(R44:W44),R44*F44+T44*H44+V44*J44),0)</f>
        <v>#DIV/0!</v>
      </c>
      <c r="S45" s="3691"/>
      <c r="T45" s="3691"/>
      <c r="U45" s="3691"/>
      <c r="V45" s="3691"/>
      <c r="W45" s="3691"/>
      <c r="X45" s="1494"/>
      <c r="Y45" s="1494"/>
      <c r="Z45" s="1494"/>
      <c r="AA45" s="1494"/>
      <c r="AB45" s="1494"/>
      <c r="AC45" s="1494"/>
    </row>
    <row r="46" spans="1:29">
      <c r="A46" s="3207"/>
      <c r="B46" s="3207"/>
      <c r="C46" s="3207"/>
      <c r="D46" s="3207"/>
      <c r="E46" s="3207"/>
      <c r="F46" s="3207"/>
      <c r="G46" s="3209"/>
      <c r="H46" s="3207"/>
      <c r="I46" s="3207"/>
      <c r="J46" s="3207"/>
      <c r="K46" s="3210"/>
      <c r="L46" s="2028"/>
      <c r="M46" s="2013"/>
      <c r="N46" s="2013"/>
      <c r="O46" s="2024"/>
      <c r="P46" s="2024"/>
      <c r="Q46" s="2024"/>
      <c r="R46" s="2024"/>
      <c r="S46" s="2024"/>
      <c r="T46" s="2024"/>
      <c r="U46" s="2024"/>
      <c r="V46" s="2024"/>
      <c r="W46" s="2024"/>
      <c r="X46" s="2024"/>
      <c r="Y46" s="2024"/>
      <c r="Z46" s="2024"/>
      <c r="AA46" s="2024"/>
      <c r="AB46" s="2024"/>
      <c r="AC46" s="2024"/>
    </row>
    <row r="47" spans="1:29">
      <c r="A47" s="3207"/>
      <c r="B47" s="3207"/>
      <c r="C47" s="3207"/>
      <c r="D47" s="3207"/>
      <c r="E47" s="3207"/>
      <c r="F47" s="3207"/>
      <c r="G47" s="3207"/>
      <c r="H47" s="3207"/>
      <c r="I47" s="3207"/>
      <c r="J47" s="3207"/>
      <c r="K47" s="3210"/>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7"/>
      <c r="B48" s="3207"/>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0"/>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7"/>
      <c r="B49" s="3207"/>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0"/>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08"/>
      <c r="B50" s="3208"/>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1"/>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5" thickBot="1">
      <c r="A51" s="3208"/>
      <c r="B51" s="3219"/>
      <c r="C51" s="2029"/>
      <c r="D51" s="2025"/>
      <c r="E51" s="2025"/>
      <c r="F51" s="2025"/>
      <c r="G51" s="2025"/>
      <c r="H51" s="2025"/>
      <c r="I51" s="2025"/>
      <c r="J51" s="2025"/>
      <c r="K51" s="3211"/>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1714</v>
      </c>
      <c r="D52" s="2104" t="s">
        <v>2279</v>
      </c>
      <c r="E52" s="622" t="s">
        <v>556</v>
      </c>
      <c r="F52" s="1862" t="s">
        <v>557</v>
      </c>
      <c r="G52" s="3686" t="s">
        <v>2270</v>
      </c>
      <c r="H52" s="3687"/>
      <c r="I52" s="1863" t="s">
        <v>1933</v>
      </c>
      <c r="J52" s="1491">
        <f>项目基本情况!F41</f>
        <v>0</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2.75">
      <c r="A53" s="624" t="s">
        <v>558</v>
      </c>
      <c r="B53" s="625" t="e">
        <f>C45</f>
        <v>#DIV/0!</v>
      </c>
      <c r="C53" s="626">
        <v>1</v>
      </c>
      <c r="D53" s="2105">
        <v>1</v>
      </c>
      <c r="E53" s="626">
        <f>'数据-汇总表'!E8+'数据-汇总表'!E9</f>
        <v>41490.493000000002</v>
      </c>
      <c r="F53" s="1861" t="e">
        <f t="shared" ref="F53:F62" si="15">ROUND(B53*E53/10000,0)</f>
        <v>#DIV/0!</v>
      </c>
      <c r="G53" s="3688"/>
      <c r="H53" s="3689"/>
      <c r="I53" s="1864">
        <v>1</v>
      </c>
      <c r="J53" s="1492">
        <v>1</v>
      </c>
      <c r="K53" s="3212"/>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2.75">
      <c r="A54" s="628" t="s">
        <v>559</v>
      </c>
      <c r="B54" s="629" t="e">
        <f>ROUND($C$45*C54*D54,0)</f>
        <v>#DIV/0!</v>
      </c>
      <c r="C54" s="371">
        <f t="shared" ref="C54:C62" si="16">IF($C$52="北京市系数",I54,J54)</f>
        <v>0.6</v>
      </c>
      <c r="D54" s="2106">
        <v>0.25</v>
      </c>
      <c r="E54" s="630"/>
      <c r="F54" s="1861" t="e">
        <f t="shared" si="15"/>
        <v>#DIV/0!</v>
      </c>
      <c r="G54" s="3690" t="s">
        <v>2271</v>
      </c>
      <c r="H54" s="1865" t="str">
        <f>项目基本情况!B43</f>
        <v>九级</v>
      </c>
      <c r="I54" s="1864">
        <f>SUMIF(修正!$A$45:$A$56,H54,修正!B45:B56)</f>
        <v>0.6</v>
      </c>
      <c r="J54" s="1493"/>
      <c r="K54" s="3212"/>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2.75">
      <c r="A55" s="628" t="s">
        <v>560</v>
      </c>
      <c r="B55" s="629" t="e">
        <f t="shared" ref="B55:B62" si="17">ROUND($C$45*C55*D55,0)</f>
        <v>#DIV/0!</v>
      </c>
      <c r="C55" s="371">
        <f t="shared" si="16"/>
        <v>0.3</v>
      </c>
      <c r="D55" s="2106">
        <v>0.25</v>
      </c>
      <c r="E55" s="630"/>
      <c r="F55" s="1861" t="e">
        <f t="shared" si="15"/>
        <v>#DIV/0!</v>
      </c>
      <c r="G55" s="3690"/>
      <c r="H55" s="1866" t="str">
        <f>项目基本情况!B43</f>
        <v>九级</v>
      </c>
      <c r="I55" s="1864">
        <f>SUMIF(修正!$A$45:$A$56,H55,修正!C45:C56)</f>
        <v>0.3</v>
      </c>
      <c r="J55" s="1493"/>
      <c r="K55" s="3212"/>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2.75">
      <c r="A56" s="628" t="s">
        <v>561</v>
      </c>
      <c r="B56" s="629" t="e">
        <f t="shared" si="17"/>
        <v>#DIV/0!</v>
      </c>
      <c r="C56" s="371">
        <f t="shared" si="16"/>
        <v>0.2</v>
      </c>
      <c r="D56" s="2106">
        <v>0.25</v>
      </c>
      <c r="E56" s="630"/>
      <c r="F56" s="1861" t="e">
        <f t="shared" si="15"/>
        <v>#DIV/0!</v>
      </c>
      <c r="G56" s="3690"/>
      <c r="H56" s="1866" t="str">
        <f>项目基本情况!B43</f>
        <v>九级</v>
      </c>
      <c r="I56" s="1864">
        <f>SUMIF(修正!$A$45:$A$56,H56,修正!D45:D56)</f>
        <v>0.2</v>
      </c>
      <c r="J56" s="1493"/>
      <c r="K56" s="3212"/>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2.75">
      <c r="A57" s="628" t="s">
        <v>562</v>
      </c>
      <c r="B57" s="629" t="e">
        <f t="shared" si="17"/>
        <v>#DIV/0!</v>
      </c>
      <c r="C57" s="371">
        <f t="shared" si="16"/>
        <v>0.2</v>
      </c>
      <c r="D57" s="2106">
        <v>0.25</v>
      </c>
      <c r="E57" s="630"/>
      <c r="F57" s="1861" t="e">
        <f t="shared" si="15"/>
        <v>#DIV/0!</v>
      </c>
      <c r="G57" s="3690"/>
      <c r="H57" s="1866" t="str">
        <f>项目基本情况!B43</f>
        <v>九级</v>
      </c>
      <c r="I57" s="1864">
        <f>SUMIF(修正!$A$45:$A$56,H57,修正!E45:E56)</f>
        <v>0.2</v>
      </c>
      <c r="J57" s="1493"/>
      <c r="K57" s="3212"/>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2.75">
      <c r="A58" s="2208" t="s">
        <v>2314</v>
      </c>
      <c r="B58" s="629" t="e">
        <f t="shared" si="17"/>
        <v>#DIV/0!</v>
      </c>
      <c r="C58" s="371">
        <f t="shared" si="16"/>
        <v>0</v>
      </c>
      <c r="D58" s="2106">
        <v>0.25</v>
      </c>
      <c r="E58" s="632">
        <f>'数据-汇总表'!E11</f>
        <v>0</v>
      </c>
      <c r="F58" s="1861" t="e">
        <f t="shared" si="15"/>
        <v>#DIV/0!</v>
      </c>
      <c r="G58" s="1867" t="s">
        <v>2272</v>
      </c>
      <c r="H58" s="1866">
        <f>项目基本情况!C43</f>
        <v>0</v>
      </c>
      <c r="I58" s="1864">
        <f>SUMIF(修正!$A$45:$A$56,H58,修正!F45:F56)</f>
        <v>0</v>
      </c>
      <c r="J58" s="1493"/>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563</v>
      </c>
      <c r="B59" s="629" t="e">
        <f t="shared" si="17"/>
        <v>#DIV/0!</v>
      </c>
      <c r="C59" s="371">
        <f t="shared" si="16"/>
        <v>0</v>
      </c>
      <c r="D59" s="2106">
        <v>0.25</v>
      </c>
      <c r="E59" s="632">
        <f>'数据-汇总表'!E12</f>
        <v>6701</v>
      </c>
      <c r="F59" s="1861" t="e">
        <f t="shared" si="15"/>
        <v>#DIV/0!</v>
      </c>
      <c r="G59" s="1857" t="s">
        <v>1667</v>
      </c>
      <c r="H59" s="1865">
        <f>IF(G59="商业",项目基本情况!B43,IF(G59="办公",项目基本情况!C43,IF(G59="住宅",项目基本情况!D43,项目基本情况!E43)))</f>
        <v>0</v>
      </c>
      <c r="I59" s="1864">
        <f>SUMIF(修正!$A$45:$A$56,H59,修正!G45:G56)</f>
        <v>0</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564</v>
      </c>
      <c r="B60" s="629" t="e">
        <f t="shared" si="17"/>
        <v>#DIV/0!</v>
      </c>
      <c r="C60" s="371">
        <f t="shared" si="16"/>
        <v>0.15</v>
      </c>
      <c r="D60" s="2106">
        <v>0.25</v>
      </c>
      <c r="E60" s="632">
        <f>'数据-汇总表'!E13</f>
        <v>12284</v>
      </c>
      <c r="F60" s="1861" t="e">
        <f t="shared" si="15"/>
        <v>#DIV/0!</v>
      </c>
      <c r="G60" s="1857" t="s">
        <v>913</v>
      </c>
      <c r="H60" s="1865" t="str">
        <f>IF(G60="商业",项目基本情况!B43,IF(G60="办公",项目基本情况!C43,IF(G60="住宅",项目基本情况!D43,项目基本情况!E43)))</f>
        <v>九级</v>
      </c>
      <c r="I60" s="1864">
        <f>SUMIF(修正!$A$45:$A$56,H60,修正!H45:H56)</f>
        <v>0.15</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565</v>
      </c>
      <c r="B61" s="629" t="e">
        <f t="shared" si="17"/>
        <v>#DIV/0!</v>
      </c>
      <c r="C61" s="371">
        <f t="shared" si="16"/>
        <v>0.15</v>
      </c>
      <c r="D61" s="2106">
        <v>0.25</v>
      </c>
      <c r="E61" s="632">
        <f>'数据-汇总表'!E14</f>
        <v>0</v>
      </c>
      <c r="F61" s="1861" t="e">
        <f t="shared" si="15"/>
        <v>#DIV/0!</v>
      </c>
      <c r="G61" s="1867" t="s">
        <v>2271</v>
      </c>
      <c r="H61" s="1866" t="str">
        <f>项目基本情况!B43</f>
        <v>九级</v>
      </c>
      <c r="I61" s="1864">
        <f>SUMIF(修正!$A$45:$A$56,H61,修正!H45:H56)</f>
        <v>0.15</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5" thickBot="1">
      <c r="A62" s="628" t="s">
        <v>566</v>
      </c>
      <c r="B62" s="629" t="e">
        <f t="shared" si="17"/>
        <v>#DIV/0!</v>
      </c>
      <c r="C62" s="371">
        <f t="shared" si="16"/>
        <v>0</v>
      </c>
      <c r="D62" s="2106">
        <v>0.25</v>
      </c>
      <c r="E62" s="632">
        <f>'数据-汇总表'!E15</f>
        <v>0</v>
      </c>
      <c r="F62" s="1861" t="e">
        <f t="shared" si="15"/>
        <v>#DIV/0!</v>
      </c>
      <c r="G62" s="1868" t="s">
        <v>2272</v>
      </c>
      <c r="H62" s="1869">
        <f>项目基本情况!C43</f>
        <v>0</v>
      </c>
      <c r="I62" s="1864">
        <f>SUMIF(修正!$A$45:$A$56,H62,修正!H45:H56)</f>
        <v>0</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5" thickBot="1">
      <c r="A63" s="633" t="s">
        <v>567</v>
      </c>
      <c r="B63" s="634" t="s">
        <v>17</v>
      </c>
      <c r="C63" s="634" t="s">
        <v>18</v>
      </c>
      <c r="D63" s="634" t="s">
        <v>2280</v>
      </c>
      <c r="E63" s="634">
        <f>IF(B43="楼面地价",SUM(E53:E62),'数据-汇总表'!D3)</f>
        <v>23100.27</v>
      </c>
      <c r="F63" s="635" t="e">
        <f>IF(B43="楼面地价",SUM(F53:F62),ROUND(C45*E63/10000,0))</f>
        <v>#DIV/0!</v>
      </c>
      <c r="G63" s="2034"/>
      <c r="H63" s="2034"/>
      <c r="I63" s="2034"/>
      <c r="J63" s="2034"/>
      <c r="K63" s="3220"/>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2021-12-1</v>
      </c>
      <c r="D65" s="2513">
        <f>EDATE(C65,-3)</f>
        <v>44440</v>
      </c>
      <c r="E65" s="2513">
        <f t="shared" ref="E65:N65" si="18">EDATE(D65,-3)</f>
        <v>44348</v>
      </c>
      <c r="F65" s="2513">
        <f t="shared" si="18"/>
        <v>44256</v>
      </c>
      <c r="G65" s="2513">
        <f t="shared" si="18"/>
        <v>44166</v>
      </c>
      <c r="H65" s="2513">
        <f t="shared" si="18"/>
        <v>44075</v>
      </c>
      <c r="I65" s="2513">
        <f t="shared" si="18"/>
        <v>43983</v>
      </c>
      <c r="J65" s="2513">
        <f t="shared" si="18"/>
        <v>43891</v>
      </c>
      <c r="K65" s="2513">
        <f t="shared" si="18"/>
        <v>43800</v>
      </c>
      <c r="L65" s="2513">
        <f t="shared" si="18"/>
        <v>43709</v>
      </c>
      <c r="M65" s="2513">
        <f t="shared" si="18"/>
        <v>43617</v>
      </c>
      <c r="N65" s="2513">
        <f t="shared" si="18"/>
        <v>43525</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5">
      <c r="A67" s="2418" t="s">
        <v>2512</v>
      </c>
      <c r="B67" s="637"/>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2626</v>
      </c>
      <c r="B68" s="472" t="str">
        <f>"北京市平均增长率"&amp;TEXT(基准地价!P24,"0.00%")</f>
        <v>北京市平均增长率0.00%</v>
      </c>
      <c r="C68" s="880">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0"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5">
      <c r="A70" s="650" t="s">
        <v>525</v>
      </c>
      <c r="B70" s="639"/>
      <c r="C70" s="651" t="s">
        <v>570</v>
      </c>
      <c r="D70" s="652"/>
      <c r="E70" s="652"/>
      <c r="F70" s="652"/>
      <c r="G70" s="652"/>
      <c r="H70" s="652"/>
      <c r="I70" s="652"/>
      <c r="J70" s="652"/>
      <c r="K70" s="652"/>
      <c r="L70" s="653"/>
      <c r="M70" s="654"/>
      <c r="N70" s="3221"/>
      <c r="O70" s="2040"/>
      <c r="P70" s="2041"/>
      <c r="Q70" s="2036"/>
      <c r="R70" s="1902"/>
      <c r="S70" s="1902"/>
      <c r="T70" s="1902"/>
      <c r="U70" s="1902"/>
      <c r="V70" s="1902"/>
      <c r="W70" s="1902"/>
      <c r="X70" s="1902"/>
      <c r="Y70" s="1902"/>
      <c r="Z70" s="1902"/>
      <c r="AA70" s="1902"/>
      <c r="AB70" s="1902"/>
      <c r="AC70" s="1902"/>
    </row>
    <row r="71" spans="1:29" s="1200" customFormat="1" ht="15.75" thickBot="1">
      <c r="A71" s="650"/>
      <c r="B71" s="639"/>
      <c r="C71" s="640">
        <v>100</v>
      </c>
      <c r="D71" s="641"/>
      <c r="E71" s="641"/>
      <c r="F71" s="641"/>
      <c r="G71" s="641"/>
      <c r="H71" s="641"/>
      <c r="I71" s="641"/>
      <c r="J71" s="641"/>
      <c r="K71" s="641"/>
      <c r="L71" s="641"/>
      <c r="M71" s="643"/>
      <c r="N71" s="3221"/>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2"/>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3"/>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2"/>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3"/>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3"/>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2"/>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3"/>
      <c r="O78" s="2044"/>
      <c r="P78" s="2043"/>
      <c r="Q78" s="2036"/>
      <c r="R78" s="2024"/>
      <c r="S78" s="2024"/>
      <c r="T78" s="2024"/>
      <c r="U78" s="2024"/>
      <c r="V78" s="2024"/>
      <c r="W78" s="2024"/>
      <c r="X78" s="2024"/>
      <c r="Y78" s="2024"/>
      <c r="Z78" s="2024"/>
      <c r="AA78" s="2024"/>
      <c r="AB78" s="2024"/>
      <c r="AC78" s="2024"/>
    </row>
    <row r="79" spans="1:29" s="1290" customFormat="1" ht="15.75" thickTop="1">
      <c r="A79" s="678"/>
      <c r="B79" s="664">
        <f>B14</f>
        <v>111</v>
      </c>
      <c r="C79" s="679"/>
      <c r="D79" s="679"/>
      <c r="E79" s="679"/>
      <c r="F79" s="679"/>
      <c r="G79" s="679"/>
      <c r="H79" s="680"/>
      <c r="I79" s="680"/>
      <c r="J79" s="680"/>
      <c r="K79" s="680"/>
      <c r="L79" s="681"/>
      <c r="M79" s="682"/>
      <c r="N79" s="3224"/>
      <c r="O79" s="2045"/>
      <c r="P79" s="2046"/>
      <c r="Q79" s="2047"/>
      <c r="R79" s="2048"/>
      <c r="S79" s="2048"/>
      <c r="T79" s="2048"/>
      <c r="U79" s="2048"/>
      <c r="V79" s="2048"/>
      <c r="W79" s="2048"/>
      <c r="X79" s="2048"/>
      <c r="Y79" s="2048"/>
      <c r="Z79" s="2048"/>
      <c r="AA79" s="2048"/>
      <c r="AB79" s="2048"/>
      <c r="AC79" s="2048"/>
    </row>
    <row r="80" spans="1:29" s="1290" customFormat="1" ht="15.75" thickBot="1">
      <c r="A80" s="678"/>
      <c r="B80" s="669"/>
      <c r="C80" s="683"/>
      <c r="D80" s="662"/>
      <c r="E80" s="662"/>
      <c r="F80" s="662"/>
      <c r="G80" s="662"/>
      <c r="H80" s="662"/>
      <c r="I80" s="662"/>
      <c r="J80" s="662"/>
      <c r="K80" s="662"/>
      <c r="L80" s="662"/>
      <c r="M80" s="663"/>
      <c r="N80" s="3223"/>
      <c r="O80" s="2044"/>
      <c r="P80" s="2046"/>
      <c r="Q80" s="2047"/>
      <c r="R80" s="2048"/>
      <c r="S80" s="2048"/>
      <c r="T80" s="2048"/>
      <c r="U80" s="2048"/>
      <c r="V80" s="2048"/>
      <c r="W80" s="2048"/>
      <c r="X80" s="2048"/>
      <c r="Y80" s="2048"/>
      <c r="Z80" s="2048"/>
      <c r="AA80" s="2048"/>
      <c r="AB80" s="2048"/>
      <c r="AC80" s="2048"/>
    </row>
    <row r="81" spans="1:29" s="1290" customFormat="1" ht="15.75" thickTop="1">
      <c r="A81" s="678"/>
      <c r="B81" s="664">
        <f>B15</f>
        <v>111</v>
      </c>
      <c r="C81" s="679"/>
      <c r="D81" s="679"/>
      <c r="E81" s="679"/>
      <c r="F81" s="679"/>
      <c r="G81" s="679"/>
      <c r="H81" s="680"/>
      <c r="I81" s="680"/>
      <c r="J81" s="680"/>
      <c r="K81" s="680"/>
      <c r="L81" s="681"/>
      <c r="M81" s="682"/>
      <c r="N81" s="3224"/>
      <c r="O81" s="2045"/>
      <c r="P81" s="2049"/>
      <c r="Q81" s="2050"/>
      <c r="R81" s="2048"/>
      <c r="S81" s="2048"/>
      <c r="T81" s="2048"/>
      <c r="U81" s="2048"/>
      <c r="V81" s="2048"/>
      <c r="W81" s="2048"/>
      <c r="X81" s="2048"/>
      <c r="Y81" s="2048"/>
      <c r="Z81" s="2048"/>
      <c r="AA81" s="2048"/>
      <c r="AB81" s="2048"/>
      <c r="AC81" s="2048"/>
    </row>
    <row r="82" spans="1:29" s="1290" customFormat="1" ht="15.75" thickBot="1">
      <c r="A82" s="678"/>
      <c r="B82" s="669"/>
      <c r="C82" s="683"/>
      <c r="D82" s="683"/>
      <c r="E82" s="683"/>
      <c r="F82" s="683"/>
      <c r="G82" s="683"/>
      <c r="H82" s="684"/>
      <c r="I82" s="684"/>
      <c r="J82" s="684"/>
      <c r="K82" s="684"/>
      <c r="L82" s="684"/>
      <c r="M82" s="685"/>
      <c r="N82" s="3224"/>
      <c r="O82" s="2045"/>
      <c r="P82" s="2046"/>
      <c r="Q82" s="2047"/>
      <c r="R82" s="2048"/>
      <c r="S82" s="2048"/>
      <c r="T82" s="2048"/>
      <c r="U82" s="2048"/>
      <c r="V82" s="2048"/>
      <c r="W82" s="2048"/>
      <c r="X82" s="2048"/>
      <c r="Y82" s="2048"/>
      <c r="Z82" s="2048"/>
      <c r="AA82" s="2048"/>
      <c r="AB82" s="2048"/>
      <c r="AC82" s="2048"/>
    </row>
    <row r="83" spans="1:29" s="1290" customFormat="1" ht="15.75" thickTop="1">
      <c r="A83" s="678"/>
      <c r="B83" s="672">
        <f>B16</f>
        <v>111</v>
      </c>
      <c r="C83" s="652"/>
      <c r="D83" s="652"/>
      <c r="E83" s="652"/>
      <c r="F83" s="652"/>
      <c r="G83" s="652"/>
      <c r="H83" s="686"/>
      <c r="I83" s="686"/>
      <c r="J83" s="686"/>
      <c r="K83" s="686"/>
      <c r="L83" s="687"/>
      <c r="M83" s="688"/>
      <c r="N83" s="3224"/>
      <c r="O83" s="2045"/>
      <c r="P83" s="2051"/>
      <c r="Q83" s="2047"/>
      <c r="R83" s="2048"/>
      <c r="S83" s="2048"/>
      <c r="T83" s="2048"/>
      <c r="U83" s="2048"/>
      <c r="V83" s="2048"/>
      <c r="W83" s="2048"/>
      <c r="X83" s="2048"/>
      <c r="Y83" s="2048"/>
      <c r="Z83" s="2048"/>
      <c r="AA83" s="2048"/>
      <c r="AB83" s="2048"/>
      <c r="AC83" s="2048"/>
    </row>
    <row r="84" spans="1:29" s="1290" customFormat="1" ht="15.75" thickBot="1">
      <c r="A84" s="689"/>
      <c r="B84" s="690"/>
      <c r="C84" s="691"/>
      <c r="D84" s="691"/>
      <c r="E84" s="691"/>
      <c r="F84" s="691"/>
      <c r="G84" s="691"/>
      <c r="H84" s="692"/>
      <c r="I84" s="692"/>
      <c r="J84" s="692"/>
      <c r="K84" s="692"/>
      <c r="L84" s="692"/>
      <c r="M84" s="693"/>
      <c r="N84" s="3224"/>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2"/>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3"/>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2"/>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3"/>
      <c r="O88" s="2044"/>
      <c r="P88" s="2043"/>
      <c r="Q88" s="2036"/>
      <c r="R88" s="2024"/>
      <c r="S88" s="2024"/>
      <c r="T88" s="2024"/>
      <c r="U88" s="2024"/>
      <c r="V88" s="2024"/>
      <c r="W88" s="2024"/>
      <c r="X88" s="2024"/>
      <c r="Y88" s="2024"/>
      <c r="Z88" s="2024"/>
      <c r="AA88" s="2024"/>
      <c r="AB88" s="2024"/>
      <c r="AC88" s="2024"/>
    </row>
    <row r="89" spans="1:29" s="1200" customFormat="1" ht="27.75" thickTop="1">
      <c r="A89" s="700"/>
      <c r="B89" s="664" t="s">
        <v>581</v>
      </c>
      <c r="C89" s="699" t="s">
        <v>573</v>
      </c>
      <c r="D89" s="699" t="s">
        <v>574</v>
      </c>
      <c r="E89" s="699" t="s">
        <v>575</v>
      </c>
      <c r="F89" s="699" t="s">
        <v>576</v>
      </c>
      <c r="G89" s="699" t="s">
        <v>577</v>
      </c>
      <c r="H89" s="699"/>
      <c r="I89" s="699"/>
      <c r="J89" s="699"/>
      <c r="K89" s="699"/>
      <c r="L89" s="701"/>
      <c r="M89" s="702"/>
      <c r="N89" s="3221"/>
      <c r="O89" s="2040"/>
      <c r="P89" s="2043"/>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C90-$K21</f>
        <v>100</v>
      </c>
      <c r="E90" s="670">
        <f>D90-$K21</f>
        <v>100</v>
      </c>
      <c r="F90" s="670">
        <f>E90-$K21</f>
        <v>100</v>
      </c>
      <c r="G90" s="670">
        <f>F90-$K21</f>
        <v>100</v>
      </c>
      <c r="H90" s="670"/>
      <c r="I90" s="670"/>
      <c r="J90" s="670"/>
      <c r="K90" s="670"/>
      <c r="L90" s="670"/>
      <c r="M90" s="671"/>
      <c r="N90" s="3223"/>
      <c r="O90" s="2044"/>
      <c r="P90" s="2043"/>
      <c r="Q90" s="2036"/>
      <c r="R90" s="1902"/>
      <c r="S90" s="1902"/>
      <c r="T90" s="1902"/>
      <c r="U90" s="1902"/>
      <c r="V90" s="1902"/>
      <c r="W90" s="1902"/>
      <c r="X90" s="1902"/>
      <c r="Y90" s="1902"/>
      <c r="Z90" s="1902"/>
      <c r="AA90" s="1902"/>
      <c r="AB90" s="1902"/>
      <c r="AC90" s="1902"/>
    </row>
    <row r="91" spans="1:29" s="1200" customFormat="1" ht="27.75" thickTop="1">
      <c r="A91" s="700"/>
      <c r="B91" s="664" t="s">
        <v>582</v>
      </c>
      <c r="C91" s="694" t="s">
        <v>573</v>
      </c>
      <c r="D91" s="694" t="s">
        <v>574</v>
      </c>
      <c r="E91" s="694" t="s">
        <v>575</v>
      </c>
      <c r="F91" s="694" t="s">
        <v>576</v>
      </c>
      <c r="G91" s="694" t="s">
        <v>577</v>
      </c>
      <c r="H91" s="699"/>
      <c r="I91" s="699"/>
      <c r="J91" s="699"/>
      <c r="K91" s="699"/>
      <c r="L91" s="699"/>
      <c r="M91" s="702"/>
      <c r="N91" s="3221"/>
      <c r="O91" s="2040"/>
      <c r="P91" s="2043"/>
      <c r="Q91" s="2036"/>
      <c r="R91" s="1902"/>
      <c r="S91" s="1902"/>
      <c r="T91" s="1902"/>
      <c r="U91" s="1902"/>
      <c r="V91" s="1902"/>
      <c r="W91" s="1902"/>
      <c r="X91" s="1902"/>
      <c r="Y91" s="1902"/>
      <c r="Z91" s="1902"/>
      <c r="AA91" s="1902"/>
      <c r="AB91" s="1902"/>
      <c r="AC91" s="1902"/>
    </row>
    <row r="92" spans="1:29" s="1200" customFormat="1" ht="15.75" thickBot="1">
      <c r="A92" s="700"/>
      <c r="B92" s="669"/>
      <c r="C92" s="670">
        <v>100</v>
      </c>
      <c r="D92" s="670">
        <f>C92-$K23</f>
        <v>100</v>
      </c>
      <c r="E92" s="670">
        <f>D92-$K23</f>
        <v>100</v>
      </c>
      <c r="F92" s="670">
        <f>E92-$K23</f>
        <v>100</v>
      </c>
      <c r="G92" s="670">
        <f>F92-$K23</f>
        <v>100</v>
      </c>
      <c r="H92" s="670"/>
      <c r="I92" s="670"/>
      <c r="J92" s="670"/>
      <c r="K92" s="670"/>
      <c r="L92" s="670"/>
      <c r="M92" s="671"/>
      <c r="N92" s="3223"/>
      <c r="O92" s="2044"/>
      <c r="P92" s="2043"/>
      <c r="Q92" s="2036"/>
      <c r="R92" s="1902"/>
      <c r="S92" s="1902"/>
      <c r="T92" s="1902"/>
      <c r="U92" s="1902"/>
      <c r="V92" s="1902"/>
      <c r="W92" s="1902"/>
      <c r="X92" s="1902"/>
      <c r="Y92" s="1902"/>
      <c r="Z92" s="1902"/>
      <c r="AA92" s="1902"/>
      <c r="AB92" s="1902"/>
      <c r="AC92" s="1902"/>
    </row>
    <row r="93" spans="1:29" s="1290" customFormat="1" ht="15.75" thickTop="1">
      <c r="A93" s="678"/>
      <c r="B93" s="1807" t="s">
        <v>2527</v>
      </c>
      <c r="C93" s="694" t="s">
        <v>573</v>
      </c>
      <c r="D93" s="694" t="s">
        <v>574</v>
      </c>
      <c r="E93" s="694" t="s">
        <v>575</v>
      </c>
      <c r="F93" s="694" t="s">
        <v>576</v>
      </c>
      <c r="G93" s="694" t="s">
        <v>577</v>
      </c>
      <c r="H93" s="704"/>
      <c r="I93" s="704"/>
      <c r="J93" s="704"/>
      <c r="K93" s="704"/>
      <c r="L93" s="705"/>
      <c r="M93" s="706"/>
      <c r="N93" s="3224"/>
      <c r="O93" s="2045"/>
      <c r="P93" s="2046"/>
      <c r="Q93" s="2047"/>
      <c r="R93" s="2048"/>
      <c r="S93" s="2048"/>
      <c r="T93" s="2048"/>
      <c r="U93" s="2048"/>
      <c r="V93" s="2048"/>
      <c r="W93" s="2048"/>
      <c r="X93" s="2048"/>
      <c r="Y93" s="2048"/>
      <c r="Z93" s="2048"/>
      <c r="AA93" s="2048"/>
      <c r="AB93" s="2048"/>
      <c r="AC93" s="2048"/>
    </row>
    <row r="94" spans="1:29" s="1290" customFormat="1" ht="15.75" thickBot="1">
      <c r="A94" s="678"/>
      <c r="B94" s="669"/>
      <c r="C94" s="670">
        <v>100</v>
      </c>
      <c r="D94" s="670">
        <f>C94-$K25</f>
        <v>100</v>
      </c>
      <c r="E94" s="670">
        <f>D94-$K25</f>
        <v>100</v>
      </c>
      <c r="F94" s="670">
        <f>E94-$K25</f>
        <v>100</v>
      </c>
      <c r="G94" s="670">
        <f>F94-$K25</f>
        <v>100</v>
      </c>
      <c r="H94" s="707"/>
      <c r="I94" s="707"/>
      <c r="J94" s="707"/>
      <c r="K94" s="707"/>
      <c r="L94" s="707"/>
      <c r="M94" s="708"/>
      <c r="N94" s="3224"/>
      <c r="O94" s="2045"/>
      <c r="P94" s="2046"/>
      <c r="Q94" s="2047"/>
      <c r="R94" s="2048"/>
      <c r="S94" s="2048"/>
      <c r="T94" s="2048"/>
      <c r="U94" s="2048"/>
      <c r="V94" s="2048"/>
      <c r="W94" s="2048"/>
      <c r="X94" s="2048"/>
      <c r="Y94" s="2048"/>
      <c r="Z94" s="2048"/>
      <c r="AA94" s="2048"/>
      <c r="AB94" s="2048"/>
      <c r="AC94" s="2048"/>
    </row>
    <row r="95" spans="1:29" s="1290" customFormat="1" ht="15.75" thickTop="1">
      <c r="A95" s="678"/>
      <c r="B95" s="2438" t="s">
        <v>2529</v>
      </c>
      <c r="C95" s="2439" t="s">
        <v>2530</v>
      </c>
      <c r="D95" s="2439" t="s">
        <v>2531</v>
      </c>
      <c r="E95" s="2439" t="s">
        <v>2532</v>
      </c>
      <c r="F95" s="2439" t="s">
        <v>2533</v>
      </c>
      <c r="G95" s="2439" t="s">
        <v>2534</v>
      </c>
      <c r="H95" s="704"/>
      <c r="I95" s="704"/>
      <c r="J95" s="704"/>
      <c r="K95" s="704"/>
      <c r="L95" s="704"/>
      <c r="M95" s="706"/>
      <c r="N95" s="3224"/>
      <c r="O95" s="2045"/>
      <c r="P95" s="2046"/>
      <c r="Q95" s="2047"/>
      <c r="R95" s="2048"/>
      <c r="S95" s="2048"/>
      <c r="T95" s="2048"/>
      <c r="U95" s="2048"/>
      <c r="V95" s="2048"/>
      <c r="W95" s="2048"/>
      <c r="X95" s="2048"/>
      <c r="Y95" s="2048"/>
      <c r="Z95" s="2048"/>
      <c r="AA95" s="2048"/>
      <c r="AB95" s="2048"/>
      <c r="AC95" s="2048"/>
    </row>
    <row r="96" spans="1:29" s="1290" customFormat="1" ht="15.75" thickBot="1">
      <c r="A96" s="678"/>
      <c r="B96" s="672"/>
      <c r="C96" s="670">
        <v>100</v>
      </c>
      <c r="D96" s="670">
        <f>C96-$K27</f>
        <v>100</v>
      </c>
      <c r="E96" s="670">
        <f>D96-$K27</f>
        <v>100</v>
      </c>
      <c r="F96" s="670">
        <f>E96-$K27</f>
        <v>100</v>
      </c>
      <c r="G96" s="670">
        <f>F96-$K27</f>
        <v>100</v>
      </c>
      <c r="H96" s="674"/>
      <c r="I96" s="674"/>
      <c r="J96" s="674"/>
      <c r="K96" s="674"/>
      <c r="L96" s="674"/>
      <c r="M96" s="2431"/>
      <c r="N96" s="3224"/>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2"/>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3"/>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2"/>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3"/>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3"/>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2"/>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3"/>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3"/>
      <c r="O106" s="2044"/>
      <c r="P106" s="2043"/>
      <c r="Q106" s="2036"/>
      <c r="R106" s="2024"/>
      <c r="S106" s="2024"/>
      <c r="T106" s="2024"/>
      <c r="U106" s="2024"/>
      <c r="V106" s="2024"/>
      <c r="W106" s="2024"/>
      <c r="X106" s="2024"/>
      <c r="Y106" s="2024"/>
      <c r="Z106" s="2024"/>
      <c r="AA106" s="2024"/>
      <c r="AB106" s="2024"/>
      <c r="AC106" s="2024"/>
    </row>
    <row r="107" spans="1:29" s="1290" customFormat="1" ht="15" thickTop="1">
      <c r="A107" s="719"/>
      <c r="B107" s="720">
        <f>B35</f>
        <v>111</v>
      </c>
      <c r="C107" s="652"/>
      <c r="D107" s="652"/>
      <c r="E107" s="652"/>
      <c r="F107" s="652"/>
      <c r="G107" s="721"/>
      <c r="H107" s="721"/>
      <c r="I107" s="721"/>
      <c r="J107" s="722"/>
      <c r="K107" s="722"/>
      <c r="L107" s="723"/>
      <c r="M107" s="724"/>
      <c r="N107" s="3224"/>
      <c r="O107" s="2045"/>
      <c r="P107" s="2046"/>
      <c r="Q107" s="2047"/>
      <c r="R107" s="2048"/>
      <c r="S107" s="2048"/>
      <c r="T107" s="2048"/>
      <c r="U107" s="2048"/>
      <c r="V107" s="2048"/>
      <c r="W107" s="2048"/>
      <c r="X107" s="2048"/>
      <c r="Y107" s="2048"/>
      <c r="Z107" s="2048"/>
      <c r="AA107" s="2048"/>
      <c r="AB107" s="2048"/>
      <c r="AC107" s="2048"/>
    </row>
    <row r="108" spans="1:29" s="1290" customFormat="1" ht="15.75" thickBot="1">
      <c r="A108" s="678"/>
      <c r="B108" s="672"/>
      <c r="C108" s="691"/>
      <c r="D108" s="691"/>
      <c r="E108" s="691"/>
      <c r="F108" s="691"/>
      <c r="G108" s="585"/>
      <c r="H108" s="585"/>
      <c r="I108" s="585"/>
      <c r="J108" s="585"/>
      <c r="K108" s="585"/>
      <c r="L108" s="585"/>
      <c r="M108" s="725"/>
      <c r="N108" s="3223"/>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5" t="str">
        <f t="shared" si="25"/>
        <v>(含)-</v>
      </c>
      <c r="L109" s="2776" t="str">
        <f t="shared" si="25"/>
        <v>(含)-</v>
      </c>
      <c r="M109" s="2777" t="str">
        <f>M110&amp;"(含)"&amp;"-"&amp;P110</f>
        <v>(含)-</v>
      </c>
      <c r="N109" s="3222"/>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3"/>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2"/>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3"/>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9"/>
      <c r="B114" s="1807" t="s">
        <v>2408</v>
      </c>
      <c r="C114" s="1324"/>
      <c r="D114" s="1324"/>
      <c r="E114" s="1324"/>
      <c r="F114" s="1324"/>
      <c r="G114" s="1324"/>
      <c r="H114" s="709"/>
      <c r="I114" s="709"/>
      <c r="J114" s="709"/>
      <c r="K114" s="710"/>
      <c r="L114" s="711"/>
      <c r="M114" s="712"/>
      <c r="N114" s="3224"/>
      <c r="O114" s="2045"/>
      <c r="P114" s="2046"/>
      <c r="Q114" s="2047"/>
      <c r="R114" s="2048"/>
      <c r="S114" s="2048"/>
      <c r="T114" s="2048"/>
      <c r="U114" s="2048"/>
      <c r="V114" s="2048"/>
      <c r="W114" s="2048"/>
      <c r="X114" s="2048"/>
      <c r="Y114" s="2048"/>
      <c r="Z114" s="2048"/>
      <c r="AA114" s="2048"/>
      <c r="AB114" s="2048"/>
      <c r="AC114" s="2048"/>
    </row>
    <row r="115" spans="1:29" s="1290"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4"/>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3"/>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3"/>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2"/>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3"/>
      <c r="O121" s="2044"/>
      <c r="P121" s="2043"/>
      <c r="Q121" s="2036"/>
      <c r="R121" s="2024"/>
      <c r="S121" s="2024"/>
      <c r="T121" s="2024"/>
      <c r="U121" s="2024"/>
      <c r="V121" s="2024"/>
      <c r="W121" s="2024"/>
      <c r="X121" s="2024"/>
      <c r="Y121" s="2024"/>
      <c r="Z121" s="2024"/>
      <c r="AA121" s="2024"/>
      <c r="AB121" s="2024"/>
      <c r="AC121" s="2024"/>
    </row>
    <row r="122" spans="1:29" s="1290" customFormat="1" ht="15" thickTop="1">
      <c r="A122" s="719"/>
      <c r="B122" s="664">
        <f>B42</f>
        <v>111</v>
      </c>
      <c r="C122" s="652"/>
      <c r="D122" s="652"/>
      <c r="E122" s="652"/>
      <c r="F122" s="652"/>
      <c r="G122" s="680"/>
      <c r="H122" s="680"/>
      <c r="I122" s="680"/>
      <c r="J122" s="680"/>
      <c r="K122" s="680"/>
      <c r="L122" s="681"/>
      <c r="M122" s="682"/>
      <c r="N122" s="3224"/>
      <c r="O122" s="2045"/>
      <c r="P122" s="2046"/>
      <c r="Q122" s="2047"/>
      <c r="R122" s="2048"/>
      <c r="S122" s="2048"/>
      <c r="T122" s="2048"/>
      <c r="U122" s="2048"/>
      <c r="V122" s="2048"/>
      <c r="W122" s="2048"/>
      <c r="X122" s="2048"/>
      <c r="Y122" s="2048"/>
      <c r="Z122" s="2048"/>
      <c r="AA122" s="2048"/>
      <c r="AB122" s="2048"/>
      <c r="AC122" s="2048"/>
    </row>
    <row r="123" spans="1:29" s="1290" customFormat="1" ht="15.75" thickBot="1">
      <c r="A123" s="689"/>
      <c r="B123" s="727"/>
      <c r="C123" s="691"/>
      <c r="D123" s="691"/>
      <c r="E123" s="691"/>
      <c r="F123" s="691"/>
      <c r="G123" s="717"/>
      <c r="H123" s="717"/>
      <c r="I123" s="717"/>
      <c r="J123" s="717"/>
      <c r="K123" s="717"/>
      <c r="L123" s="717"/>
      <c r="M123" s="718"/>
      <c r="N123" s="3224"/>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96" priority="18" stopIfTrue="1" operator="containsText" text="超过">
      <formula>NOT(ISERROR(SEARCH("超过",F48)))</formula>
    </cfRule>
  </conditionalFormatting>
  <conditionalFormatting sqref="J50">
    <cfRule type="containsText" dxfId="95" priority="17" stopIfTrue="1" operator="containsText" text="超过">
      <formula>NOT(ISERROR(SEARCH("超过",J50)))</formula>
    </cfRule>
  </conditionalFormatting>
  <conditionalFormatting sqref="H50">
    <cfRule type="containsText" dxfId="94" priority="16" stopIfTrue="1" operator="containsText" text="超过">
      <formula>NOT(ISERROR(SEARCH("超过",H50)))</formula>
    </cfRule>
  </conditionalFormatting>
  <conditionalFormatting sqref="F50">
    <cfRule type="containsText" dxfId="93" priority="15" stopIfTrue="1" operator="containsText" text="超过">
      <formula>NOT(ISERROR(SEARCH("超过",F50)))</formula>
    </cfRule>
  </conditionalFormatting>
  <conditionalFormatting sqref="F49 H49 J49">
    <cfRule type="containsText" dxfId="92" priority="14" stopIfTrue="1" operator="containsText" text="超过">
      <formula>NOT(ISERROR(SEARCH("超过",F49)))</formula>
    </cfRule>
  </conditionalFormatting>
  <conditionalFormatting sqref="E48">
    <cfRule type="expression" dxfId="91" priority="13" stopIfTrue="1">
      <formula>$F$48="超过30%"</formula>
    </cfRule>
  </conditionalFormatting>
  <conditionalFormatting sqref="G50">
    <cfRule type="expression" dxfId="90" priority="12" stopIfTrue="1">
      <formula>$H$50="超过30%"</formula>
    </cfRule>
  </conditionalFormatting>
  <conditionalFormatting sqref="E50">
    <cfRule type="expression" dxfId="89" priority="10" stopIfTrue="1">
      <formula>$F$50="超过30%"</formula>
    </cfRule>
  </conditionalFormatting>
  <conditionalFormatting sqref="G48">
    <cfRule type="expression" dxfId="88" priority="9" stopIfTrue="1">
      <formula>$H$48="超过30%"</formula>
    </cfRule>
  </conditionalFormatting>
  <conditionalFormatting sqref="G49">
    <cfRule type="expression" dxfId="87" priority="8" stopIfTrue="1">
      <formula>$H$49="超过20%"</formula>
    </cfRule>
  </conditionalFormatting>
  <conditionalFormatting sqref="I48">
    <cfRule type="expression" dxfId="86" priority="7" stopIfTrue="1">
      <formula>$J$48="超过30%"</formula>
    </cfRule>
  </conditionalFormatting>
  <conditionalFormatting sqref="I49">
    <cfRule type="expression" dxfId="85" priority="6" stopIfTrue="1">
      <formula>$J$49="超过20%"</formula>
    </cfRule>
  </conditionalFormatting>
  <conditionalFormatting sqref="I50">
    <cfRule type="expression" dxfId="84" priority="5" stopIfTrue="1">
      <formula>$J$50="超过30%"</formula>
    </cfRule>
  </conditionalFormatting>
  <conditionalFormatting sqref="E49">
    <cfRule type="expression" dxfId="83" priority="51" stopIfTrue="1">
      <formula>#REF!+$F$49="超过20%"</formula>
    </cfRule>
  </conditionalFormatting>
  <conditionalFormatting sqref="F44">
    <cfRule type="expression" dxfId="82" priority="4">
      <formula>$D$44="简单平均"</formula>
    </cfRule>
  </conditionalFormatting>
  <conditionalFormatting sqref="H44">
    <cfRule type="expression" dxfId="81" priority="3">
      <formula>$D$44="简单平均"</formula>
    </cfRule>
  </conditionalFormatting>
  <conditionalFormatting sqref="J44">
    <cfRule type="expression" dxfId="80" priority="2">
      <formula>$D$44="简单平均"</formula>
    </cfRule>
  </conditionalFormatting>
  <conditionalFormatting sqref="F9:F42 H9:H42 J9:J42">
    <cfRule type="cellIs" dxfId="79" priority="1" operator="notEqual">
      <formula>100</formula>
    </cfRule>
  </conditionalFormatting>
  <dataValidations count="20">
    <dataValidation type="list" allowBlank="1" showInputMessage="1" showErrorMessage="1" sqref="B43" xr:uid="{00000000-0002-0000-1E00-000000000000}">
      <formula1>单价内涵</formula1>
    </dataValidation>
    <dataValidation type="list" allowBlank="1" showInputMessage="1" showErrorMessage="1" sqref="C24 E24 G24 I24" xr:uid="{00000000-0002-0000-1E00-000001000000}">
      <formula1>环境</formula1>
    </dataValidation>
    <dataValidation type="list" allowBlank="1" showInputMessage="1" showErrorMessage="1" sqref="E20 C20 G20 I20" xr:uid="{00000000-0002-0000-1E00-000002000000}">
      <formula1>交通便捷度</formula1>
    </dataValidation>
    <dataValidation type="list" allowBlank="1" showInputMessage="1" showErrorMessage="1" sqref="E26 C26 I26 G26" xr:uid="{00000000-0002-0000-1E00-000003000000}">
      <formula1>公共配套设施</formula1>
    </dataValidation>
    <dataValidation type="list" allowBlank="1" showInputMessage="1" showErrorMessage="1" sqref="C10 E10 G10 I10" xr:uid="{00000000-0002-0000-1E00-000004000000}">
      <formula1>套工交易情况</formula1>
    </dataValidation>
    <dataValidation type="list" allowBlank="1" showInputMessage="1" showErrorMessage="1" sqref="C11 E11 G11 I11" xr:uid="{00000000-0002-0000-1E00-000005000000}">
      <formula1>套工用途</formula1>
    </dataValidation>
    <dataValidation type="list" allowBlank="1" showInputMessage="1" showErrorMessage="1" sqref="I32 E32 G32" xr:uid="{00000000-0002-0000-1E00-000006000000}">
      <formula1>套工土地级别</formula1>
    </dataValidation>
    <dataValidation type="list" allowBlank="1" showInputMessage="1" showErrorMessage="1" sqref="C29 E29 G29 I29" xr:uid="{00000000-0002-0000-1E00-000007000000}">
      <formula1>临街状况</formula1>
    </dataValidation>
    <dataValidation type="list" allowBlank="1" showInputMessage="1" showErrorMessage="1" sqref="E22 C22 G22 I22" xr:uid="{00000000-0002-0000-1E00-000008000000}">
      <formula1>区域土地利用方向</formula1>
    </dataValidation>
    <dataValidation type="list" allowBlank="1" showInputMessage="1" showErrorMessage="1" sqref="C52" xr:uid="{00000000-0002-0000-1E00-000009000000}">
      <formula1>"北京市系数,其他省市系数"</formula1>
    </dataValidation>
    <dataValidation type="list" allowBlank="1" showInputMessage="1" showErrorMessage="1" sqref="G59" xr:uid="{00000000-0002-0000-1E00-00000A000000}">
      <formula1>"商业,办公,住宅,工业"</formula1>
    </dataValidation>
    <dataValidation type="list" allowBlank="1" showInputMessage="1" showErrorMessage="1" sqref="G60" xr:uid="{00000000-0002-0000-1E00-00000B000000}">
      <formula1>"住宅,工业"</formula1>
    </dataValidation>
    <dataValidation type="list" allowBlank="1" showInputMessage="1" showErrorMessage="1" sqref="D54:D62" xr:uid="{00000000-0002-0000-1E00-00000C000000}">
      <formula1>"25%,1"</formula1>
    </dataValidation>
    <dataValidation type="list" allowBlank="1" showInputMessage="1" showErrorMessage="1" sqref="C18 E18 G18 I18" xr:uid="{00000000-0002-0000-1E00-00000D000000}">
      <formula1>产业集聚程度</formula1>
    </dataValidation>
    <dataValidation type="list" allowBlank="1" showInputMessage="1" showErrorMessage="1" sqref="C28 E28 G28 I28" xr:uid="{00000000-0002-0000-1E00-00000E000000}">
      <formula1>基础设施水平</formula1>
    </dataValidation>
    <dataValidation type="list" allowBlank="1" showInputMessage="1" showErrorMessage="1" sqref="C31 E31 G31 I31" xr:uid="{00000000-0002-0000-1E00-00000F000000}">
      <formula1>套工临街等级</formula1>
    </dataValidation>
    <dataValidation type="list" allowBlank="1" showInputMessage="1" showErrorMessage="1" sqref="C37 E37 G37 I37" xr:uid="{00000000-0002-0000-1E00-000010000000}">
      <formula1>套工宗地形状</formula1>
    </dataValidation>
    <dataValidation type="list" allowBlank="1" showInputMessage="1" showErrorMessage="1" sqref="C38 E38 G38 I38" xr:uid="{00000000-0002-0000-1E00-000011000000}">
      <formula1>套工开发程度</formula1>
    </dataValidation>
    <dataValidation type="list" allowBlank="1" showInputMessage="1" showErrorMessage="1" sqref="C39 E39 G39 I39" xr:uid="{00000000-0002-0000-1E00-000012000000}">
      <formula1>套工工程地质条件</formula1>
    </dataValidation>
    <dataValidation type="list" allowBlank="1" showInputMessage="1" showErrorMessage="1" sqref="D44"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1" customWidth="1"/>
    <col min="2" max="2" width="12.5" style="3241" customWidth="1"/>
    <col min="3" max="3" width="12.125" style="3241" customWidth="1"/>
    <col min="4" max="4" width="16.625" style="3241" customWidth="1"/>
    <col min="5" max="5" width="12.5" style="3241" customWidth="1"/>
    <col min="6" max="6" width="12.75" style="3241" customWidth="1"/>
    <col min="7" max="16384" width="8.875" style="3241"/>
  </cols>
  <sheetData>
    <row r="1" spans="1:14" ht="20.25">
      <c r="A1" s="3244" t="s">
        <v>2894</v>
      </c>
      <c r="B1" s="3239"/>
      <c r="C1" s="3239"/>
      <c r="D1" s="3239"/>
      <c r="E1" s="3239"/>
      <c r="F1" s="3239"/>
      <c r="G1" s="3240"/>
      <c r="H1" s="3240"/>
      <c r="I1" s="3240"/>
      <c r="J1" s="3240"/>
      <c r="K1" s="3240"/>
      <c r="L1" s="3240"/>
      <c r="M1" s="3240"/>
      <c r="N1" s="3240"/>
    </row>
    <row r="2" spans="1:14" ht="14.25">
      <c r="A2" s="3245" t="s">
        <v>2889</v>
      </c>
      <c r="B2" s="3250">
        <f ca="1">SUMIF(B7:B14,"&lt;&gt;#ref!",B7:B14)</f>
        <v>0</v>
      </c>
      <c r="C2" s="3245" t="s">
        <v>2890</v>
      </c>
      <c r="D2" s="3242"/>
      <c r="E2" s="3242"/>
      <c r="F2" s="3242"/>
      <c r="G2" s="3240"/>
      <c r="H2" s="3240"/>
      <c r="I2" s="3240"/>
      <c r="J2" s="3240"/>
      <c r="K2" s="3240"/>
      <c r="L2" s="3240"/>
      <c r="M2" s="3240"/>
      <c r="N2" s="3240"/>
    </row>
    <row r="3" spans="1:14" ht="14.25">
      <c r="A3" s="3245" t="s">
        <v>2919</v>
      </c>
      <c r="B3" s="3250" t="e">
        <f ca="1">ROUND(B2*10000/E3,0)</f>
        <v>#DIV/0!</v>
      </c>
      <c r="C3" s="3245" t="s">
        <v>2065</v>
      </c>
      <c r="D3" s="3245" t="s">
        <v>2891</v>
      </c>
      <c r="E3" s="3243">
        <f ca="1">SUMIF(E7:E14,"&lt;&gt;#ref!",E7:E14)</f>
        <v>0</v>
      </c>
      <c r="F3" s="3242"/>
      <c r="G3" s="3240"/>
      <c r="H3" s="3240"/>
      <c r="I3" s="3240"/>
      <c r="J3" s="3240"/>
      <c r="K3" s="3240"/>
      <c r="L3" s="3240"/>
      <c r="M3" s="3240"/>
      <c r="N3" s="3240"/>
    </row>
    <row r="4" spans="1:14" ht="14.25">
      <c r="A4" s="3245" t="s">
        <v>2897</v>
      </c>
      <c r="B4" s="3250" t="e">
        <f ca="1">ROUND(B2*10000/E4,0)</f>
        <v>#DIV/0!</v>
      </c>
      <c r="C4" s="3245" t="s">
        <v>2065</v>
      </c>
      <c r="D4" s="3245" t="s">
        <v>2898</v>
      </c>
      <c r="E4" s="3243">
        <f ca="1">SUMIF(F7:F14,"&lt;&gt;#ref!",F7:F14)</f>
        <v>0</v>
      </c>
      <c r="F4" s="3242"/>
      <c r="G4" s="3240"/>
      <c r="H4" s="3240"/>
      <c r="I4" s="3240"/>
      <c r="J4" s="3240"/>
      <c r="K4" s="3240"/>
      <c r="L4" s="3240"/>
      <c r="M4" s="3240"/>
      <c r="N4" s="3240"/>
    </row>
    <row r="5" spans="1:14" ht="14.25">
      <c r="A5" s="3246"/>
      <c r="B5" s="3242"/>
      <c r="C5" s="3242"/>
      <c r="D5" s="3242"/>
      <c r="E5" s="3242"/>
      <c r="F5" s="3242"/>
      <c r="G5" s="3240"/>
      <c r="H5" s="3240"/>
      <c r="I5" s="3240"/>
      <c r="J5" s="3240"/>
      <c r="K5" s="3240"/>
      <c r="L5" s="3240"/>
      <c r="M5" s="3240"/>
      <c r="N5" s="3240"/>
    </row>
    <row r="6" spans="1:14" ht="28.5">
      <c r="A6" s="3247" t="s">
        <v>2895</v>
      </c>
      <c r="B6" s="3245" t="s">
        <v>2892</v>
      </c>
      <c r="C6" s="2785"/>
      <c r="D6" s="3242"/>
      <c r="E6" s="3245" t="s">
        <v>2893</v>
      </c>
      <c r="F6" s="3245" t="s">
        <v>2896</v>
      </c>
      <c r="G6" s="3240"/>
      <c r="H6" s="3240"/>
      <c r="I6" s="3240"/>
      <c r="J6" s="3240"/>
      <c r="K6" s="3240"/>
      <c r="L6" s="3240"/>
      <c r="M6" s="3240"/>
      <c r="N6" s="3240"/>
    </row>
    <row r="7" spans="1:14" ht="14.25">
      <c r="A7" s="3248"/>
      <c r="B7" s="3250" t="e">
        <f ca="1">SUMIF(INDIRECT("'"&amp;A7&amp;"'"&amp;"!A:A"),"总价",INDIRECT("'"&amp;A7&amp;"'"&amp;"!B:B"))</f>
        <v>#REF!</v>
      </c>
      <c r="C7" s="3245" t="s">
        <v>2890</v>
      </c>
      <c r="D7" s="3242"/>
      <c r="E7" s="3243" t="e">
        <f ca="1">SUMIF(INDIRECT("'"&amp;A7&amp;"'"&amp;"!C:C"),"建筑面积",INDIRECT("'"&amp;A7&amp;"'"&amp;"!D:D"))</f>
        <v>#REF!</v>
      </c>
      <c r="F7" s="3243" t="e">
        <f ca="1">SUMIF(INDIRECT("'"&amp;A7&amp;"'"&amp;"!E:E"),"土地面积",INDIRECT("'"&amp;A7&amp;"'"&amp;"!F:F"))</f>
        <v>#REF!</v>
      </c>
      <c r="G7" s="3240"/>
      <c r="H7" s="3240"/>
      <c r="I7" s="3240"/>
      <c r="J7" s="3240"/>
      <c r="K7" s="3240"/>
      <c r="L7" s="3240"/>
      <c r="M7" s="3240"/>
      <c r="N7" s="3240"/>
    </row>
    <row r="8" spans="1:14" ht="14.25">
      <c r="A8" s="3248"/>
      <c r="B8" s="3250" t="e">
        <f t="shared" ref="B8:B14" ca="1" si="0">SUMIF(INDIRECT("'"&amp;A8&amp;"'"&amp;"!A:A"),"总价",INDIRECT("'"&amp;A8&amp;"'"&amp;"!B:B"))</f>
        <v>#REF!</v>
      </c>
      <c r="C8" s="3245" t="s">
        <v>2890</v>
      </c>
      <c r="D8" s="3242"/>
      <c r="E8" s="3243" t="e">
        <f t="shared" ref="E8:E14" ca="1" si="1">SUMIF(INDIRECT("'"&amp;A8&amp;"'"&amp;"!C:C"),"建筑面积",INDIRECT("'"&amp;A8&amp;"'"&amp;"!D:D"))</f>
        <v>#REF!</v>
      </c>
      <c r="F8" s="3243" t="e">
        <f t="shared" ref="F8:F14" ca="1" si="2">SUMIF(INDIRECT("'"&amp;A8&amp;"'"&amp;"!E:E"),"土地面积",INDIRECT("'"&amp;A8&amp;"'"&amp;"!F:F"))</f>
        <v>#REF!</v>
      </c>
      <c r="G8" s="3240"/>
      <c r="H8" s="3240"/>
      <c r="I8" s="3240"/>
      <c r="J8" s="3240"/>
      <c r="K8" s="3240"/>
      <c r="L8" s="3240"/>
      <c r="M8" s="3240"/>
      <c r="N8" s="3240"/>
    </row>
    <row r="9" spans="1:14" ht="14.25">
      <c r="A9" s="3248"/>
      <c r="B9" s="3250" t="e">
        <f t="shared" ca="1" si="0"/>
        <v>#REF!</v>
      </c>
      <c r="C9" s="3245" t="s">
        <v>2890</v>
      </c>
      <c r="D9" s="3242"/>
      <c r="E9" s="3243" t="e">
        <f t="shared" ca="1" si="1"/>
        <v>#REF!</v>
      </c>
      <c r="F9" s="3243" t="e">
        <f t="shared" ca="1" si="2"/>
        <v>#REF!</v>
      </c>
      <c r="G9" s="3240"/>
      <c r="H9" s="3240"/>
      <c r="I9" s="3240"/>
      <c r="J9" s="3240"/>
      <c r="K9" s="3240"/>
      <c r="L9" s="3240"/>
      <c r="M9" s="3240"/>
      <c r="N9" s="3240"/>
    </row>
    <row r="10" spans="1:14" ht="14.25">
      <c r="A10" s="3248"/>
      <c r="B10" s="3250" t="e">
        <f t="shared" ca="1" si="0"/>
        <v>#REF!</v>
      </c>
      <c r="C10" s="3245" t="s">
        <v>2890</v>
      </c>
      <c r="D10" s="3242"/>
      <c r="E10" s="3243" t="e">
        <f t="shared" ca="1" si="1"/>
        <v>#REF!</v>
      </c>
      <c r="F10" s="3243" t="e">
        <f t="shared" ca="1" si="2"/>
        <v>#REF!</v>
      </c>
      <c r="G10" s="3240"/>
      <c r="H10" s="3240"/>
      <c r="I10" s="3240"/>
      <c r="J10" s="3240"/>
      <c r="K10" s="3240"/>
      <c r="L10" s="3240"/>
      <c r="M10" s="3240"/>
      <c r="N10" s="3240"/>
    </row>
    <row r="11" spans="1:14" ht="14.25">
      <c r="A11" s="3248"/>
      <c r="B11" s="3250" t="e">
        <f t="shared" ca="1" si="0"/>
        <v>#REF!</v>
      </c>
      <c r="C11" s="3245" t="s">
        <v>2890</v>
      </c>
      <c r="D11" s="3242"/>
      <c r="E11" s="3243" t="e">
        <f t="shared" ca="1" si="1"/>
        <v>#REF!</v>
      </c>
      <c r="F11" s="3243" t="e">
        <f t="shared" ca="1" si="2"/>
        <v>#REF!</v>
      </c>
      <c r="G11" s="3240"/>
      <c r="H11" s="3240"/>
      <c r="I11" s="3240"/>
      <c r="J11" s="3240"/>
      <c r="K11" s="3240"/>
      <c r="L11" s="3240"/>
      <c r="M11" s="3240"/>
      <c r="N11" s="3240"/>
    </row>
    <row r="12" spans="1:14" ht="14.25">
      <c r="A12" s="3248"/>
      <c r="B12" s="3250" t="e">
        <f t="shared" ca="1" si="0"/>
        <v>#REF!</v>
      </c>
      <c r="C12" s="3245" t="s">
        <v>2890</v>
      </c>
      <c r="D12" s="3242"/>
      <c r="E12" s="3243" t="e">
        <f t="shared" ca="1" si="1"/>
        <v>#REF!</v>
      </c>
      <c r="F12" s="3243" t="e">
        <f t="shared" ca="1" si="2"/>
        <v>#REF!</v>
      </c>
      <c r="G12" s="3240"/>
      <c r="H12" s="3240"/>
      <c r="I12" s="3240"/>
      <c r="J12" s="3240"/>
      <c r="K12" s="3240"/>
      <c r="L12" s="3240"/>
      <c r="M12" s="3240"/>
      <c r="N12" s="3240"/>
    </row>
    <row r="13" spans="1:14" ht="14.25">
      <c r="A13" s="3248"/>
      <c r="B13" s="3250" t="e">
        <f t="shared" ca="1" si="0"/>
        <v>#REF!</v>
      </c>
      <c r="C13" s="3245" t="s">
        <v>2890</v>
      </c>
      <c r="D13" s="3242"/>
      <c r="E13" s="3243" t="e">
        <f t="shared" ca="1" si="1"/>
        <v>#REF!</v>
      </c>
      <c r="F13" s="3243" t="e">
        <f t="shared" ca="1" si="2"/>
        <v>#REF!</v>
      </c>
      <c r="G13" s="3240"/>
      <c r="H13" s="3240"/>
      <c r="I13" s="3240"/>
      <c r="J13" s="3240"/>
      <c r="K13" s="3240"/>
      <c r="L13" s="3240"/>
      <c r="M13" s="3240"/>
      <c r="N13" s="3240"/>
    </row>
    <row r="14" spans="1:14" ht="14.25">
      <c r="A14" s="3249"/>
      <c r="B14" s="3250" t="e">
        <f t="shared" ca="1" si="0"/>
        <v>#REF!</v>
      </c>
      <c r="C14" s="3245" t="s">
        <v>2890</v>
      </c>
      <c r="D14" s="3242"/>
      <c r="E14" s="3243" t="e">
        <f t="shared" ca="1" si="1"/>
        <v>#REF!</v>
      </c>
      <c r="F14" s="3243" t="e">
        <f t="shared" ca="1" si="2"/>
        <v>#REF!</v>
      </c>
      <c r="G14" s="3240"/>
      <c r="H14" s="3240"/>
      <c r="I14" s="3240"/>
      <c r="J14" s="3240"/>
      <c r="K14" s="3240"/>
      <c r="L14" s="3240"/>
      <c r="M14" s="3240"/>
      <c r="N14" s="3240"/>
    </row>
    <row r="15" spans="1:14">
      <c r="A15" s="3240"/>
      <c r="B15" s="3240"/>
      <c r="C15" s="3240"/>
      <c r="D15" s="3240"/>
      <c r="E15" s="3240"/>
      <c r="F15" s="3240"/>
      <c r="G15" s="3240"/>
      <c r="H15" s="3240"/>
      <c r="I15" s="3240"/>
      <c r="J15" s="3240"/>
      <c r="K15" s="3240"/>
      <c r="L15" s="3240"/>
      <c r="M15" s="3240"/>
      <c r="N15" s="3240"/>
    </row>
    <row r="16" spans="1:14">
      <c r="A16" s="3240"/>
      <c r="B16" s="3240"/>
      <c r="C16" s="3240"/>
      <c r="D16" s="3240"/>
      <c r="E16" s="3240"/>
      <c r="F16" s="3240"/>
      <c r="G16" s="3240"/>
      <c r="H16" s="3240"/>
      <c r="I16" s="3240"/>
      <c r="J16" s="3240"/>
      <c r="K16" s="3240"/>
      <c r="L16" s="3240"/>
      <c r="M16" s="3240"/>
      <c r="N16" s="3240"/>
    </row>
    <row r="17" spans="1:14">
      <c r="A17" s="3240"/>
      <c r="B17" s="3240"/>
      <c r="C17" s="3240"/>
      <c r="D17" s="3240"/>
      <c r="E17" s="3240"/>
      <c r="F17" s="3240"/>
      <c r="G17" s="3240"/>
      <c r="H17" s="3240"/>
      <c r="I17" s="3240"/>
      <c r="J17" s="3240"/>
      <c r="K17" s="3240"/>
      <c r="L17" s="3240"/>
      <c r="M17" s="3240"/>
      <c r="N17" s="3240"/>
    </row>
    <row r="18" spans="1:14">
      <c r="A18" s="3240"/>
      <c r="B18" s="3240"/>
      <c r="C18" s="3240"/>
      <c r="D18" s="3240"/>
      <c r="E18" s="3240"/>
      <c r="F18" s="3240"/>
      <c r="G18" s="3240"/>
      <c r="H18" s="3240"/>
      <c r="I18" s="3240"/>
      <c r="J18" s="3240"/>
      <c r="K18" s="3240"/>
      <c r="L18" s="3240"/>
      <c r="M18" s="3240"/>
      <c r="N18" s="3240"/>
    </row>
    <row r="19" spans="1:14">
      <c r="A19" s="3240"/>
      <c r="B19" s="3240"/>
      <c r="C19" s="3240"/>
      <c r="D19" s="3240"/>
      <c r="E19" s="3240"/>
      <c r="F19" s="3240"/>
      <c r="G19" s="3240"/>
      <c r="H19" s="3240"/>
      <c r="I19" s="3240"/>
      <c r="J19" s="3240"/>
      <c r="K19" s="3240"/>
      <c r="L19" s="3240"/>
      <c r="M19" s="3240"/>
      <c r="N19" s="3240"/>
    </row>
    <row r="20" spans="1:14">
      <c r="A20" s="3240"/>
      <c r="B20" s="3240"/>
      <c r="C20" s="3240"/>
      <c r="D20" s="3240"/>
      <c r="E20" s="3240"/>
      <c r="F20" s="3240"/>
      <c r="G20" s="3240"/>
      <c r="H20" s="3240"/>
      <c r="I20" s="3240"/>
      <c r="J20" s="3240"/>
      <c r="K20" s="3240"/>
      <c r="L20" s="3240"/>
      <c r="M20" s="3240"/>
      <c r="N20" s="3240"/>
    </row>
    <row r="21" spans="1:14">
      <c r="A21" s="3240"/>
      <c r="B21" s="3240"/>
      <c r="C21" s="3240"/>
      <c r="D21" s="3240"/>
      <c r="E21" s="3240"/>
      <c r="F21" s="3240"/>
      <c r="G21" s="3240"/>
      <c r="H21" s="3240"/>
      <c r="I21" s="3240"/>
      <c r="J21" s="3240"/>
      <c r="K21" s="3240"/>
      <c r="L21" s="3240"/>
      <c r="M21" s="3240"/>
      <c r="N21" s="3240"/>
    </row>
    <row r="22" spans="1:14">
      <c r="A22" s="3240"/>
      <c r="B22" s="3240"/>
      <c r="C22" s="3240"/>
      <c r="D22" s="3240"/>
      <c r="E22" s="3240"/>
      <c r="F22" s="3240"/>
      <c r="G22" s="3240"/>
      <c r="H22" s="3240"/>
      <c r="I22" s="3240"/>
      <c r="J22" s="3240"/>
      <c r="K22" s="3240"/>
      <c r="L22" s="3240"/>
      <c r="M22" s="3240"/>
      <c r="N22" s="3240"/>
    </row>
    <row r="23" spans="1:14">
      <c r="A23" s="3240"/>
      <c r="B23" s="3240"/>
      <c r="C23" s="3240"/>
      <c r="D23" s="3240"/>
      <c r="E23" s="3240"/>
      <c r="F23" s="3240"/>
      <c r="G23" s="3240"/>
      <c r="H23" s="3240"/>
      <c r="I23" s="3240"/>
      <c r="J23" s="3240"/>
      <c r="K23" s="3240"/>
      <c r="L23" s="3240"/>
      <c r="M23" s="3240"/>
      <c r="N23" s="3240"/>
    </row>
    <row r="24" spans="1:14">
      <c r="A24" s="3240"/>
      <c r="B24" s="3240"/>
      <c r="C24" s="3240"/>
      <c r="D24" s="3240"/>
      <c r="E24" s="3240"/>
      <c r="F24" s="3240"/>
      <c r="G24" s="3240"/>
      <c r="H24" s="3240"/>
      <c r="I24" s="3240"/>
      <c r="J24" s="3240"/>
      <c r="K24" s="3240"/>
      <c r="L24" s="3240"/>
      <c r="M24" s="3240"/>
      <c r="N24" s="3240"/>
    </row>
    <row r="25" spans="1:14">
      <c r="A25" s="3240"/>
      <c r="B25" s="3240"/>
      <c r="C25" s="3240"/>
      <c r="D25" s="3240"/>
      <c r="E25" s="3240"/>
      <c r="F25" s="3240"/>
      <c r="G25" s="3240"/>
      <c r="H25" s="3240"/>
      <c r="I25" s="3240"/>
      <c r="J25" s="3240"/>
      <c r="K25" s="3240"/>
      <c r="L25" s="3240"/>
      <c r="M25" s="3240"/>
      <c r="N25" s="3240"/>
    </row>
    <row r="26" spans="1:14">
      <c r="A26" s="3240"/>
      <c r="B26" s="3240"/>
      <c r="C26" s="3240"/>
      <c r="D26" s="3240"/>
      <c r="E26" s="3240"/>
      <c r="F26" s="3240"/>
      <c r="G26" s="3240"/>
      <c r="H26" s="3240"/>
      <c r="I26" s="3240"/>
      <c r="J26" s="3240"/>
      <c r="K26" s="3240"/>
      <c r="L26" s="3240"/>
      <c r="M26" s="3240"/>
      <c r="N26" s="3240"/>
    </row>
    <row r="27" spans="1:14">
      <c r="A27" s="3240"/>
      <c r="B27" s="3240"/>
      <c r="C27" s="3240"/>
      <c r="D27" s="3240"/>
      <c r="E27" s="3240"/>
      <c r="F27" s="3240"/>
      <c r="G27" s="3240"/>
      <c r="H27" s="3240"/>
      <c r="I27" s="3240"/>
      <c r="J27" s="3240"/>
      <c r="K27" s="3240"/>
      <c r="L27" s="3240"/>
      <c r="M27" s="3240"/>
      <c r="N27" s="3240"/>
    </row>
    <row r="28" spans="1:14">
      <c r="A28" s="3240"/>
      <c r="B28" s="3240"/>
      <c r="C28" s="3240"/>
      <c r="D28" s="3240"/>
      <c r="E28" s="3240"/>
      <c r="F28" s="3240"/>
      <c r="G28" s="3240"/>
      <c r="H28" s="3240"/>
      <c r="I28" s="3240"/>
      <c r="J28" s="3240"/>
      <c r="K28" s="3240"/>
      <c r="L28" s="3240"/>
      <c r="M28" s="3240"/>
      <c r="N28" s="3240"/>
    </row>
    <row r="29" spans="1:14">
      <c r="A29" s="3240"/>
      <c r="B29" s="3240"/>
      <c r="C29" s="3240"/>
      <c r="D29" s="3240"/>
      <c r="E29" s="3240"/>
      <c r="F29" s="3240"/>
      <c r="G29" s="3240"/>
      <c r="H29" s="3240"/>
      <c r="I29" s="3240"/>
      <c r="J29" s="3240"/>
      <c r="K29" s="3240"/>
      <c r="L29" s="3240"/>
      <c r="M29" s="3240"/>
      <c r="N29" s="3240"/>
    </row>
  </sheetData>
  <sheetProtection password="CEE9" sheet="1" objects="1" scenarios="1" formatCells="0" formatColumns="0" formatRows="0"/>
  <phoneticPr fontId="229"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R118"/>
  <sheetViews>
    <sheetView view="pageBreakPreview" zoomScale="90" zoomScaleNormal="60" zoomScaleSheetLayoutView="90" workbookViewId="0">
      <selection activeCell="C17" sqref="C17"/>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2409</v>
      </c>
      <c r="D1" s="1458">
        <f>SUM(D29:D30,D33:D39)</f>
        <v>0</v>
      </c>
      <c r="E1" s="1352" t="s">
        <v>2410</v>
      </c>
      <c r="F1" s="2304"/>
      <c r="G1" s="1347"/>
      <c r="H1" s="1347"/>
      <c r="I1" s="1347"/>
      <c r="J1" s="1347"/>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2" t="s">
        <v>910</v>
      </c>
      <c r="B2" s="1022">
        <f>C26</f>
        <v>0</v>
      </c>
      <c r="C2" s="1353" t="s">
        <v>911</v>
      </c>
      <c r="D2" s="1354" t="s">
        <v>912</v>
      </c>
      <c r="E2" s="1355" t="s">
        <v>913</v>
      </c>
      <c r="F2" s="1354" t="s">
        <v>914</v>
      </c>
      <c r="G2" s="1578" t="str">
        <f>IF(E2="商业",项目基本情况!B43,IF(E2="办公",项目基本情况!C43,IF(E2="住宅",项目基本情况!D43,项目基本情况!E43)))</f>
        <v>九级</v>
      </c>
      <c r="H2" s="1354" t="s">
        <v>916</v>
      </c>
      <c r="I2" s="1579" t="str">
        <f>IF(E2="商业",项目基本情况!B44,IF(E2="办公",项目基本情况!C44,IF(E2="住宅",项目基本情况!D44,项目基本情况!E44)))</f>
        <v>Ⅸ-通2</v>
      </c>
      <c r="J2" s="1356"/>
      <c r="K2" s="3225"/>
      <c r="L2" s="1796" t="s">
        <v>2226</v>
      </c>
      <c r="M2" s="1797">
        <f>SUMPRODUCT((区片价!B10:B28=I2)*(区片价!C3:F3=E2)*(区片价!C10:F28))</f>
        <v>0</v>
      </c>
      <c r="N2" s="1798">
        <f>SUMPRODUCT((因素修正幅度!B10:B28=I2)*(因素修正幅度!C3:F3=E2)*(因素修正幅度!C10:F28))</f>
        <v>0</v>
      </c>
      <c r="O2" s="3225"/>
      <c r="P2" s="2067"/>
      <c r="Q2" s="2067"/>
      <c r="R2" s="2651">
        <v>1</v>
      </c>
      <c r="S2" s="2651">
        <f>ROUND(IF(G3&gt;1,IF(R2&lt;7,SUMPRODUCT((B93:B98=R2)*(C92:N92=G2)*(C93:N98)),SUMIF(C92:N92,G2,C100:N100)),IF(R2&lt;7,SUMPRODUCT((B102:B107=R2)*(C92:N92=G2)*(C102:N107)),SUMIF(C92:N92,G2,C109:N109))),4)</f>
        <v>1.9419999999999999</v>
      </c>
      <c r="T2" s="2651">
        <f>ROUND($C$5*$C$18*$C$19*$C$20*S2*$C$24,0)</f>
        <v>0</v>
      </c>
      <c r="U2" s="2640"/>
      <c r="V2" s="2651">
        <f>ROUND(T2*U2/10000,0)</f>
        <v>0</v>
      </c>
      <c r="W2" s="2067"/>
      <c r="X2" s="2067"/>
      <c r="Y2" s="2067"/>
      <c r="Z2" s="2067"/>
      <c r="AA2" s="2067"/>
      <c r="AB2" s="2067"/>
      <c r="AC2" s="2068"/>
    </row>
    <row r="3" spans="1:39" ht="24">
      <c r="A3" s="1357" t="s">
        <v>1677</v>
      </c>
      <c r="B3" s="1022" t="e">
        <f>ROUND(B2*10000/D1,0)</f>
        <v>#DIV/0!</v>
      </c>
      <c r="C3" s="1353" t="s">
        <v>917</v>
      </c>
      <c r="D3" s="1354" t="s">
        <v>918</v>
      </c>
      <c r="E3" s="1358" t="s">
        <v>3208</v>
      </c>
      <c r="F3" s="1359" t="s">
        <v>3209</v>
      </c>
      <c r="G3" s="1023">
        <f>IF(F3="宗地容积率",'数据-汇总表'!I4,IF(F3="估价对象容积率",'数据-汇总表'!I6,'数据-汇总表'!I7))</f>
        <v>1.8</v>
      </c>
      <c r="H3" s="1360" t="s">
        <v>919</v>
      </c>
      <c r="I3" s="1024">
        <v>8</v>
      </c>
      <c r="J3" s="1356" t="s">
        <v>920</v>
      </c>
      <c r="K3" s="3225"/>
      <c r="L3" s="1796" t="s">
        <v>2227</v>
      </c>
      <c r="M3" s="1797">
        <f>SUMPRODUCT((区片价!B29:B48=I2)*(区片价!C3:F3=E2)*(区片价!C29:F48))</f>
        <v>0</v>
      </c>
      <c r="N3" s="1798">
        <f>SUMPRODUCT((因素修正幅度!B29:B48=I2)*(因素修正幅度!C3:F3=E2)*(因素修正幅度!C29:F48))</f>
        <v>0</v>
      </c>
      <c r="O3" s="3225"/>
      <c r="P3" s="2067"/>
      <c r="Q3" s="2067"/>
      <c r="R3" s="2651">
        <v>2</v>
      </c>
      <c r="S3" s="2651">
        <f>ROUND(IF(G3&gt;1,IF(R3&lt;7,SUMPRODUCT((B93:B98=R3)*(C92:N92=G2)*(C93:N98)),SUMIF(C92:N92,G2,C100:N100)),IF(R3&lt;7,SUMPRODUCT((B102:B107=R3)*(C92:N92=G2)*(C102:N107)),SUMIF(C92:N92,G2,C109:N109))),4)</f>
        <v>1.2799</v>
      </c>
      <c r="T3" s="2651">
        <f t="shared" ref="T3:T16" si="0">ROUND($C$5*$C$18*$C$19*$C$20*S3*$C$24,0)</f>
        <v>0</v>
      </c>
      <c r="U3" s="2640"/>
      <c r="V3" s="2651">
        <f t="shared" ref="V3:V16" si="1">ROUND(T3*U3/10000,0)</f>
        <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26"/>
      <c r="L4" s="1796" t="s">
        <v>2228</v>
      </c>
      <c r="M4" s="1797">
        <f>SUMPRODUCT((区片价!B49:B75=I2)*(区片价!C3:F3=E2)*(区片价!C49:F75))</f>
        <v>0</v>
      </c>
      <c r="N4" s="1798">
        <f>SUMPRODUCT((因素修正幅度!B49:B75=I2)*(因素修正幅度!C3:F3=E2)*(因素修正幅度!C49:F75))</f>
        <v>0</v>
      </c>
      <c r="O4" s="3226"/>
      <c r="P4" s="2067"/>
      <c r="Q4" s="2067"/>
      <c r="R4" s="2651">
        <v>3</v>
      </c>
      <c r="S4" s="2651">
        <f>ROUND(IF(G3&gt;1,IF(R4&lt;7,SUMPRODUCT((B93:B98=R4)*(C92:N92=G2)*(C93:N98)),SUMIF(C92:N92,G2,C100:N100)),IF(R4&lt;7,SUMPRODUCT((B102:B107=R4)*(C92:N92=G2)*(C102:N107)),SUMIF(C92:N92,G2,C109:N109))),4)</f>
        <v>1.0072000000000001</v>
      </c>
      <c r="T4" s="2651">
        <f t="shared" si="0"/>
        <v>0</v>
      </c>
      <c r="U4" s="2640"/>
      <c r="V4" s="2651">
        <f t="shared" si="1"/>
        <v>0</v>
      </c>
      <c r="W4" s="2067"/>
      <c r="X4" s="2067"/>
      <c r="Y4" s="2067"/>
      <c r="Z4" s="2067"/>
      <c r="AA4" s="2067"/>
      <c r="AB4" s="2067"/>
      <c r="AC4" s="2068"/>
    </row>
    <row r="5" spans="1:39" s="1367" customFormat="1" ht="15.75" thickBot="1">
      <c r="A5" s="1564" t="s">
        <v>1813</v>
      </c>
      <c r="B5" s="1361" t="s">
        <v>921</v>
      </c>
      <c r="C5" s="1025">
        <f>ROUND(IF(E2="商业",C6*C7+C16,(IF(E2="住宅",C6*C12+C16,C6+C16))),0)</f>
        <v>3547</v>
      </c>
      <c r="D5" s="2788">
        <f>ROUND(C6+C16,0)</f>
        <v>3547</v>
      </c>
      <c r="E5" s="2788"/>
      <c r="F5" s="1362"/>
      <c r="G5" s="1363"/>
      <c r="H5" s="1363"/>
      <c r="I5" s="1363"/>
      <c r="J5" s="1364"/>
      <c r="K5" s="3227"/>
      <c r="L5" s="1796" t="s">
        <v>2229</v>
      </c>
      <c r="M5" s="1797">
        <f>SUMPRODUCT((区片价!B76:B109=I2)*(区片价!C3:F3=E2)*(区片价!C76:F109))</f>
        <v>0</v>
      </c>
      <c r="N5" s="1798">
        <f>SUMPRODUCT((因素修正幅度!B76:B109=I2)*(因素修正幅度!C3:F3=E2)*(因素修正幅度!C76:F109))</f>
        <v>0</v>
      </c>
      <c r="O5" s="3227"/>
      <c r="P5" s="3230"/>
      <c r="Q5" s="2067"/>
      <c r="R5" s="2651">
        <v>4</v>
      </c>
      <c r="S5" s="2651">
        <f>ROUND(IF(G3&gt;1,IF(R5&lt;7,SUMPRODUCT((B93:B98=R5)*(C92:N92=G2)*(C93:N98)),SUMIF(C92:N92,G2,C100:N100)),IF(R5&lt;7,SUMPRODUCT((B102:B107=R5)*(C92:N92=G2)*(C102:N107)),SUMIF(C92:N92,G2,C109:N109))),4)</f>
        <v>0.75249999999999995</v>
      </c>
      <c r="T5" s="2651">
        <f t="shared" si="0"/>
        <v>0</v>
      </c>
      <c r="U5" s="2640"/>
      <c r="V5" s="2651">
        <f t="shared"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1860</v>
      </c>
      <c r="B6" s="1368" t="s">
        <v>921</v>
      </c>
      <c r="C6" s="1026">
        <f>SUMIF(L1:L12,基准地价!G2,M1:M12)</f>
        <v>3650</v>
      </c>
      <c r="D6" s="1369" t="s">
        <v>1685</v>
      </c>
      <c r="E6" s="1370"/>
      <c r="F6" s="1370"/>
      <c r="G6" s="1371"/>
      <c r="H6" s="1371"/>
      <c r="I6" s="1371"/>
      <c r="J6" s="1372"/>
      <c r="K6" s="3228"/>
      <c r="L6" s="1796" t="s">
        <v>2230</v>
      </c>
      <c r="M6" s="1797">
        <f>SUMPRODUCT((区片价!B110:B157=I2)*(区片价!C3:F3=E2)*(区片价!C110:F157))</f>
        <v>0</v>
      </c>
      <c r="N6" s="1798">
        <f>SUMPRODUCT((因素修正幅度!B110:B157=I2)*(因素修正幅度!C3:F3=E2)*(因素修正幅度!C110:F157))</f>
        <v>0</v>
      </c>
      <c r="O6" s="3228"/>
      <c r="P6" s="3231"/>
      <c r="Q6" s="2067"/>
      <c r="R6" s="2651">
        <v>5</v>
      </c>
      <c r="S6" s="2651">
        <f>ROUND(IF(G3&gt;1,IF(R6&lt;7,SUMPRODUCT((B93:B98=R6)*(C92:N92=G2)*(C93:N98)),SUMIF(C92:N92,G2,C100:N100)),IF(R6&lt;7,SUMPRODUCT((B102:B107=R6)*(C92:N92=G2)*(C102:N107)),SUMIF(C92:N92,G2,C109:N109))),4)</f>
        <v>0.56589999999999996</v>
      </c>
      <c r="T6" s="2651">
        <f t="shared" si="0"/>
        <v>0</v>
      </c>
      <c r="U6" s="2640"/>
      <c r="V6" s="2651">
        <f t="shared" si="1"/>
        <v>0</v>
      </c>
      <c r="W6" s="2067"/>
      <c r="X6" s="2067"/>
      <c r="Y6" s="2067"/>
      <c r="Z6" s="2067"/>
      <c r="AA6" s="2067"/>
      <c r="AB6" s="2067"/>
      <c r="AC6" s="2069"/>
      <c r="AD6" s="1365"/>
      <c r="AE6" s="1365"/>
      <c r="AF6" s="1365"/>
      <c r="AG6" s="1365"/>
      <c r="AH6" s="1365"/>
      <c r="AI6" s="1365"/>
      <c r="AJ6" s="1366"/>
    </row>
    <row r="7" spans="1:39" ht="24">
      <c r="A7" s="3706" t="str">
        <f>IF(E2="商业",IF(C8="不临58条商业街","",2),"")</f>
        <v/>
      </c>
      <c r="B7" s="1373" t="s">
        <v>922</v>
      </c>
      <c r="C7" s="1027" t="e">
        <f>IF(C8="不临58条商业街",1,ROUND(1+(1.6*E8+1.2*E9+0.8*E10+0.4*E11)*C9,4))</f>
        <v>#DIV/0!</v>
      </c>
      <c r="D7" s="1374" t="s">
        <v>923</v>
      </c>
      <c r="E7" s="1028"/>
      <c r="F7" s="1375"/>
      <c r="G7" s="1376"/>
      <c r="H7" s="1376"/>
      <c r="I7" s="1376"/>
      <c r="J7" s="1377"/>
      <c r="K7" s="3228"/>
      <c r="L7" s="1796" t="s">
        <v>2231</v>
      </c>
      <c r="M7" s="1797">
        <f>SUMPRODUCT((区片价!B158:B205=I2)*(区片价!C3:F3=E2)*(区片价!C158:F205))</f>
        <v>0</v>
      </c>
      <c r="N7" s="1798">
        <f>SUMPRODUCT((因素修正幅度!B158:B205=I2)*(因素修正幅度!C3:F3=E2)*(因素修正幅度!C158:F205))</f>
        <v>0</v>
      </c>
      <c r="O7" s="3228"/>
      <c r="P7" s="3231"/>
      <c r="Q7" s="2067"/>
      <c r="R7" s="2651">
        <v>6</v>
      </c>
      <c r="S7" s="2651">
        <f>ROUND(IF(G3&gt;1,IF(R7&lt;7,SUMPRODUCT((B93:B98=R7)*(C92:N92=G2)*(C93:N98)),SUMIF(C92:N92,G2,C100:N100)),IF(R7&lt;7,SUMPRODUCT((B102:B107=R7)*(C92:N92=G2)*(C102:N107)),SUMIF(C92:N92,G2,C109:N109))),4)</f>
        <v>0.45250000000000001</v>
      </c>
      <c r="T7" s="2651">
        <f t="shared" si="0"/>
        <v>0</v>
      </c>
      <c r="U7" s="2640"/>
      <c r="V7" s="2651">
        <f t="shared" si="1"/>
        <v>0</v>
      </c>
      <c r="W7" s="2649" t="s">
        <v>2741</v>
      </c>
      <c r="X7" s="2641" t="str">
        <f>G2</f>
        <v>九级</v>
      </c>
      <c r="Y7" s="2641" t="s">
        <v>2742</v>
      </c>
      <c r="Z7" s="2642">
        <f>G3</f>
        <v>1.8</v>
      </c>
      <c r="AA7" s="2070"/>
      <c r="AB7" s="2070"/>
      <c r="AC7" s="2071"/>
      <c r="AD7" s="2643"/>
      <c r="AE7" s="2643"/>
      <c r="AF7" s="2643"/>
      <c r="AG7" s="2643"/>
      <c r="AH7" s="2643"/>
      <c r="AI7" s="2643"/>
      <c r="AJ7" s="2644"/>
    </row>
    <row r="8" spans="1:39" ht="15">
      <c r="A8" s="3707"/>
      <c r="B8" s="1360" t="s">
        <v>924</v>
      </c>
      <c r="C8" s="1466"/>
      <c r="D8" s="1029" t="s">
        <v>925</v>
      </c>
      <c r="E8" s="1030" t="e">
        <f>ROUND(C11/E7,4)</f>
        <v>#DIV/0!</v>
      </c>
      <c r="F8" s="1378" t="s">
        <v>926</v>
      </c>
      <c r="G8" s="1379"/>
      <c r="H8" s="1379"/>
      <c r="I8" s="1379"/>
      <c r="J8" s="1380"/>
      <c r="K8" s="3228"/>
      <c r="L8" s="1796" t="s">
        <v>2232</v>
      </c>
      <c r="M8" s="1797">
        <f>SUMPRODUCT((区片价!B206:B244=I2)*(区片价!C3:F3=E2)*(区片价!C206:F244))</f>
        <v>0</v>
      </c>
      <c r="N8" s="1798">
        <f>SUMPRODUCT((因素修正幅度!B206:B244=I2)*(因素修正幅度!C3:F3=E2)*(因素修正幅度!C206:F244))</f>
        <v>0</v>
      </c>
      <c r="O8" s="3228"/>
      <c r="P8" s="2067"/>
      <c r="Q8" s="2067"/>
      <c r="R8" s="2651">
        <v>7</v>
      </c>
      <c r="S8" s="2640"/>
      <c r="T8" s="2651">
        <f t="shared" si="0"/>
        <v>0</v>
      </c>
      <c r="U8" s="2640"/>
      <c r="V8" s="2651">
        <f t="shared" si="1"/>
        <v>0</v>
      </c>
      <c r="W8" s="3693" t="s">
        <v>2759</v>
      </c>
      <c r="X8" s="3694"/>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707"/>
      <c r="B9" s="1360" t="s">
        <v>927</v>
      </c>
      <c r="C9" s="1031">
        <f>SUMIF(修正!C59:C119,C8,修正!E59:E119)</f>
        <v>0</v>
      </c>
      <c r="D9" s="1032" t="s">
        <v>928</v>
      </c>
      <c r="E9" s="1032" t="e">
        <f>ROUND(C11/E7,4)</f>
        <v>#DIV/0!</v>
      </c>
      <c r="F9" s="1378" t="s">
        <v>929</v>
      </c>
      <c r="G9" s="1379"/>
      <c r="H9" s="1379"/>
      <c r="I9" s="1379"/>
      <c r="J9" s="1380"/>
      <c r="K9" s="3228"/>
      <c r="L9" s="1796" t="s">
        <v>2233</v>
      </c>
      <c r="M9" s="1797">
        <f>SUMPRODUCT((区片价!B245:B289=I2)*(区片价!C3:F3=E2)*(区片价!C245:F289))</f>
        <v>3650</v>
      </c>
      <c r="N9" s="1798">
        <f>SUMPRODUCT((因素修正幅度!B245:B289=I2)*(因素修正幅度!C3:F3=E2)*(因素修正幅度!C245:F289))</f>
        <v>0.15</v>
      </c>
      <c r="O9" s="3228"/>
      <c r="P9" s="2067"/>
      <c r="Q9" s="2067"/>
      <c r="R9" s="2651">
        <v>8</v>
      </c>
      <c r="S9" s="2640"/>
      <c r="T9" s="2651">
        <f t="shared" si="0"/>
        <v>0</v>
      </c>
      <c r="U9" s="2640"/>
      <c r="V9" s="2651">
        <f t="shared" si="1"/>
        <v>0</v>
      </c>
      <c r="W9" s="3692" t="s">
        <v>2755</v>
      </c>
      <c r="X9" s="2645" t="s">
        <v>2756</v>
      </c>
      <c r="Y9" s="2781"/>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07"/>
      <c r="B10" s="1360" t="s">
        <v>930</v>
      </c>
      <c r="C10" s="1032">
        <f>SUMIF(修正!C59:C119,C8,修正!F59:F119)</f>
        <v>0</v>
      </c>
      <c r="D10" s="1032" t="s">
        <v>931</v>
      </c>
      <c r="E10" s="1032" t="e">
        <f>ROUND(C11/E7,4)</f>
        <v>#DIV/0!</v>
      </c>
      <c r="F10" s="1378" t="s">
        <v>932</v>
      </c>
      <c r="G10" s="1379"/>
      <c r="H10" s="1379"/>
      <c r="I10" s="1379"/>
      <c r="J10" s="1380"/>
      <c r="K10" s="3228"/>
      <c r="L10" s="1796" t="s">
        <v>2234</v>
      </c>
      <c r="M10" s="1797">
        <f>SUMPRODUCT((区片价!B290:B316=I2)*(区片价!C3:F3=E2)*(区片价!C290:F316))</f>
        <v>0</v>
      </c>
      <c r="N10" s="1798">
        <f>SUMPRODUCT((因素修正幅度!B290:B316=I2)*(因素修正幅度!C3:F3=E2)*(因素修正幅度!C290:F316))</f>
        <v>0</v>
      </c>
      <c r="O10" s="3228"/>
      <c r="P10" s="2067"/>
      <c r="Q10" s="2067"/>
      <c r="R10" s="2651">
        <v>9</v>
      </c>
      <c r="S10" s="2640"/>
      <c r="T10" s="2651">
        <f t="shared" si="0"/>
        <v>0</v>
      </c>
      <c r="U10" s="2640"/>
      <c r="V10" s="2651">
        <f t="shared" si="1"/>
        <v>0</v>
      </c>
      <c r="W10" s="369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07"/>
      <c r="B11" s="1381" t="s">
        <v>933</v>
      </c>
      <c r="C11" s="1033">
        <f>C10/4</f>
        <v>0</v>
      </c>
      <c r="D11" s="1033" t="s">
        <v>934</v>
      </c>
      <c r="E11" s="1033" t="e">
        <f>ROUND(C11/E7,4)</f>
        <v>#DIV/0!</v>
      </c>
      <c r="F11" s="1382" t="s">
        <v>935</v>
      </c>
      <c r="G11" s="1383"/>
      <c r="H11" s="1383"/>
      <c r="I11" s="1383"/>
      <c r="J11" s="1384"/>
      <c r="K11" s="3228"/>
      <c r="L11" s="1796" t="s">
        <v>2235</v>
      </c>
      <c r="M11" s="1797">
        <f>SUMPRODUCT((区片价!B317:B337=I2)*(区片价!C3:F3=E2)*(区片价!C317:F337))</f>
        <v>0</v>
      </c>
      <c r="N11" s="1798">
        <f>SUMPRODUCT((因素修正幅度!B317:B337=I2)*(因素修正幅度!C3:F3=E2)*(因素修正幅度!C317:F337))</f>
        <v>0</v>
      </c>
      <c r="O11" s="3228"/>
      <c r="P11" s="2067"/>
      <c r="Q11" s="2067"/>
      <c r="R11" s="2651">
        <v>10</v>
      </c>
      <c r="S11" s="2640"/>
      <c r="T11" s="2651">
        <f t="shared" si="0"/>
        <v>0</v>
      </c>
      <c r="U11" s="2640"/>
      <c r="V11" s="2651">
        <f t="shared" si="1"/>
        <v>0</v>
      </c>
      <c r="W11" s="3692" t="s">
        <v>2757</v>
      </c>
      <c r="X11" s="1032" t="s">
        <v>2742</v>
      </c>
      <c r="Y11" s="1579">
        <f>$G$3</f>
        <v>1.8</v>
      </c>
      <c r="Z11" s="1579">
        <f t="shared" ref="Z11:AJ11" si="3">$G$3</f>
        <v>1.8</v>
      </c>
      <c r="AA11" s="1579">
        <f t="shared" si="3"/>
        <v>1.8</v>
      </c>
      <c r="AB11" s="1579">
        <f t="shared" si="3"/>
        <v>1.8</v>
      </c>
      <c r="AC11" s="1579">
        <f t="shared" si="3"/>
        <v>1.8</v>
      </c>
      <c r="AD11" s="1579">
        <f t="shared" si="3"/>
        <v>1.8</v>
      </c>
      <c r="AE11" s="1579">
        <f t="shared" si="3"/>
        <v>1.8</v>
      </c>
      <c r="AF11" s="1579">
        <f t="shared" si="3"/>
        <v>1.8</v>
      </c>
      <c r="AG11" s="1579">
        <f t="shared" si="3"/>
        <v>1.8</v>
      </c>
      <c r="AH11" s="1579">
        <f t="shared" si="3"/>
        <v>1.8</v>
      </c>
      <c r="AI11" s="1579">
        <f t="shared" si="3"/>
        <v>1.8</v>
      </c>
      <c r="AJ11" s="1579">
        <f t="shared" si="3"/>
        <v>1.8</v>
      </c>
    </row>
    <row r="12" spans="1:39" ht="25.5" thickBot="1">
      <c r="A12" s="3706" t="s">
        <v>1861</v>
      </c>
      <c r="B12" s="1385" t="s">
        <v>936</v>
      </c>
      <c r="C12" s="1027">
        <f>ROUND(C15*D15*E15*F15*G15*H15*I15*J15,4)</f>
        <v>1</v>
      </c>
      <c r="D12" s="1386" t="s">
        <v>937</v>
      </c>
      <c r="E12" s="1387"/>
      <c r="F12" s="1387"/>
      <c r="G12" s="1388"/>
      <c r="H12" s="1388"/>
      <c r="I12" s="1388"/>
      <c r="J12" s="1389"/>
      <c r="K12" s="3228"/>
      <c r="L12" s="1799" t="s">
        <v>2236</v>
      </c>
      <c r="M12" s="1800">
        <f>SUMPRODUCT((区片价!B338:B344=I2)*(区片价!C3:F3=E2)*(区片价!C338:F344))</f>
        <v>0</v>
      </c>
      <c r="N12" s="1801">
        <f>SUMPRODUCT((因素修正幅度!B338:B344=I2)*(因素修正幅度!C3:F3=E2)*(因素修正幅度!C338:F344))</f>
        <v>0</v>
      </c>
      <c r="O12" s="3228"/>
      <c r="P12" s="2067"/>
      <c r="Q12" s="2067"/>
      <c r="R12" s="2651">
        <v>11</v>
      </c>
      <c r="S12" s="2640"/>
      <c r="T12" s="2651">
        <f t="shared" si="0"/>
        <v>0</v>
      </c>
      <c r="U12" s="2640"/>
      <c r="V12" s="2651">
        <f t="shared" si="1"/>
        <v>0</v>
      </c>
      <c r="W12" s="3692"/>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08"/>
      <c r="B13" s="1390" t="s">
        <v>1686</v>
      </c>
      <c r="C13" s="1391" t="s">
        <v>1687</v>
      </c>
      <c r="D13" s="1069" t="s">
        <v>1688</v>
      </c>
      <c r="E13" s="1069" t="s">
        <v>1689</v>
      </c>
      <c r="F13" s="1392" t="s">
        <v>938</v>
      </c>
      <c r="G13" s="1393" t="s">
        <v>1632</v>
      </c>
      <c r="H13" s="1394" t="s">
        <v>1632</v>
      </c>
      <c r="I13" s="1395" t="s">
        <v>1632</v>
      </c>
      <c r="J13" s="1396" t="s">
        <v>1632</v>
      </c>
      <c r="K13" s="2838"/>
      <c r="L13" s="2838"/>
      <c r="M13" s="2838"/>
      <c r="N13" s="2838"/>
      <c r="O13" s="2838"/>
      <c r="P13" s="2067"/>
      <c r="Q13" s="2067"/>
      <c r="R13" s="2651">
        <v>12</v>
      </c>
      <c r="S13" s="2640"/>
      <c r="T13" s="2651">
        <f t="shared" si="0"/>
        <v>0</v>
      </c>
      <c r="U13" s="2640"/>
      <c r="V13" s="2651">
        <f t="shared" si="1"/>
        <v>0</v>
      </c>
      <c r="W13" s="3692"/>
      <c r="X13" s="2648"/>
      <c r="Y13" s="2647">
        <f>(-0.163*(Y12^2)-0.59*Y12+7617)*(10^(-4))/Y11</f>
        <v>0.42316666666666669</v>
      </c>
      <c r="Z13" s="2647">
        <f t="shared" ref="Z13:AJ13" si="5">(-0.163*(Z12^2)-0.59*Z12+7617)*(10^(-4))/Z11</f>
        <v>0.42316666666666669</v>
      </c>
      <c r="AA13" s="2647">
        <f t="shared" si="5"/>
        <v>0.42316666666666669</v>
      </c>
      <c r="AB13" s="2647">
        <f t="shared" si="5"/>
        <v>0.42316666666666669</v>
      </c>
      <c r="AC13" s="2647">
        <f t="shared" si="5"/>
        <v>0.42316666666666669</v>
      </c>
      <c r="AD13" s="2647">
        <f t="shared" si="5"/>
        <v>0.42316666666666669</v>
      </c>
      <c r="AE13" s="2647">
        <f t="shared" si="5"/>
        <v>0.42316666666666669</v>
      </c>
      <c r="AF13" s="2647">
        <f t="shared" si="5"/>
        <v>0.42316666666666669</v>
      </c>
      <c r="AG13" s="2647">
        <f t="shared" si="5"/>
        <v>0.42316666666666669</v>
      </c>
      <c r="AH13" s="2647">
        <f t="shared" si="5"/>
        <v>0.42316666666666669</v>
      </c>
      <c r="AI13" s="2647">
        <f t="shared" si="5"/>
        <v>0.42316666666666669</v>
      </c>
      <c r="AJ13" s="2647">
        <f t="shared" si="5"/>
        <v>0.42316666666666669</v>
      </c>
    </row>
    <row r="14" spans="1:39" ht="12.75" customHeight="1">
      <c r="A14" s="3708"/>
      <c r="B14" s="1397"/>
      <c r="C14" s="1398"/>
      <c r="D14" s="1399"/>
      <c r="E14" s="1399"/>
      <c r="F14" s="1400"/>
      <c r="G14" s="1401" t="s">
        <v>939</v>
      </c>
      <c r="H14" s="1402"/>
      <c r="I14" s="1403"/>
      <c r="J14" s="1404"/>
      <c r="K14" s="3229"/>
      <c r="L14" s="3229"/>
      <c r="M14" s="3229"/>
      <c r="N14" s="3229"/>
      <c r="O14" s="3229"/>
      <c r="P14" s="2067"/>
      <c r="Q14" s="2067"/>
      <c r="R14" s="2651">
        <v>13</v>
      </c>
      <c r="S14" s="2640"/>
      <c r="T14" s="2651">
        <f t="shared" si="0"/>
        <v>0</v>
      </c>
      <c r="U14" s="2640"/>
      <c r="V14" s="2651">
        <f t="shared" si="1"/>
        <v>0</v>
      </c>
      <c r="W14" s="2067"/>
      <c r="X14" s="2067"/>
      <c r="Y14" s="2067"/>
      <c r="Z14" s="2067"/>
      <c r="AA14" s="2067"/>
      <c r="AB14" s="2067"/>
      <c r="AC14" s="2068"/>
    </row>
    <row r="15" spans="1:39" ht="13.5" customHeight="1" thickBot="1">
      <c r="A15" s="3709"/>
      <c r="B15" s="2843" t="s">
        <v>1690</v>
      </c>
      <c r="C15" s="1033">
        <f>IF(C14="有",1.1,1)</f>
        <v>1</v>
      </c>
      <c r="D15" s="1033">
        <f>IF(D14="有",1.1,1)</f>
        <v>1</v>
      </c>
      <c r="E15" s="1033">
        <f>IF(E14="有",1.1,1)</f>
        <v>1</v>
      </c>
      <c r="F15" s="1033">
        <f>IF(F14="500米范围内",1.2,IF(F14="500-1000米",1.1,1))</f>
        <v>1</v>
      </c>
      <c r="G15" s="2835">
        <v>1</v>
      </c>
      <c r="H15" s="2835">
        <v>1</v>
      </c>
      <c r="I15" s="2835">
        <v>1</v>
      </c>
      <c r="J15" s="2836">
        <v>1</v>
      </c>
      <c r="K15" s="2839"/>
      <c r="L15" s="2839"/>
      <c r="M15" s="2839"/>
      <c r="N15" s="2839"/>
      <c r="O15" s="2839"/>
      <c r="P15" s="2067"/>
      <c r="Q15" s="2067"/>
      <c r="R15" s="2651">
        <v>14</v>
      </c>
      <c r="S15" s="2640"/>
      <c r="T15" s="2651">
        <f t="shared" si="0"/>
        <v>0</v>
      </c>
      <c r="U15" s="2640"/>
      <c r="V15" s="2651">
        <f t="shared" si="1"/>
        <v>0</v>
      </c>
      <c r="W15" s="2067"/>
      <c r="X15" s="2067"/>
      <c r="Y15" s="2067"/>
      <c r="Z15" s="2067"/>
      <c r="AA15" s="2067"/>
      <c r="AB15" s="2067"/>
      <c r="AC15" s="2068"/>
    </row>
    <row r="16" spans="1:39" ht="24.6" customHeight="1">
      <c r="A16" s="3706" t="s">
        <v>1828</v>
      </c>
      <c r="B16" s="1373" t="s">
        <v>940</v>
      </c>
      <c r="C16" s="1036">
        <f>ROUND(IF(F17="与级别开发程度一致",0,(G17-E17)/C17),0)</f>
        <v>-103</v>
      </c>
      <c r="D16" s="3700" t="s">
        <v>944</v>
      </c>
      <c r="E16" s="3701"/>
      <c r="F16" s="3700" t="s">
        <v>941</v>
      </c>
      <c r="G16" s="3701"/>
      <c r="H16" s="1405"/>
      <c r="I16" s="1405"/>
      <c r="J16" s="1405"/>
      <c r="K16" s="1405"/>
      <c r="L16" s="1405"/>
      <c r="M16" s="1405"/>
      <c r="N16" s="1405"/>
      <c r="O16" s="2848"/>
      <c r="P16" s="2067"/>
      <c r="Q16" s="2070"/>
      <c r="R16" s="2651">
        <v>15</v>
      </c>
      <c r="S16" s="2640"/>
      <c r="T16" s="2651">
        <f t="shared" si="0"/>
        <v>0</v>
      </c>
      <c r="U16" s="2640"/>
      <c r="V16" s="2651">
        <f t="shared" si="1"/>
        <v>0</v>
      </c>
      <c r="W16" s="2070"/>
      <c r="X16" s="2070"/>
      <c r="Y16" s="2070"/>
      <c r="Z16" s="2070"/>
      <c r="AA16" s="2070"/>
      <c r="AB16" s="2070"/>
      <c r="AC16" s="2071"/>
    </row>
    <row r="17" spans="1:40" ht="13.5" thickBot="1">
      <c r="A17" s="3710"/>
      <c r="B17" s="2849" t="s">
        <v>943</v>
      </c>
      <c r="C17" s="2850">
        <f>SUMPRODUCT((修正!A2:A5=E2)*(修正!B1:M1=G2)*(修正!B2:M5))</f>
        <v>1.5</v>
      </c>
      <c r="D17" s="2851" t="str">
        <f>IF(OR(G2="八级",G2="九级",G2="十级",G2="十一级",G2="十二级"),"五通一平","七通一平")</f>
        <v>五通一平</v>
      </c>
      <c r="E17" s="2841">
        <f>SUMPRODUCT((修正!B1:M1=G2)*(修正!B15:M15))</f>
        <v>155</v>
      </c>
      <c r="F17" s="2842"/>
      <c r="G17" s="2841">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2">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1819</v>
      </c>
      <c r="B18" s="2844" t="s">
        <v>945</v>
      </c>
      <c r="C18" s="2845">
        <f>SUMIF(修正!C18:C39,E3,修正!E18:E39)</f>
        <v>1</v>
      </c>
      <c r="D18" s="2846"/>
      <c r="E18" s="2847"/>
      <c r="F18" s="2830"/>
      <c r="G18" s="2829"/>
      <c r="H18" s="2829"/>
      <c r="I18" s="2829"/>
      <c r="J18" s="2837"/>
      <c r="K18" s="3227"/>
      <c r="L18" s="2829"/>
      <c r="M18" s="2829"/>
      <c r="N18" s="2829"/>
      <c r="O18" s="2829"/>
      <c r="P18" s="3232"/>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1825</v>
      </c>
      <c r="B19" s="1408" t="s">
        <v>946</v>
      </c>
      <c r="C19" s="1037">
        <f>ROUND(IF(H19="按公示增长率计算",SUMPRODUCT((地价!A3:A35=YEAR(G19)&amp;"-"&amp;ROUNDUP(MONTH(G19)/3,0))*(地价!X2:AB2=E2)*(地价!X3:AB35)),IF(H19="地价指数",M20/M19,(1+I19)^O19)),4)</f>
        <v>0</v>
      </c>
      <c r="D19" s="1412" t="s">
        <v>947</v>
      </c>
      <c r="E19" s="1038">
        <v>41640</v>
      </c>
      <c r="F19" s="1412" t="s">
        <v>948</v>
      </c>
      <c r="G19" s="1039">
        <f>'数据-取费表'!B2</f>
        <v>44532</v>
      </c>
      <c r="H19" s="1413" t="s">
        <v>2933</v>
      </c>
      <c r="I19" s="2500" t="str">
        <f>IF(H19="季度增幅（自定义）",SUMIF(N21:N24,E2,O21:O24),"")</f>
        <v/>
      </c>
      <c r="J19" s="1409"/>
      <c r="K19" s="3227"/>
      <c r="L19" s="2748" t="s">
        <v>2817</v>
      </c>
      <c r="M19" s="2749">
        <f>ROUND(SUMIF(地价!B2:F2,E2,地价!B35:F35),0)</f>
        <v>423</v>
      </c>
      <c r="N19" s="2502" t="s">
        <v>1666</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1826</v>
      </c>
      <c r="B20" s="2495" t="s">
        <v>961</v>
      </c>
      <c r="C20" s="2496">
        <f>ROUND(POWER(1+G20,J20-I20)*(POWER(1+G20,I20)-1)/(POWER(1+G20,J20)-1),4)</f>
        <v>0.99909999999999999</v>
      </c>
      <c r="D20" s="2497" t="s">
        <v>962</v>
      </c>
      <c r="E20" s="2778">
        <f>存贷款利率!E18/100</f>
        <v>4.3499999999999997E-2</v>
      </c>
      <c r="F20" s="2497" t="s">
        <v>963</v>
      </c>
      <c r="G20" s="2498">
        <f>SUMIF(M26:P26,E2,M28:P28)</f>
        <v>0.05</v>
      </c>
      <c r="H20" s="2497" t="s">
        <v>964</v>
      </c>
      <c r="I20" s="2493">
        <f>SUMIF('数据-取费表'!C6:C15,E2,'数据-取费表'!F6:F15)/COUNTIF('数据-取费表'!C6:C15,E2)</f>
        <v>69.489999999999995</v>
      </c>
      <c r="J20" s="2499">
        <f>IF(E2="住宅",70,IF(E2="商业",40,50))</f>
        <v>70</v>
      </c>
      <c r="K20" s="2839"/>
      <c r="L20" s="2750" t="s">
        <v>2818</v>
      </c>
      <c r="M20" s="2832">
        <f>ROUND(SUMPRODUCT((地价!A4:A35=YEAR(G19)&amp;"-"&amp;ROUNDUP(MONTH(G19)/3,0))*(地价!B2:F2=E2)*(地价!B4:F35)),0)</f>
        <v>0</v>
      </c>
      <c r="N20" s="2505" t="s">
        <v>2623</v>
      </c>
      <c r="O20" s="2503" t="s">
        <v>2622</v>
      </c>
      <c r="P20" s="2504" t="s">
        <v>2627</v>
      </c>
      <c r="Q20" s="2639"/>
      <c r="R20" s="2073"/>
      <c r="S20" s="2073"/>
      <c r="T20" s="2073"/>
      <c r="U20" s="2073"/>
      <c r="V20" s="2073"/>
      <c r="W20" s="2073"/>
      <c r="X20" s="2073"/>
      <c r="Y20" s="1410"/>
      <c r="Z20" s="1410"/>
      <c r="AA20" s="1410"/>
      <c r="AB20" s="1410"/>
      <c r="AC20" s="1410"/>
      <c r="AD20" s="1410"/>
    </row>
    <row r="21" spans="1:40" s="1367" customFormat="1" ht="14.25">
      <c r="A21" s="1568" t="s">
        <v>1827</v>
      </c>
      <c r="B21" s="1418" t="s">
        <v>2967</v>
      </c>
      <c r="C21" s="1138">
        <f>IF(B21="容积率修正",IF(G3&lt;=10,D22,J22),C23)</f>
        <v>0.95030000000000003</v>
      </c>
      <c r="D21" s="1419"/>
      <c r="E21" s="1419"/>
      <c r="F21" s="1419"/>
      <c r="G21" s="1419"/>
      <c r="H21" s="1419"/>
      <c r="I21" s="1419"/>
      <c r="J21" s="1420"/>
      <c r="K21" s="3227"/>
      <c r="L21" s="1419"/>
      <c r="M21" s="1419"/>
      <c r="N21" s="1416" t="s">
        <v>965</v>
      </c>
      <c r="O21" s="1479"/>
      <c r="P21" s="2492">
        <f>SUMPRODUCT((地价!A3:A35=YEAR(G19)&amp;"-"&amp;ROUNDUP(MONTH(G19)/3,0))*(地价!AD2:AH2=N21)*(地价!AD3:AH35))</f>
        <v>0</v>
      </c>
      <c r="Q21" s="2639"/>
      <c r="R21" s="2073"/>
      <c r="S21" s="2073"/>
      <c r="T21" s="2073"/>
      <c r="U21" s="2073"/>
      <c r="V21" s="2073"/>
      <c r="W21" s="2073"/>
      <c r="X21" s="2073"/>
      <c r="Y21" s="1349"/>
      <c r="Z21" s="1349"/>
      <c r="AA21" s="1349"/>
      <c r="AB21" s="1349"/>
      <c r="AC21" s="1410"/>
      <c r="AD21" s="1410"/>
    </row>
    <row r="22" spans="1:40" s="1367" customFormat="1" ht="14.25">
      <c r="A22" s="1569" t="s">
        <v>1860</v>
      </c>
      <c r="B22" s="1421" t="s">
        <v>966</v>
      </c>
      <c r="C22" s="1040" t="s">
        <v>1692</v>
      </c>
      <c r="D22" s="1040">
        <f>IF(E22=G22,F22,IF(G3&lt;=10,ROUND(F22+(H22-F22)*(G3-E22)/(G22-E22),4),"——"))</f>
        <v>0.95030000000000003</v>
      </c>
      <c r="E22" s="1023">
        <f>ROUNDDOWN(G3,1)</f>
        <v>1.8</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1023">
        <f>ROUNDUP(G3,1)</f>
        <v>1.8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40" t="s">
        <v>967</v>
      </c>
      <c r="J22" s="1040" t="str">
        <f>IF(G3&gt;10,D113,"——")</f>
        <v>——</v>
      </c>
      <c r="K22" s="3233"/>
      <c r="L22" s="1419"/>
      <c r="M22" s="1419"/>
      <c r="N22" s="1416" t="s">
        <v>968</v>
      </c>
      <c r="O22" s="1479"/>
      <c r="P22" s="2492">
        <f>SUMPRODUCT((地价!A3:A35=YEAR(G19)&amp;"-"&amp;ROUNDUP(MONTH(G19)/3,0))*(地价!AD2:AH2=N22)*(地价!AD3:AH35))</f>
        <v>0</v>
      </c>
      <c r="Q22" s="2639"/>
      <c r="R22" s="2073"/>
      <c r="S22" s="2073"/>
      <c r="T22" s="2073"/>
      <c r="U22" s="2073"/>
      <c r="V22" s="2073"/>
      <c r="W22" s="2073"/>
      <c r="X22" s="2073"/>
      <c r="Y22" s="1410"/>
      <c r="Z22" s="1410"/>
      <c r="AA22" s="1410"/>
      <c r="AB22" s="1410"/>
      <c r="AC22" s="1410"/>
      <c r="AD22" s="1410"/>
    </row>
    <row r="23" spans="1:40" ht="15.75" thickBot="1">
      <c r="A23" s="1569" t="s">
        <v>1861</v>
      </c>
      <c r="B23" s="1421" t="s">
        <v>969</v>
      </c>
      <c r="C23" s="1041">
        <f>ROUND(IF(G3&gt;1,IF(I3&lt;7,SUMPRODUCT((B93:B98=I3)*(C92:N92=G2)*(C93:N98)),SUMIF(C92:N92,G2,C100:N100)),IF(I3&lt;7,SUMPRODUCT((B102:B107=I3)*(C92:N92=G2)*(C102:N107)),SUMIF(C92:N92,G2,C109:N109))),4)</f>
        <v>0.44750000000000001</v>
      </c>
      <c r="D23" s="1467"/>
      <c r="E23" s="1467"/>
      <c r="F23" s="1468"/>
      <c r="G23" s="1469"/>
      <c r="H23" s="1470"/>
      <c r="I23" s="1471"/>
      <c r="J23" s="1471"/>
      <c r="K23" s="3234"/>
      <c r="L23" s="1347"/>
      <c r="M23" s="1347"/>
      <c r="N23" s="1416" t="s">
        <v>913</v>
      </c>
      <c r="O23" s="1479"/>
      <c r="P23" s="2492">
        <f>SUMPRODUCT((地价!A3:A35=YEAR(G19)&amp;"-"&amp;ROUNDUP(MONTH(G19)/3,0))*(地价!AD2:AH2=N23)*(地价!AD3:AH35))</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2">
        <f>SUMIF(A44:A87,E2,B44:B87)</f>
        <v>1</v>
      </c>
      <c r="D24" s="1472"/>
      <c r="E24" s="1473"/>
      <c r="F24" s="1473"/>
      <c r="G24" s="1473"/>
      <c r="H24" s="1473"/>
      <c r="I24" s="1473"/>
      <c r="J24" s="1473"/>
      <c r="K24" s="3234"/>
      <c r="L24" s="1419"/>
      <c r="M24" s="1419"/>
      <c r="N24" s="1416" t="s">
        <v>971</v>
      </c>
      <c r="O24" s="2831"/>
      <c r="P24" s="2492">
        <f>SUMPRODUCT((地价!A3:A35=YEAR(G19)&amp;"-"&amp;ROUNDUP(MONTH(G19)/3,0))*(地价!AD2:AH2=N24)*(地价!AD3:AH35))</f>
        <v>0</v>
      </c>
      <c r="Q24" s="2639"/>
      <c r="R24" s="2073"/>
      <c r="S24" s="2073"/>
      <c r="T24" s="2073"/>
      <c r="U24" s="2073"/>
      <c r="V24" s="2073"/>
      <c r="W24" s="2073"/>
      <c r="X24" s="2073"/>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28"/>
      <c r="L25" s="2073"/>
      <c r="M25" s="2073"/>
      <c r="N25" s="2833" t="s">
        <v>2625</v>
      </c>
      <c r="O25" s="2834"/>
      <c r="P25" s="2299">
        <f>SUMPRODUCT((地价!A3:A35=YEAR(G19)&amp;"-"&amp;ROUNDUP(MONTH(G19)/3,0))*(地价!AD2:AH2=N25)*(地价!AD3:AH35))</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976</v>
      </c>
      <c r="C26" s="3012">
        <f>IF(B21="容积率修正",E29+SUM(E33:E39),SUM(V2:V16)+SUM(E33:E39))</f>
        <v>0</v>
      </c>
      <c r="D26" s="1427"/>
      <c r="E26" s="1402"/>
      <c r="F26" s="1428"/>
      <c r="G26" s="1402"/>
      <c r="H26" s="1402"/>
      <c r="I26" s="1402"/>
      <c r="J26" s="1429"/>
      <c r="K26" s="3228"/>
      <c r="L26" s="1526" t="s">
        <v>888</v>
      </c>
      <c r="M26" s="1374" t="s">
        <v>973</v>
      </c>
      <c r="N26" s="1374" t="s">
        <v>974</v>
      </c>
      <c r="O26" s="1374" t="s">
        <v>892</v>
      </c>
      <c r="P26" s="1414" t="s">
        <v>975</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978</v>
      </c>
      <c r="C27" s="1044">
        <f>E30+SUM(I33:I39)</f>
        <v>0</v>
      </c>
      <c r="D27" s="1431"/>
      <c r="E27" s="1432"/>
      <c r="F27" s="1433"/>
      <c r="G27" s="1432"/>
      <c r="H27" s="1432"/>
      <c r="I27" s="1432"/>
      <c r="J27" s="1434"/>
      <c r="K27" s="3228"/>
      <c r="L27" s="1406" t="s">
        <v>977</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979</v>
      </c>
      <c r="C28" s="1436" t="s">
        <v>980</v>
      </c>
      <c r="D28" s="1436" t="s">
        <v>981</v>
      </c>
      <c r="E28" s="1437" t="s">
        <v>982</v>
      </c>
      <c r="F28" s="1438"/>
      <c r="G28" s="1388"/>
      <c r="H28" s="1388"/>
      <c r="I28" s="1388"/>
      <c r="J28" s="1389"/>
      <c r="K28" s="3228"/>
      <c r="L28" s="1407" t="s">
        <v>963</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983</v>
      </c>
      <c r="C29" s="1043">
        <f>ROUND(C5*C18*C19*C20*C21*C24,0)</f>
        <v>0</v>
      </c>
      <c r="D29" s="1441"/>
      <c r="E29" s="1760">
        <f>ROUND(C29*D29/10000,0)</f>
        <v>0</v>
      </c>
      <c r="F29" s="1442" t="s">
        <v>1691</v>
      </c>
      <c r="G29" s="1443"/>
      <c r="H29" s="1443"/>
      <c r="I29" s="1443"/>
      <c r="J29" s="1444"/>
      <c r="K29" s="3235"/>
      <c r="L29" s="3235"/>
      <c r="M29" s="3235"/>
      <c r="N29" s="3235"/>
      <c r="O29" s="3235"/>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984</v>
      </c>
      <c r="C30" s="1035">
        <f>ROUND(IF(E2="工业",C29*M39,C29*M38),0)</f>
        <v>0</v>
      </c>
      <c r="D30" s="1447"/>
      <c r="E30" s="1760">
        <f>ROUND(C30*D30/10000,0)</f>
        <v>0</v>
      </c>
      <c r="F30" s="1448" t="s">
        <v>985</v>
      </c>
      <c r="G30" s="1449"/>
      <c r="H30" s="1449"/>
      <c r="I30" s="1449"/>
      <c r="J30" s="1450"/>
      <c r="K30" s="3228"/>
      <c r="L30" s="3228"/>
      <c r="M30" s="3228"/>
      <c r="N30" s="3228"/>
      <c r="O30" s="3228"/>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986</v>
      </c>
      <c r="C31" s="1453" t="s">
        <v>987</v>
      </c>
      <c r="D31" s="1388"/>
      <c r="E31" s="1453"/>
      <c r="F31" s="1453"/>
      <c r="G31" s="1386" t="s">
        <v>985</v>
      </c>
      <c r="H31" s="1388"/>
      <c r="I31" s="1454"/>
      <c r="J31" s="1389"/>
      <c r="K31" s="3228"/>
      <c r="L31" s="3228"/>
      <c r="M31" s="3228"/>
      <c r="N31" s="3228"/>
      <c r="O31" s="3228"/>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36"/>
      <c r="L32" s="3236"/>
      <c r="M32" s="3236"/>
      <c r="N32" s="3236"/>
      <c r="O32" s="3236"/>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702"/>
      <c r="B33" s="1461" t="s">
        <v>989</v>
      </c>
      <c r="C33" s="1043">
        <f>ROUND(D5*C19*C20*C24*F33,0)</f>
        <v>0</v>
      </c>
      <c r="D33" s="1474"/>
      <c r="E33" s="1032">
        <f>ROUND(C33*D33/10000,0)</f>
        <v>0</v>
      </c>
      <c r="F33" s="1032">
        <f>SUMIF(修正!A45:A56,G2,修正!B45:B56)</f>
        <v>0.6</v>
      </c>
      <c r="G33" s="1032">
        <f t="shared" ref="G33" si="6">ROUND(IF(E2="工业",C33*$M$39,C33*$M$38),0)</f>
        <v>0</v>
      </c>
      <c r="H33" s="1032">
        <f>D33</f>
        <v>0</v>
      </c>
      <c r="I33" s="1032">
        <f>ROUND(G33*H33/10000,0)</f>
        <v>0</v>
      </c>
      <c r="J33" s="3702" t="s">
        <v>2971</v>
      </c>
      <c r="K33" s="2838"/>
      <c r="L33" s="2838"/>
      <c r="M33" s="2838"/>
      <c r="N33" s="2838"/>
      <c r="O33" s="2838"/>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703"/>
      <c r="B34" s="1391" t="s">
        <v>990</v>
      </c>
      <c r="C34" s="1043">
        <f>ROUND(D5*C19*C20*C24*F34,0)</f>
        <v>0</v>
      </c>
      <c r="D34" s="1474"/>
      <c r="E34" s="1032">
        <f t="shared" ref="E34:E39" si="7">ROUND(C34*D34/10000,0)</f>
        <v>0</v>
      </c>
      <c r="F34" s="1032">
        <f>SUMIF(修正!A45:A56,G2,修正!C45:C56)</f>
        <v>0.3</v>
      </c>
      <c r="G34" s="1032">
        <f>ROUND(IF(E2="工业",C34*$M$39,C34*$M$38),0)</f>
        <v>0</v>
      </c>
      <c r="H34" s="1032">
        <f t="shared" ref="H34:H39" si="8">D34</f>
        <v>0</v>
      </c>
      <c r="I34" s="1032">
        <f t="shared" ref="I34:I39" si="9">ROUND(G34*H34/10000,0)</f>
        <v>0</v>
      </c>
      <c r="J34" s="3703"/>
      <c r="K34" s="2838"/>
      <c r="L34" s="2838"/>
      <c r="M34" s="2838"/>
      <c r="N34" s="2838"/>
      <c r="O34" s="2838"/>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703"/>
      <c r="B35" s="1391" t="s">
        <v>991</v>
      </c>
      <c r="C35" s="1043">
        <f>ROUND(D5*C19*C20*C24*F35,0)</f>
        <v>0</v>
      </c>
      <c r="D35" s="1474"/>
      <c r="E35" s="1032">
        <f t="shared" si="7"/>
        <v>0</v>
      </c>
      <c r="F35" s="1032">
        <f>SUMIF(修正!A45:A56,G2,修正!D45:D56)</f>
        <v>0.2</v>
      </c>
      <c r="G35" s="1032">
        <f>ROUND(IF(E2="工业",C35*$M$39,C35*$M$38),0)</f>
        <v>0</v>
      </c>
      <c r="H35" s="1032">
        <f t="shared" si="8"/>
        <v>0</v>
      </c>
      <c r="I35" s="1032">
        <f t="shared" si="9"/>
        <v>0</v>
      </c>
      <c r="J35" s="3703"/>
      <c r="K35" s="2838"/>
      <c r="L35" s="2838"/>
      <c r="M35" s="2838"/>
      <c r="N35" s="2838"/>
      <c r="O35" s="2838"/>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704"/>
      <c r="B36" s="1391" t="s">
        <v>992</v>
      </c>
      <c r="C36" s="1043">
        <f>ROUND(D5*C19*C20*C24*F36,0)</f>
        <v>0</v>
      </c>
      <c r="D36" s="1474"/>
      <c r="E36" s="1032">
        <f t="shared" si="7"/>
        <v>0</v>
      </c>
      <c r="F36" s="1032">
        <f>SUMIF(修正!A45:A56,G2,修正!E45:E56)</f>
        <v>0.2</v>
      </c>
      <c r="G36" s="1032">
        <f>ROUND(IF(E2="工业",C36*$M$39,C36*$M$38),0)</f>
        <v>0</v>
      </c>
      <c r="H36" s="1032">
        <f t="shared" si="8"/>
        <v>0</v>
      </c>
      <c r="I36" s="1032">
        <f t="shared" si="9"/>
        <v>0</v>
      </c>
      <c r="J36" s="3704"/>
      <c r="K36" s="2838"/>
      <c r="L36" s="2838"/>
      <c r="M36" s="2838"/>
      <c r="N36" s="2838"/>
      <c r="O36" s="2838"/>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993</v>
      </c>
      <c r="C37" s="1032">
        <f>ROUND(D5*C19*C20*C24*F37,0)</f>
        <v>0</v>
      </c>
      <c r="D37" s="1474"/>
      <c r="E37" s="1032">
        <f t="shared" si="7"/>
        <v>0</v>
      </c>
      <c r="F37" s="1043">
        <f>SUMIF(修正!A45:A56,G2,修正!F45:F56)</f>
        <v>0.2</v>
      </c>
      <c r="G37" s="1032">
        <f>ROUND(IF(E2="工业",C37*$M$39,C37*$M$38),0)</f>
        <v>0</v>
      </c>
      <c r="H37" s="1032">
        <f t="shared" si="8"/>
        <v>0</v>
      </c>
      <c r="I37" s="1032">
        <f t="shared" si="9"/>
        <v>0</v>
      </c>
      <c r="J37" s="1462"/>
      <c r="K37" s="2067"/>
      <c r="L37" s="1480" t="s">
        <v>1693</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994</v>
      </c>
      <c r="C38" s="1032">
        <f>ROUND(D5*C19*C41*C24*F38,0)</f>
        <v>0</v>
      </c>
      <c r="D38" s="1474"/>
      <c r="E38" s="1032">
        <f t="shared" si="7"/>
        <v>0</v>
      </c>
      <c r="F38" s="1043">
        <f>SUMIF(修正!A45:A56,G2,修正!G45:G56)</f>
        <v>0.2</v>
      </c>
      <c r="G38" s="1032">
        <f>ROUND(IF(E2="工业",C38*$M$39,C38*$M$38),0)</f>
        <v>0</v>
      </c>
      <c r="H38" s="1032">
        <f t="shared" si="8"/>
        <v>0</v>
      </c>
      <c r="I38" s="1032">
        <f t="shared" si="9"/>
        <v>0</v>
      </c>
      <c r="J38" s="1462"/>
      <c r="K38" s="2067"/>
      <c r="L38" s="1482" t="s">
        <v>1695</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995</v>
      </c>
      <c r="C39" s="1035">
        <f>ROUND(D5*C19*C41*C24*F39,0)</f>
        <v>0</v>
      </c>
      <c r="D39" s="1475"/>
      <c r="E39" s="1035">
        <f t="shared" si="7"/>
        <v>0</v>
      </c>
      <c r="F39" s="1045">
        <f>SUMIF(修正!A45:A56,G2,修正!H45:H56)</f>
        <v>0.15</v>
      </c>
      <c r="G39" s="1035">
        <f>ROUND(IF(E2="工业",C39*$M$39,C39*$M$38),0)</f>
        <v>0</v>
      </c>
      <c r="H39" s="1035">
        <f t="shared" si="8"/>
        <v>0</v>
      </c>
      <c r="I39" s="1035">
        <f t="shared" si="9"/>
        <v>0</v>
      </c>
      <c r="J39" s="1464"/>
      <c r="K39" s="2067"/>
      <c r="L39" s="1484" t="s">
        <v>1694</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28" t="s">
        <v>2927</v>
      </c>
      <c r="C41" s="827">
        <f>ROUND(POWER(1+E41,H41-G41)*(POWER(1+E41,G41)-1)/(POWER(1+E41,H41)-1),4)</f>
        <v>0</v>
      </c>
      <c r="D41" s="371" t="s">
        <v>2925</v>
      </c>
      <c r="E41" s="2827">
        <f>G20</f>
        <v>0.05</v>
      </c>
      <c r="F41" s="371" t="s">
        <v>2926</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996</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997</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24">
      <c r="A47" s="1047" t="s">
        <v>1010</v>
      </c>
      <c r="B47" s="2263">
        <f>估价对象房地状况!C16</f>
        <v>0</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14.25">
      <c r="A48" s="1047" t="s">
        <v>1011</v>
      </c>
      <c r="B48" s="2260" t="str">
        <f>估价对象房地状况!C18</f>
        <v>一般</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1012</v>
      </c>
      <c r="B49" s="2260" t="str">
        <f>估价对象房地状况!C19</f>
        <v>一致</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7" t="s">
        <v>1013</v>
      </c>
      <c r="B50" s="2780" t="s">
        <v>2883</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1014</v>
      </c>
      <c r="B51" s="2260" t="str">
        <f>估价对象房地状况!C24</f>
        <v>城市次干道——通怀路</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7" t="s">
        <v>1015</v>
      </c>
      <c r="B52" s="2779" t="s">
        <v>2882</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1016</v>
      </c>
      <c r="B53" s="2261" t="str">
        <f>估价对象房地状况!C21</f>
        <v>较差</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1017</v>
      </c>
      <c r="B54" s="2260" t="str">
        <f>估价对象房地状况!C22</f>
        <v>七通</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1018</v>
      </c>
      <c r="B55" s="2264" t="str">
        <f>估价对象房地状况!C20</f>
        <v>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1019</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24">
      <c r="A58" s="1047" t="s">
        <v>1020</v>
      </c>
      <c r="B58" s="2263">
        <f>估价对象房地状况!C17</f>
        <v>0</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14.25">
      <c r="A59" s="1047" t="s">
        <v>1011</v>
      </c>
      <c r="B59" s="2260" t="str">
        <f>估价对象房地状况!C18</f>
        <v>一般</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1012</v>
      </c>
      <c r="B60" s="2260" t="str">
        <f>估价对象房地状况!C19</f>
        <v>一致</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7" t="s">
        <v>1013</v>
      </c>
      <c r="B61" s="2780" t="s">
        <v>2884</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1014</v>
      </c>
      <c r="B62" s="2260" t="str">
        <f>估价对象房地状况!C24</f>
        <v>城市次干道——通怀路</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7" t="s">
        <v>1015</v>
      </c>
      <c r="B63" s="2779" t="s">
        <v>2882</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1016</v>
      </c>
      <c r="B64" s="2261" t="str">
        <f>估价对象房地状况!C21</f>
        <v>较差</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1017</v>
      </c>
      <c r="B65" s="2261" t="str">
        <f>估价对象房地状况!C22</f>
        <v>七通</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1018</v>
      </c>
      <c r="B66" s="2265" t="str">
        <f>估价对象房地状况!C20</f>
        <v>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1021</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24">
      <c r="A69" s="1047" t="s">
        <v>1022</v>
      </c>
      <c r="B69" s="2263" t="str">
        <f>估价对象房地状况!C15</f>
        <v>较差</v>
      </c>
      <c r="C69" s="1139"/>
      <c r="D69" s="2269">
        <f t="shared" ref="D69:D77" si="20">SUMIF($J$68:$N$68,C69,J69:N69)</f>
        <v>0</v>
      </c>
      <c r="E69" s="2288">
        <f>ROUND(SUM(D69:D77),4)</f>
        <v>0</v>
      </c>
      <c r="F69" s="2289">
        <f>IF(E2="住宅",SUMIF(L1:L12,G2,N1:N12),"——")</f>
        <v>0.15</v>
      </c>
      <c r="G69" s="2270"/>
      <c r="H69" s="2313">
        <f t="shared" ref="H69:H77" si="21">IFERROR(ROUNDDOWN($F$69*I69/2,4),"——")</f>
        <v>1.0500000000000001E-2</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14.25">
      <c r="A70" s="1047" t="s">
        <v>1023</v>
      </c>
      <c r="B70" s="2260" t="str">
        <f>估价对象房地状况!C18</f>
        <v>一般</v>
      </c>
      <c r="C70" s="1139"/>
      <c r="D70" s="2269">
        <f t="shared" si="20"/>
        <v>0</v>
      </c>
      <c r="E70" s="2297"/>
      <c r="F70" s="2298"/>
      <c r="G70" s="2270"/>
      <c r="H70" s="2313">
        <f t="shared" si="21"/>
        <v>2.2499999999999999E-2</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1012</v>
      </c>
      <c r="B71" s="2260" t="str">
        <f>估价对象房地状况!C19</f>
        <v>一致</v>
      </c>
      <c r="C71" s="1139"/>
      <c r="D71" s="2269">
        <f t="shared" si="20"/>
        <v>0</v>
      </c>
      <c r="E71" s="2297"/>
      <c r="F71" s="2298"/>
      <c r="G71" s="2270"/>
      <c r="H71" s="2313">
        <f t="shared" si="21"/>
        <v>6.0000000000000001E-3</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7" t="s">
        <v>1024</v>
      </c>
      <c r="B72" s="2260" t="str">
        <f>估价对象房地状况!C24</f>
        <v>城市次干道——通怀路</v>
      </c>
      <c r="C72" s="1139"/>
      <c r="D72" s="2269">
        <f t="shared" si="20"/>
        <v>0</v>
      </c>
      <c r="E72" s="2297"/>
      <c r="F72" s="2298"/>
      <c r="G72" s="2270"/>
      <c r="H72" s="2313">
        <f t="shared" si="21"/>
        <v>3.0000000000000001E-3</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1016</v>
      </c>
      <c r="B73" s="2261" t="str">
        <f>估价对象房地状况!C21</f>
        <v>较差</v>
      </c>
      <c r="C73" s="1139"/>
      <c r="D73" s="2269">
        <f t="shared" si="20"/>
        <v>0</v>
      </c>
      <c r="E73" s="2297"/>
      <c r="F73" s="2298"/>
      <c r="G73" s="2270"/>
      <c r="H73" s="2313">
        <f t="shared" si="21"/>
        <v>6.0000000000000001E-3</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1017</v>
      </c>
      <c r="B74" s="2261" t="str">
        <f>估价对象房地状况!C22</f>
        <v>七通</v>
      </c>
      <c r="C74" s="1139"/>
      <c r="D74" s="2269">
        <f t="shared" si="20"/>
        <v>0</v>
      </c>
      <c r="E74" s="2297"/>
      <c r="F74" s="2298"/>
      <c r="G74" s="2270"/>
      <c r="H74" s="2313">
        <f t="shared" si="21"/>
        <v>8.9999999999999993E-3</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7" t="s">
        <v>1015</v>
      </c>
      <c r="B75" s="2779" t="s">
        <v>2882</v>
      </c>
      <c r="C75" s="1139"/>
      <c r="D75" s="2269">
        <f t="shared" si="20"/>
        <v>0</v>
      </c>
      <c r="E75" s="2297"/>
      <c r="F75" s="2298"/>
      <c r="G75" s="2270"/>
      <c r="H75" s="2313">
        <f t="shared" si="21"/>
        <v>3.7000000000000002E-3</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7" t="s">
        <v>1018</v>
      </c>
      <c r="B76" s="2263" t="str">
        <f>估价对象房地状况!C20</f>
        <v>一般</v>
      </c>
      <c r="C76" s="1139"/>
      <c r="D76" s="2269">
        <f t="shared" si="20"/>
        <v>0</v>
      </c>
      <c r="E76" s="2297"/>
      <c r="F76" s="2298"/>
      <c r="G76" s="2270"/>
      <c r="H76" s="2313">
        <f t="shared" si="21"/>
        <v>1.12E-2</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1025</v>
      </c>
      <c r="B77" s="1761"/>
      <c r="C77" s="1139"/>
      <c r="D77" s="2269">
        <f t="shared" si="20"/>
        <v>0</v>
      </c>
      <c r="E77" s="2299"/>
      <c r="F77" s="2298"/>
      <c r="G77" s="2270"/>
      <c r="H77" s="2313">
        <f t="shared" si="21"/>
        <v>3.0000000000000001E-3</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1026</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1"/>
      <c r="AD79" s="1350"/>
      <c r="AJ79" s="1349"/>
      <c r="AN79" s="1350"/>
    </row>
    <row r="80" spans="1:40" ht="24">
      <c r="A80" s="1047" t="s">
        <v>1027</v>
      </c>
      <c r="B80" s="2260">
        <f>估价对象房地状况!G15</f>
        <v>0</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14.25">
      <c r="A81" s="1047" t="s">
        <v>1023</v>
      </c>
      <c r="B81" s="2260">
        <f>估价对象房地状况!G16</f>
        <v>0</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1012</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7" t="s">
        <v>1024</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1016</v>
      </c>
      <c r="B84" s="2261">
        <f>估价对象房地状况!G19</f>
        <v>0</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1017</v>
      </c>
      <c r="B85" s="2261">
        <f>估价对象房地状况!G20</f>
        <v>0</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7" t="s">
        <v>1015</v>
      </c>
      <c r="B86" s="2779" t="s">
        <v>2882</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15" thickBot="1">
      <c r="A87" s="2293" t="s">
        <v>1028</v>
      </c>
      <c r="B87" s="2262">
        <f>估价对象房地状况!G18</f>
        <v>0</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711" t="s">
        <v>1623</v>
      </c>
      <c r="B90" s="3711"/>
      <c r="C90" s="3711"/>
      <c r="D90" s="3711"/>
      <c r="E90" s="3711"/>
      <c r="F90" s="3711"/>
      <c r="G90" s="3711"/>
      <c r="H90" s="3711"/>
      <c r="I90" s="3711"/>
      <c r="J90" s="3711"/>
      <c r="K90" s="2302"/>
      <c r="L90" s="2302"/>
      <c r="M90" s="2302"/>
      <c r="N90" s="2302"/>
    </row>
    <row r="91" spans="1:40">
      <c r="A91" s="3712" t="s">
        <v>1433</v>
      </c>
      <c r="B91" s="3712" t="s">
        <v>1624</v>
      </c>
      <c r="C91" s="1120" t="s">
        <v>1625</v>
      </c>
      <c r="D91" s="1121"/>
      <c r="E91" s="1121"/>
      <c r="F91" s="1121"/>
      <c r="G91" s="1121"/>
      <c r="H91" s="1121"/>
      <c r="I91" s="1121"/>
      <c r="J91" s="1122"/>
      <c r="K91" s="1114"/>
      <c r="L91" s="1114"/>
      <c r="M91" s="1114"/>
      <c r="N91" s="1114"/>
    </row>
    <row r="92" spans="1:40">
      <c r="A92" s="3712"/>
      <c r="B92" s="3712"/>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695"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96"/>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96"/>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96"/>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96"/>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96"/>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96"/>
      <c r="B99" s="1123" t="s">
        <v>1626</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97"/>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95" t="s">
        <v>1627</v>
      </c>
      <c r="B101" s="1127" t="s">
        <v>896</v>
      </c>
      <c r="C101" s="1128">
        <f>$G$3</f>
        <v>1.8</v>
      </c>
      <c r="D101" s="1128">
        <f t="shared" ref="D101:N101" si="31">$G$3</f>
        <v>1.8</v>
      </c>
      <c r="E101" s="1128">
        <f t="shared" si="31"/>
        <v>1.8</v>
      </c>
      <c r="F101" s="1128">
        <f t="shared" si="31"/>
        <v>1.8</v>
      </c>
      <c r="G101" s="1128">
        <f t="shared" si="31"/>
        <v>1.8</v>
      </c>
      <c r="H101" s="1128">
        <f t="shared" si="31"/>
        <v>1.8</v>
      </c>
      <c r="I101" s="1128">
        <f t="shared" si="31"/>
        <v>1.8</v>
      </c>
      <c r="J101" s="1128">
        <f t="shared" si="31"/>
        <v>1.8</v>
      </c>
      <c r="K101" s="1128">
        <f t="shared" si="31"/>
        <v>1.8</v>
      </c>
      <c r="L101" s="1128">
        <f t="shared" si="31"/>
        <v>1.8</v>
      </c>
      <c r="M101" s="1128">
        <f t="shared" si="31"/>
        <v>1.8</v>
      </c>
      <c r="N101" s="1128">
        <f t="shared" si="31"/>
        <v>1.8</v>
      </c>
    </row>
    <row r="102" spans="1:14">
      <c r="A102" s="3696"/>
      <c r="B102" s="1123">
        <v>1</v>
      </c>
      <c r="C102" s="1124">
        <f>1.9362/C101</f>
        <v>1.0756666666666665</v>
      </c>
      <c r="D102" s="1124">
        <f>1.9362/D101</f>
        <v>1.0756666666666665</v>
      </c>
      <c r="E102" s="1124">
        <f>1.8629/E101</f>
        <v>1.0349444444444444</v>
      </c>
      <c r="F102" s="1124">
        <f>1.8629/F101</f>
        <v>1.0349444444444444</v>
      </c>
      <c r="G102" s="1124">
        <f>1.8629/G101</f>
        <v>1.0349444444444444</v>
      </c>
      <c r="H102" s="1124">
        <f>1.8629/H101</f>
        <v>1.0349444444444444</v>
      </c>
      <c r="I102" s="1124">
        <f>1.8629/I101</f>
        <v>1.0349444444444444</v>
      </c>
      <c r="J102" s="1124">
        <f>1.942/J101</f>
        <v>1.0788888888888888</v>
      </c>
      <c r="K102" s="1124">
        <f>1.942/K101</f>
        <v>1.0788888888888888</v>
      </c>
      <c r="L102" s="1124">
        <f>1.942/L101</f>
        <v>1.0788888888888888</v>
      </c>
      <c r="M102" s="1124">
        <f>1.942/M101</f>
        <v>1.0788888888888888</v>
      </c>
      <c r="N102" s="1124">
        <f>1.942/N101</f>
        <v>1.0788888888888888</v>
      </c>
    </row>
    <row r="103" spans="1:14">
      <c r="A103" s="3696"/>
      <c r="B103" s="1123">
        <v>2</v>
      </c>
      <c r="C103" s="1124">
        <f>1.4198/C101</f>
        <v>0.78877777777777769</v>
      </c>
      <c r="D103" s="1124">
        <f>1.4198/D101</f>
        <v>0.78877777777777769</v>
      </c>
      <c r="E103" s="1124">
        <f>1.3372/E101</f>
        <v>0.74288888888888882</v>
      </c>
      <c r="F103" s="1124">
        <f>1.3372/F101</f>
        <v>0.74288888888888882</v>
      </c>
      <c r="G103" s="1124">
        <f>1.3372/G101</f>
        <v>0.74288888888888882</v>
      </c>
      <c r="H103" s="1124">
        <f>1.3372/H101</f>
        <v>0.74288888888888882</v>
      </c>
      <c r="I103" s="1124">
        <f>1.3372/I101</f>
        <v>0.74288888888888882</v>
      </c>
      <c r="J103" s="1124">
        <f>1.2799/J101</f>
        <v>0.71105555555555555</v>
      </c>
      <c r="K103" s="1124">
        <f>1.2799/K101</f>
        <v>0.71105555555555555</v>
      </c>
      <c r="L103" s="1124">
        <f>1.2799/L101</f>
        <v>0.71105555555555555</v>
      </c>
      <c r="M103" s="1124">
        <f>1.2799/M101</f>
        <v>0.71105555555555555</v>
      </c>
      <c r="N103" s="1124">
        <f>1.2799/N101</f>
        <v>0.71105555555555555</v>
      </c>
    </row>
    <row r="104" spans="1:14">
      <c r="A104" s="3696"/>
      <c r="B104" s="1123">
        <v>3</v>
      </c>
      <c r="C104" s="1124">
        <f>1.1594/C101</f>
        <v>0.64411111111111108</v>
      </c>
      <c r="D104" s="1124">
        <f>1.1594/D101</f>
        <v>0.64411111111111108</v>
      </c>
      <c r="E104" s="1124">
        <f>1.0788/E101</f>
        <v>0.59933333333333327</v>
      </c>
      <c r="F104" s="1124">
        <f>1.0788/F101</f>
        <v>0.59933333333333327</v>
      </c>
      <c r="G104" s="1124">
        <f>1.0788/G101</f>
        <v>0.59933333333333327</v>
      </c>
      <c r="H104" s="1124">
        <f>1.0788/H101</f>
        <v>0.59933333333333327</v>
      </c>
      <c r="I104" s="1124">
        <f>1.0788/I101</f>
        <v>0.59933333333333327</v>
      </c>
      <c r="J104" s="1124">
        <f>1.0072/J101</f>
        <v>0.55955555555555558</v>
      </c>
      <c r="K104" s="1124">
        <f>1.0072/K101</f>
        <v>0.55955555555555558</v>
      </c>
      <c r="L104" s="1124">
        <f>1.0072/L101</f>
        <v>0.55955555555555558</v>
      </c>
      <c r="M104" s="1124">
        <f>1.0072/M101</f>
        <v>0.55955555555555558</v>
      </c>
      <c r="N104" s="1124">
        <f>1.0072/N101</f>
        <v>0.55955555555555558</v>
      </c>
    </row>
    <row r="105" spans="1:14">
      <c r="A105" s="3696"/>
      <c r="B105" s="1123">
        <v>4</v>
      </c>
      <c r="C105" s="1124">
        <f>0.9622/C101</f>
        <v>0.53455555555555556</v>
      </c>
      <c r="D105" s="1124">
        <f>0.9622/D101</f>
        <v>0.53455555555555556</v>
      </c>
      <c r="E105" s="1124">
        <f>0.8656/E101</f>
        <v>0.48088888888888892</v>
      </c>
      <c r="F105" s="1124">
        <f>0.8656/F101</f>
        <v>0.48088888888888892</v>
      </c>
      <c r="G105" s="1124">
        <f>0.8656/G101</f>
        <v>0.48088888888888892</v>
      </c>
      <c r="H105" s="1124">
        <f>0.8656/H101</f>
        <v>0.48088888888888892</v>
      </c>
      <c r="I105" s="1124">
        <f>0.8656/I101</f>
        <v>0.48088888888888892</v>
      </c>
      <c r="J105" s="1124">
        <f>0.7525/J101</f>
        <v>0.41805555555555551</v>
      </c>
      <c r="K105" s="1124">
        <f>0.7525/K101</f>
        <v>0.41805555555555551</v>
      </c>
      <c r="L105" s="1124">
        <f>0.7525/L101</f>
        <v>0.41805555555555551</v>
      </c>
      <c r="M105" s="1124">
        <f>0.7525/M101</f>
        <v>0.41805555555555551</v>
      </c>
      <c r="N105" s="1124">
        <f>0.7525/N101</f>
        <v>0.41805555555555551</v>
      </c>
    </row>
    <row r="106" spans="1:14">
      <c r="A106" s="3696"/>
      <c r="B106" s="1123">
        <v>5</v>
      </c>
      <c r="C106" s="1124">
        <f>0.8417/C101</f>
        <v>0.46761111111111109</v>
      </c>
      <c r="D106" s="1124">
        <f>0.8417/D101</f>
        <v>0.46761111111111109</v>
      </c>
      <c r="E106" s="1124">
        <f>0.7371/E101</f>
        <v>0.40949999999999998</v>
      </c>
      <c r="F106" s="1124">
        <f>0.7371/F101</f>
        <v>0.40949999999999998</v>
      </c>
      <c r="G106" s="1124">
        <f>0.7371/G101</f>
        <v>0.40949999999999998</v>
      </c>
      <c r="H106" s="1124">
        <f>0.7371/H101</f>
        <v>0.40949999999999998</v>
      </c>
      <c r="I106" s="1124">
        <f>0.7371/I101</f>
        <v>0.40949999999999998</v>
      </c>
      <c r="J106" s="1124">
        <f>0.5659/J101</f>
        <v>0.31438888888888888</v>
      </c>
      <c r="K106" s="1124">
        <f>0.5659/K101</f>
        <v>0.31438888888888888</v>
      </c>
      <c r="L106" s="1124">
        <f>0.5659/L101</f>
        <v>0.31438888888888888</v>
      </c>
      <c r="M106" s="1124">
        <f>0.5659/M101</f>
        <v>0.31438888888888888</v>
      </c>
      <c r="N106" s="1124">
        <f>0.5659/N101</f>
        <v>0.31438888888888888</v>
      </c>
    </row>
    <row r="107" spans="1:14">
      <c r="A107" s="3696"/>
      <c r="B107" s="1123">
        <v>6</v>
      </c>
      <c r="C107" s="1124">
        <f>0.7608/C101</f>
        <v>0.42266666666666669</v>
      </c>
      <c r="D107" s="1124">
        <f>0.7608/D101</f>
        <v>0.42266666666666669</v>
      </c>
      <c r="E107" s="1124">
        <f>0.6482/E101</f>
        <v>0.3601111111111111</v>
      </c>
      <c r="F107" s="1124">
        <f>0.6482/F101</f>
        <v>0.3601111111111111</v>
      </c>
      <c r="G107" s="1124">
        <f>0.6482/G101</f>
        <v>0.3601111111111111</v>
      </c>
      <c r="H107" s="1124">
        <f>0.6482/H101</f>
        <v>0.3601111111111111</v>
      </c>
      <c r="I107" s="1124">
        <f>0.6482/I101</f>
        <v>0.3601111111111111</v>
      </c>
      <c r="J107" s="1124">
        <f>0.4525/J101</f>
        <v>0.25138888888888888</v>
      </c>
      <c r="K107" s="1124">
        <f>0.4525/K101</f>
        <v>0.25138888888888888</v>
      </c>
      <c r="L107" s="1124">
        <f>0.4525/L101</f>
        <v>0.25138888888888888</v>
      </c>
      <c r="M107" s="1124">
        <f>0.4525/M101</f>
        <v>0.25138888888888888</v>
      </c>
      <c r="N107" s="1124">
        <f>0.4525/N101</f>
        <v>0.25138888888888888</v>
      </c>
    </row>
    <row r="108" spans="1:14">
      <c r="A108" s="3696"/>
      <c r="B108" s="3698" t="s">
        <v>1628</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97"/>
      <c r="B109" s="3699"/>
      <c r="C109" s="1126">
        <f>(-0.163*(C108^2)-0.59*C108+7617)*(10^(-4))/C101</f>
        <v>0.42232488888888886</v>
      </c>
      <c r="D109" s="1126">
        <f>(-0.163*(D108^2)-0.59*D108+7617)*(10^(-4))/D101</f>
        <v>0.42232488888888886</v>
      </c>
      <c r="E109" s="1126">
        <f>(-0.161*(E108^2)-7.509*E108+6533)*(10^(-4))/E101</f>
        <v>0.35903466666666667</v>
      </c>
      <c r="F109" s="1126">
        <f>(-0.161*(F108^2)-7.509*F108+6533)*(10^(-4))/F101</f>
        <v>0.35903466666666667</v>
      </c>
      <c r="G109" s="1126">
        <f>(-0.161*(G108^2)-7.509*G108+6533)*(10^(-4))/G101</f>
        <v>0.35903466666666667</v>
      </c>
      <c r="H109" s="1126">
        <f>(-0.161*(H108^2)-7.509*H108+6533)*(10^(-4))/H101</f>
        <v>0.35903466666666667</v>
      </c>
      <c r="I109" s="1126">
        <f>(-0.161*(I108^2)-7.509*I108+6533)*(10^(-4))/I101</f>
        <v>0.35903466666666667</v>
      </c>
      <c r="J109" s="1126">
        <f>(-0.214*(J108^2)-21.991*J108+4665)*(10^(-4))/J101</f>
        <v>0.24863200000000002</v>
      </c>
      <c r="K109" s="1126">
        <f>(-0.214*(K108^2)-21.991*K108+4665)*(10^(-4))/K101</f>
        <v>0.24863200000000002</v>
      </c>
      <c r="L109" s="1126">
        <f>(-0.214*(L108^2)-21.991*L108+4665)*(10^(-4))/L101</f>
        <v>0.24863200000000002</v>
      </c>
      <c r="M109" s="1126">
        <f>(-0.214*(M108^2)-21.991*M108+4665)*(10^(-4))/M101</f>
        <v>0.24863200000000002</v>
      </c>
      <c r="N109" s="1126">
        <f>(-0.214*(N108^2)-21.991*N108+4665)*(10^(-4))/N101</f>
        <v>0.24863200000000002</v>
      </c>
    </row>
    <row r="110" spans="1:14">
      <c r="A110" s="3705" t="s">
        <v>1629</v>
      </c>
      <c r="B110" s="3705"/>
      <c r="C110" s="3705"/>
      <c r="D110" s="3705"/>
      <c r="E110" s="3705"/>
      <c r="F110" s="3705"/>
      <c r="G110" s="3705"/>
      <c r="H110" s="3705"/>
      <c r="I110" s="3705"/>
      <c r="J110" s="3705"/>
      <c r="K110" s="2300"/>
      <c r="L110" s="2300"/>
      <c r="M110" s="2300"/>
      <c r="N110" s="2300"/>
    </row>
    <row r="112" spans="1:14" ht="12.75" thickBot="1"/>
    <row r="113" spans="1:13" ht="25.5" thickBot="1">
      <c r="A113" s="1000" t="s">
        <v>886</v>
      </c>
      <c r="B113" s="2303">
        <f>G3</f>
        <v>1.8</v>
      </c>
      <c r="C113" s="1001" t="s">
        <v>887</v>
      </c>
      <c r="D113" s="1002">
        <f>SUMPRODUCT((A115:A118=F113)*(B114:M114=H113)*B115:M118)</f>
        <v>0.72409999999999997</v>
      </c>
      <c r="E113" s="1003" t="s">
        <v>888</v>
      </c>
      <c r="F113" s="1004" t="str">
        <f>E2</f>
        <v>住宅</v>
      </c>
      <c r="G113" s="1003" t="s">
        <v>889</v>
      </c>
      <c r="H113" s="1004" t="str">
        <f>G2</f>
        <v>九级</v>
      </c>
      <c r="I113" s="1003"/>
      <c r="J113" s="995"/>
      <c r="K113" s="995"/>
      <c r="L113" s="995"/>
      <c r="M113" s="995"/>
    </row>
    <row r="114" spans="1:13" ht="12.75">
      <c r="A114" s="1007"/>
      <c r="B114" s="1008" t="s">
        <v>874</v>
      </c>
      <c r="C114" s="1008" t="s">
        <v>875</v>
      </c>
      <c r="D114" s="1008" t="s">
        <v>876</v>
      </c>
      <c r="E114" s="1009" t="s">
        <v>877</v>
      </c>
      <c r="F114" s="1009" t="s">
        <v>878</v>
      </c>
      <c r="G114" s="1009" t="s">
        <v>879</v>
      </c>
      <c r="H114" s="1010" t="s">
        <v>880</v>
      </c>
      <c r="I114" s="1010" t="s">
        <v>881</v>
      </c>
      <c r="J114" s="1011" t="s">
        <v>882</v>
      </c>
      <c r="K114" s="1011" t="s">
        <v>883</v>
      </c>
      <c r="L114" s="1011" t="s">
        <v>884</v>
      </c>
      <c r="M114" s="1012" t="s">
        <v>885</v>
      </c>
    </row>
    <row r="115" spans="1:13" ht="12.75">
      <c r="A115" s="1013" t="s">
        <v>890</v>
      </c>
      <c r="B115" s="1014">
        <f>ROUND(0.9335-0.0094*B113,4)</f>
        <v>0.91659999999999997</v>
      </c>
      <c r="C115" s="1014">
        <f>B115</f>
        <v>0.91659999999999997</v>
      </c>
      <c r="D115" s="1014">
        <f>ROUND(0.8331-0.0109*B113,4)</f>
        <v>0.8135</v>
      </c>
      <c r="E115" s="1014">
        <f>D115</f>
        <v>0.8135</v>
      </c>
      <c r="F115" s="1014">
        <f>E115</f>
        <v>0.8135</v>
      </c>
      <c r="G115" s="1014">
        <f>F115</f>
        <v>0.8135</v>
      </c>
      <c r="H115" s="1014">
        <f>G115</f>
        <v>0.8135</v>
      </c>
      <c r="I115" s="1014">
        <f>ROUND(0.689-0.0155*B113,4)</f>
        <v>0.66110000000000002</v>
      </c>
      <c r="J115" s="1014">
        <f t="shared" ref="J115:M118" si="33">I115</f>
        <v>0.66110000000000002</v>
      </c>
      <c r="K115" s="1014">
        <f t="shared" si="33"/>
        <v>0.66110000000000002</v>
      </c>
      <c r="L115" s="1014">
        <f t="shared" si="33"/>
        <v>0.66110000000000002</v>
      </c>
      <c r="M115" s="1015">
        <f t="shared" si="33"/>
        <v>0.66110000000000002</v>
      </c>
    </row>
    <row r="116" spans="1:13" ht="12.75">
      <c r="A116" s="1013" t="s">
        <v>891</v>
      </c>
      <c r="B116" s="1014">
        <f>ROUND(0.949-0.012*B113,4)</f>
        <v>0.9274</v>
      </c>
      <c r="C116" s="1014">
        <f>B116</f>
        <v>0.9274</v>
      </c>
      <c r="D116" s="1014">
        <f>ROUND(0.8567-0.013*B113,4)</f>
        <v>0.83330000000000004</v>
      </c>
      <c r="E116" s="1014">
        <f t="shared" ref="E116:H117" si="34">D116</f>
        <v>0.83330000000000004</v>
      </c>
      <c r="F116" s="1014">
        <f t="shared" si="34"/>
        <v>0.83330000000000004</v>
      </c>
      <c r="G116" s="1014">
        <f t="shared" si="34"/>
        <v>0.83330000000000004</v>
      </c>
      <c r="H116" s="1014">
        <f t="shared" si="34"/>
        <v>0.83330000000000004</v>
      </c>
      <c r="I116" s="1014">
        <f>ROUND(0.7694-0.014*B113,4)</f>
        <v>0.74419999999999997</v>
      </c>
      <c r="J116" s="1014">
        <f t="shared" si="33"/>
        <v>0.74419999999999997</v>
      </c>
      <c r="K116" s="1014">
        <f t="shared" si="33"/>
        <v>0.74419999999999997</v>
      </c>
      <c r="L116" s="1014">
        <f t="shared" si="33"/>
        <v>0.74419999999999997</v>
      </c>
      <c r="M116" s="1015">
        <f t="shared" si="33"/>
        <v>0.74419999999999997</v>
      </c>
    </row>
    <row r="117" spans="1:13" ht="12.75">
      <c r="A117" s="1016" t="s">
        <v>892</v>
      </c>
      <c r="B117" s="1014">
        <f>ROUND(0.8808-0.006*B113,4)</f>
        <v>0.87</v>
      </c>
      <c r="C117" s="1014">
        <f>B117</f>
        <v>0.87</v>
      </c>
      <c r="D117" s="1014">
        <f>ROUND(0.8748-0.008*B113,4)</f>
        <v>0.86040000000000005</v>
      </c>
      <c r="E117" s="1014">
        <f t="shared" si="34"/>
        <v>0.86040000000000005</v>
      </c>
      <c r="F117" s="1014">
        <f t="shared" si="34"/>
        <v>0.86040000000000005</v>
      </c>
      <c r="G117" s="1014">
        <f t="shared" si="34"/>
        <v>0.86040000000000005</v>
      </c>
      <c r="H117" s="1014">
        <f t="shared" si="34"/>
        <v>0.86040000000000005</v>
      </c>
      <c r="I117" s="1014">
        <f>ROUND(0.7412-0.0095*B113,4)</f>
        <v>0.72409999999999997</v>
      </c>
      <c r="J117" s="1014">
        <f t="shared" si="33"/>
        <v>0.72409999999999997</v>
      </c>
      <c r="K117" s="1014">
        <f t="shared" si="33"/>
        <v>0.72409999999999997</v>
      </c>
      <c r="L117" s="1014">
        <f t="shared" si="33"/>
        <v>0.72409999999999997</v>
      </c>
      <c r="M117" s="1015">
        <f t="shared" si="33"/>
        <v>0.72409999999999997</v>
      </c>
    </row>
    <row r="118" spans="1:13" ht="13.5" thickBot="1">
      <c r="A118" s="1017" t="s">
        <v>893</v>
      </c>
      <c r="B118" s="1018">
        <f>ROUND(0.7275-0.01*B113,4)</f>
        <v>0.70950000000000002</v>
      </c>
      <c r="C118" s="1018">
        <f>B118</f>
        <v>0.70950000000000002</v>
      </c>
      <c r="D118" s="1018">
        <f>ROUND(0.7043-0.012*B113,4)</f>
        <v>0.68269999999999997</v>
      </c>
      <c r="E118" s="1018">
        <f>D118</f>
        <v>0.68269999999999997</v>
      </c>
      <c r="F118" s="1018">
        <f>E118</f>
        <v>0.68269999999999997</v>
      </c>
      <c r="G118" s="1018">
        <f>ROUND(0.6299-0.0122*B113,4)</f>
        <v>0.6079</v>
      </c>
      <c r="H118" s="1018">
        <f>G118</f>
        <v>0.6079</v>
      </c>
      <c r="I118" s="1018">
        <f>ROUND(0.5667-0.0136*B113,4)</f>
        <v>0.54220000000000002</v>
      </c>
      <c r="J118" s="1018">
        <f t="shared" si="33"/>
        <v>0.54220000000000002</v>
      </c>
      <c r="K118" s="1018">
        <f t="shared" si="33"/>
        <v>0.54220000000000002</v>
      </c>
      <c r="L118" s="1018">
        <f t="shared" si="33"/>
        <v>0.54220000000000002</v>
      </c>
      <c r="M118" s="1019">
        <f t="shared" si="33"/>
        <v>0.54220000000000002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78" priority="5" stopIfTrue="1" operator="notEqual">
      <formula>"——"</formula>
    </cfRule>
  </conditionalFormatting>
  <conditionalFormatting sqref="F58">
    <cfRule type="cellIs" dxfId="77" priority="4" stopIfTrue="1" operator="notEqual">
      <formula>"——"</formula>
    </cfRule>
  </conditionalFormatting>
  <conditionalFormatting sqref="F69">
    <cfRule type="cellIs" dxfId="76" priority="3" stopIfTrue="1" operator="notEqual">
      <formula>"——"</formula>
    </cfRule>
  </conditionalFormatting>
  <conditionalFormatting sqref="F80">
    <cfRule type="cellIs" dxfId="75" priority="2" stopIfTrue="1" operator="notEqual">
      <formula>"——"</formula>
    </cfRule>
  </conditionalFormatting>
  <conditionalFormatting sqref="H58:H66 H47:H55 H69:H77 H80:H87">
    <cfRule type="cellIs" dxfId="74" priority="1" operator="notEqual">
      <formula>"——"</formula>
    </cfRule>
  </conditionalFormatting>
  <dataValidations count="11">
    <dataValidation type="list" allowBlank="1" showInputMessage="1" showErrorMessage="1" sqref="E2" xr:uid="{00000000-0002-0000-2000-000000000000}">
      <formula1>"商业,办公,住宅,工业"</formula1>
    </dataValidation>
    <dataValidation type="list" allowBlank="1" showInputMessage="1" showErrorMessage="1" sqref="F17" xr:uid="{00000000-0002-0000-2000-000001000000}">
      <formula1>"与级别开发程度一致,与级别开发程度不一致"</formula1>
    </dataValidation>
    <dataValidation type="list" allowBlank="1" showInputMessage="1" showErrorMessage="1" sqref="B21" xr:uid="{00000000-0002-0000-2000-000002000000}">
      <formula1>"容积率修正,楼层修正"</formula1>
    </dataValidation>
    <dataValidation type="list" allowBlank="1" showInputMessage="1" showErrorMessage="1" sqref="C14:E14" xr:uid="{00000000-0002-0000-2000-000003000000}">
      <formula1>"有,无"</formula1>
    </dataValidation>
    <dataValidation type="list" allowBlank="1" showInputMessage="1" showErrorMessage="1" sqref="F14" xr:uid="{00000000-0002-0000-2000-000004000000}">
      <formula1>"500米范围内,500-1000米,1000米以外"</formula1>
    </dataValidation>
    <dataValidation type="list" allowBlank="1" showInputMessage="1" showErrorMessage="1" sqref="H19" xr:uid="{00000000-0002-0000-2000-000005000000}">
      <formula1>"地价指数,季度增幅（自定义）,按公示增长率计算"</formula1>
    </dataValidation>
    <dataValidation type="list" allowBlank="1" showInputMessage="1" showErrorMessage="1" sqref="F3" xr:uid="{00000000-0002-0000-2000-000006000000}">
      <formula1>"宗地容积率,估价对象容积率,自定义容积率"</formula1>
    </dataValidation>
    <dataValidation type="list" allowBlank="1" showInputMessage="1" showErrorMessage="1" sqref="C8" xr:uid="{00000000-0002-0000-2000-000007000000}">
      <formula1>商业街名称</formula1>
    </dataValidation>
    <dataValidation type="list" allowBlank="1" showInputMessage="1" showErrorMessage="1" sqref="E3" xr:uid="{00000000-0002-0000-2000-000008000000}">
      <formula1>二级分类</formula1>
    </dataValidation>
    <dataValidation type="list" allowBlank="1" showInputMessage="1" showErrorMessage="1" sqref="C69:C77 C80:C87 C47:C55 C58:C66" xr:uid="{00000000-0002-0000-2000-000009000000}">
      <formula1>五等判定</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1421</v>
      </c>
      <c r="B1" s="1052" t="s">
        <v>897</v>
      </c>
      <c r="C1" s="1052" t="s">
        <v>898</v>
      </c>
      <c r="D1" s="1052" t="s">
        <v>899</v>
      </c>
      <c r="E1" s="1052" t="s">
        <v>900</v>
      </c>
      <c r="F1" s="1052" t="s">
        <v>901</v>
      </c>
      <c r="G1" s="1052" t="s">
        <v>902</v>
      </c>
      <c r="H1" s="1052" t="s">
        <v>903</v>
      </c>
      <c r="I1" s="1052" t="s">
        <v>904</v>
      </c>
      <c r="J1" s="1052" t="s">
        <v>905</v>
      </c>
      <c r="K1" s="1052" t="s">
        <v>906</v>
      </c>
      <c r="L1" s="1052" t="s">
        <v>907</v>
      </c>
      <c r="M1" s="1053" t="s">
        <v>908</v>
      </c>
    </row>
    <row r="2" spans="1:13" ht="19.5" customHeight="1">
      <c r="A2" s="1087" t="s">
        <v>997</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1019</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1021</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1422</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1423</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1424</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1425</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1426</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1427</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1428</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1429</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1430</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1431</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0" t="s">
        <v>2930</v>
      </c>
      <c r="B15" s="2786">
        <f>SUM(B6:B13)</f>
        <v>375</v>
      </c>
      <c r="C15" s="2786">
        <f t="shared" ref="C15:H15" si="0">SUM(C6:C13)</f>
        <v>375</v>
      </c>
      <c r="D15" s="2786">
        <f t="shared" si="0"/>
        <v>300</v>
      </c>
      <c r="E15" s="2786">
        <f t="shared" si="0"/>
        <v>300</v>
      </c>
      <c r="F15" s="2786">
        <f t="shared" si="0"/>
        <v>300</v>
      </c>
      <c r="G15" s="2786">
        <f t="shared" si="0"/>
        <v>300</v>
      </c>
      <c r="H15" s="2786">
        <f t="shared" si="0"/>
        <v>300</v>
      </c>
      <c r="I15" s="2786">
        <f>SUM(I6:I10,I13)</f>
        <v>155</v>
      </c>
      <c r="J15" s="2786">
        <f t="shared" ref="J15:M15" si="1">SUM(J6:J10,J13)</f>
        <v>155</v>
      </c>
      <c r="K15" s="2786">
        <f t="shared" si="1"/>
        <v>155</v>
      </c>
      <c r="L15" s="2786">
        <f t="shared" si="1"/>
        <v>155</v>
      </c>
      <c r="M15" s="2786">
        <f t="shared" si="1"/>
        <v>155</v>
      </c>
    </row>
    <row r="16" spans="1:13" ht="19.5" customHeight="1">
      <c r="A16" s="1106" t="s">
        <v>1432</v>
      </c>
      <c r="B16" s="1106"/>
      <c r="C16" s="1107"/>
      <c r="D16" s="1107"/>
      <c r="E16" s="1106"/>
      <c r="F16" s="1107"/>
      <c r="G16" s="1107"/>
    </row>
    <row r="17" spans="1:9" ht="19.5" customHeight="1">
      <c r="A17" s="1048" t="s">
        <v>1433</v>
      </c>
      <c r="B17" s="1108" t="s">
        <v>1434</v>
      </c>
      <c r="C17" s="1108" t="s">
        <v>1633</v>
      </c>
      <c r="D17" s="1109"/>
      <c r="E17" s="1048" t="s">
        <v>1435</v>
      </c>
      <c r="F17" s="1110"/>
      <c r="G17" s="1110"/>
    </row>
    <row r="18" spans="1:9" s="1527" customFormat="1" ht="19.5" customHeight="1">
      <c r="A18" s="3712" t="s">
        <v>997</v>
      </c>
      <c r="B18" s="1134" t="s">
        <v>1436</v>
      </c>
      <c r="C18" s="1111" t="s">
        <v>1437</v>
      </c>
      <c r="D18" s="1112"/>
      <c r="E18" s="1134">
        <v>1</v>
      </c>
      <c r="F18" s="1113" t="s">
        <v>1438</v>
      </c>
      <c r="G18" s="1114"/>
      <c r="H18" s="1085"/>
      <c r="I18" s="1085"/>
    </row>
    <row r="19" spans="1:9" s="1527" customFormat="1" ht="19.5" customHeight="1">
      <c r="A19" s="3712"/>
      <c r="B19" s="3712" t="s">
        <v>1439</v>
      </c>
      <c r="C19" s="1111" t="s">
        <v>1440</v>
      </c>
      <c r="D19" s="1112"/>
      <c r="E19" s="1134">
        <v>0.9</v>
      </c>
      <c r="F19" s="1113" t="s">
        <v>1441</v>
      </c>
      <c r="G19" s="1114"/>
      <c r="H19" s="1085"/>
      <c r="I19" s="1085"/>
    </row>
    <row r="20" spans="1:9" s="1527" customFormat="1" ht="19.5" customHeight="1">
      <c r="A20" s="3712"/>
      <c r="B20" s="3712"/>
      <c r="C20" s="1111" t="s">
        <v>1442</v>
      </c>
      <c r="D20" s="1112"/>
      <c r="E20" s="1134">
        <v>1.1000000000000001</v>
      </c>
      <c r="F20" s="1113" t="s">
        <v>1443</v>
      </c>
      <c r="G20" s="1114"/>
      <c r="H20" s="1085"/>
      <c r="I20" s="1085"/>
    </row>
    <row r="21" spans="1:9" s="1527" customFormat="1" ht="19.5" customHeight="1">
      <c r="A21" s="3712"/>
      <c r="B21" s="3712"/>
      <c r="C21" s="1111" t="s">
        <v>1444</v>
      </c>
      <c r="D21" s="1112"/>
      <c r="E21" s="1134">
        <v>0.8</v>
      </c>
      <c r="F21" s="1113" t="s">
        <v>1445</v>
      </c>
      <c r="G21" s="1114"/>
      <c r="H21" s="1085"/>
      <c r="I21" s="1085"/>
    </row>
    <row r="22" spans="1:9" s="1527" customFormat="1" ht="19.5" customHeight="1">
      <c r="A22" s="3712"/>
      <c r="B22" s="3712"/>
      <c r="C22" s="1111" t="s">
        <v>1446</v>
      </c>
      <c r="D22" s="1112"/>
      <c r="E22" s="1134">
        <v>0.5</v>
      </c>
      <c r="F22" s="1113"/>
      <c r="G22" s="1114"/>
      <c r="H22" s="1085"/>
      <c r="I22" s="1085"/>
    </row>
    <row r="23" spans="1:9" s="1527" customFormat="1" ht="19.5" customHeight="1">
      <c r="A23" s="3712" t="s">
        <v>1019</v>
      </c>
      <c r="B23" s="1134" t="s">
        <v>1436</v>
      </c>
      <c r="C23" s="1111" t="s">
        <v>1447</v>
      </c>
      <c r="D23" s="1112"/>
      <c r="E23" s="1134">
        <v>1</v>
      </c>
      <c r="F23" s="1113" t="s">
        <v>1448</v>
      </c>
      <c r="G23" s="1114"/>
      <c r="H23" s="1085"/>
      <c r="I23" s="1085"/>
    </row>
    <row r="24" spans="1:9" s="1527" customFormat="1" ht="19.5" customHeight="1">
      <c r="A24" s="3712"/>
      <c r="B24" s="3712" t="s">
        <v>1439</v>
      </c>
      <c r="C24" s="1111" t="s">
        <v>1449</v>
      </c>
      <c r="D24" s="1112"/>
      <c r="E24" s="1134">
        <v>0.5</v>
      </c>
      <c r="F24" s="1113"/>
      <c r="G24" s="1114"/>
      <c r="H24" s="1085"/>
      <c r="I24" s="1085"/>
    </row>
    <row r="25" spans="1:9" s="1527" customFormat="1" ht="19.5" customHeight="1">
      <c r="A25" s="3712"/>
      <c r="B25" s="3712"/>
      <c r="C25" s="1111" t="s">
        <v>1450</v>
      </c>
      <c r="D25" s="1112"/>
      <c r="E25" s="1134">
        <v>1.1000000000000001</v>
      </c>
      <c r="F25" s="1113"/>
      <c r="G25" s="1114"/>
      <c r="H25" s="1085"/>
      <c r="I25" s="1085"/>
    </row>
    <row r="26" spans="1:9" s="1527" customFormat="1" ht="19.5" customHeight="1">
      <c r="A26" s="3712"/>
      <c r="B26" s="3712"/>
      <c r="C26" s="1111" t="s">
        <v>1451</v>
      </c>
      <c r="D26" s="1112"/>
      <c r="E26" s="1134">
        <v>1.1000000000000001</v>
      </c>
      <c r="F26" s="1113"/>
      <c r="G26" s="1114"/>
      <c r="H26" s="1085"/>
      <c r="I26" s="1085"/>
    </row>
    <row r="27" spans="1:9" s="1527" customFormat="1" ht="19.5" customHeight="1">
      <c r="A27" s="3712"/>
      <c r="B27" s="3712"/>
      <c r="C27" s="1111" t="s">
        <v>1452</v>
      </c>
      <c r="D27" s="1112"/>
      <c r="E27" s="1134">
        <v>0.9</v>
      </c>
      <c r="F27" s="1113" t="s">
        <v>1453</v>
      </c>
      <c r="G27" s="1114"/>
      <c r="H27" s="1085"/>
      <c r="I27" s="1085"/>
    </row>
    <row r="28" spans="1:9" s="1527" customFormat="1" ht="19.5" customHeight="1">
      <c r="A28" s="3712"/>
      <c r="B28" s="3712"/>
      <c r="C28" s="1111" t="s">
        <v>1454</v>
      </c>
      <c r="D28" s="1112"/>
      <c r="E28" s="1134">
        <v>0.9</v>
      </c>
      <c r="F28" s="1113" t="s">
        <v>1455</v>
      </c>
      <c r="G28" s="1114"/>
      <c r="H28" s="1085"/>
      <c r="I28" s="1085"/>
    </row>
    <row r="29" spans="1:9" s="1527" customFormat="1" ht="19.5" customHeight="1">
      <c r="A29" s="3712"/>
      <c r="B29" s="3712"/>
      <c r="C29" s="1111" t="s">
        <v>1456</v>
      </c>
      <c r="D29" s="1112"/>
      <c r="E29" s="1134">
        <v>0.9</v>
      </c>
      <c r="F29" s="1113" t="s">
        <v>1457</v>
      </c>
      <c r="G29" s="1114"/>
      <c r="H29" s="1085"/>
      <c r="I29" s="1085"/>
    </row>
    <row r="30" spans="1:9" s="1527" customFormat="1" ht="19.5" customHeight="1">
      <c r="A30" s="3712"/>
      <c r="B30" s="3712"/>
      <c r="C30" s="1111" t="s">
        <v>1458</v>
      </c>
      <c r="D30" s="1112"/>
      <c r="E30" s="1134">
        <v>0.9</v>
      </c>
      <c r="F30" s="1113" t="s">
        <v>1459</v>
      </c>
      <c r="G30" s="1114"/>
      <c r="H30" s="1085"/>
      <c r="I30" s="1085"/>
    </row>
    <row r="31" spans="1:9" s="1527" customFormat="1" ht="19.5" customHeight="1">
      <c r="A31" s="3712"/>
      <c r="B31" s="3712"/>
      <c r="C31" s="1111" t="s">
        <v>1460</v>
      </c>
      <c r="D31" s="1112"/>
      <c r="E31" s="1134">
        <v>0.8</v>
      </c>
      <c r="F31" s="1113" t="s">
        <v>1461</v>
      </c>
      <c r="G31" s="1114"/>
      <c r="H31" s="1085"/>
      <c r="I31" s="1085"/>
    </row>
    <row r="32" spans="1:9" s="1527" customFormat="1" ht="19.5" customHeight="1">
      <c r="A32" s="3712"/>
      <c r="B32" s="3712"/>
      <c r="C32" s="1111" t="s">
        <v>1462</v>
      </c>
      <c r="D32" s="1112"/>
      <c r="E32" s="1134">
        <v>0.8</v>
      </c>
      <c r="F32" s="1113" t="s">
        <v>1463</v>
      </c>
      <c r="G32" s="1114"/>
      <c r="H32" s="1085"/>
      <c r="I32" s="1085"/>
    </row>
    <row r="33" spans="1:9" s="1527" customFormat="1" ht="19.5" customHeight="1">
      <c r="A33" s="3712" t="s">
        <v>1464</v>
      </c>
      <c r="B33" s="1134" t="s">
        <v>1436</v>
      </c>
      <c r="C33" s="1111" t="s">
        <v>1465</v>
      </c>
      <c r="D33" s="1112"/>
      <c r="E33" s="1134">
        <v>1</v>
      </c>
      <c r="F33" s="1113" t="s">
        <v>1466</v>
      </c>
      <c r="G33" s="1114"/>
      <c r="H33" s="1085"/>
      <c r="I33" s="1085"/>
    </row>
    <row r="34" spans="1:9" s="1527" customFormat="1" ht="19.5" customHeight="1">
      <c r="A34" s="3712"/>
      <c r="B34" s="1134" t="s">
        <v>1439</v>
      </c>
      <c r="C34" s="1111" t="s">
        <v>1467</v>
      </c>
      <c r="D34" s="1112"/>
      <c r="E34" s="1134">
        <v>1.5</v>
      </c>
      <c r="F34" s="1113" t="s">
        <v>1468</v>
      </c>
      <c r="G34" s="1114"/>
      <c r="H34" s="1085"/>
      <c r="I34" s="1085"/>
    </row>
    <row r="35" spans="1:9" s="1527" customFormat="1" ht="19.5" customHeight="1">
      <c r="A35" s="3712" t="s">
        <v>1422</v>
      </c>
      <c r="B35" s="1134" t="s">
        <v>1436</v>
      </c>
      <c r="C35" s="1111" t="s">
        <v>1469</v>
      </c>
      <c r="D35" s="1112"/>
      <c r="E35" s="1134">
        <v>1</v>
      </c>
      <c r="F35" s="1113" t="s">
        <v>1470</v>
      </c>
      <c r="G35" s="1114"/>
      <c r="H35" s="1085"/>
      <c r="I35" s="1085"/>
    </row>
    <row r="36" spans="1:9" s="1527" customFormat="1" ht="19.5" customHeight="1">
      <c r="A36" s="3712"/>
      <c r="B36" s="3712" t="s">
        <v>1439</v>
      </c>
      <c r="C36" s="1111" t="s">
        <v>1471</v>
      </c>
      <c r="D36" s="1112"/>
      <c r="E36" s="1134">
        <v>1</v>
      </c>
      <c r="F36" s="1113" t="s">
        <v>1472</v>
      </c>
      <c r="G36" s="1114"/>
      <c r="H36" s="1085"/>
      <c r="I36" s="1085"/>
    </row>
    <row r="37" spans="1:9" s="1527" customFormat="1" ht="19.5" customHeight="1">
      <c r="A37" s="3712"/>
      <c r="B37" s="3712"/>
      <c r="C37" s="1111" t="s">
        <v>1473</v>
      </c>
      <c r="D37" s="1112"/>
      <c r="E37" s="1134">
        <v>1.5</v>
      </c>
      <c r="F37" s="1113" t="s">
        <v>1474</v>
      </c>
      <c r="G37" s="1114"/>
      <c r="H37" s="1085"/>
      <c r="I37" s="1085"/>
    </row>
    <row r="38" spans="1:9" s="1527" customFormat="1" ht="19.5" customHeight="1">
      <c r="A38" s="3712"/>
      <c r="B38" s="3712"/>
      <c r="C38" s="1111" t="s">
        <v>1475</v>
      </c>
      <c r="D38" s="1112"/>
      <c r="E38" s="1134">
        <v>1</v>
      </c>
      <c r="F38" s="1113" t="s">
        <v>1476</v>
      </c>
      <c r="G38" s="1114"/>
      <c r="H38" s="1085"/>
      <c r="I38" s="1085"/>
    </row>
    <row r="39" spans="1:9" s="1527" customFormat="1" ht="19.5" customHeight="1">
      <c r="A39" s="3712"/>
      <c r="B39" s="3712"/>
      <c r="C39" s="1111" t="s">
        <v>1477</v>
      </c>
      <c r="D39" s="1112"/>
      <c r="E39" s="1134">
        <v>1</v>
      </c>
      <c r="F39" s="1113" t="s">
        <v>1478</v>
      </c>
      <c r="G39" s="1114"/>
      <c r="H39" s="1085"/>
      <c r="I39" s="1085"/>
    </row>
    <row r="40" spans="1:9" s="1527" customFormat="1" ht="19.5" customHeight="1">
      <c r="A40" s="1528" t="s">
        <v>1479</v>
      </c>
      <c r="B40" s="1528"/>
      <c r="C40" s="1528"/>
      <c r="D40" s="1528"/>
      <c r="E40" s="1528"/>
      <c r="F40" s="1113"/>
      <c r="G40" s="1113"/>
      <c r="H40" s="1085"/>
      <c r="I40" s="1085"/>
    </row>
    <row r="42" spans="1:9" ht="19.5" customHeight="1">
      <c r="A42" s="1115"/>
      <c r="B42" s="1048" t="s">
        <v>1480</v>
      </c>
      <c r="C42" s="1048" t="s">
        <v>1480</v>
      </c>
      <c r="D42" s="1048" t="s">
        <v>1480</v>
      </c>
      <c r="E42" s="1133" t="s">
        <v>1480</v>
      </c>
      <c r="F42" s="1133" t="s">
        <v>1480</v>
      </c>
      <c r="G42" s="1133" t="s">
        <v>1481</v>
      </c>
      <c r="H42" s="1133" t="s">
        <v>1480</v>
      </c>
    </row>
    <row r="43" spans="1:9" ht="19.5" customHeight="1">
      <c r="A43" s="1116"/>
      <c r="B43" s="1133" t="s">
        <v>997</v>
      </c>
      <c r="C43" s="1133" t="s">
        <v>997</v>
      </c>
      <c r="D43" s="1133" t="s">
        <v>997</v>
      </c>
      <c r="E43" s="1133" t="s">
        <v>997</v>
      </c>
      <c r="F43" s="1048" t="s">
        <v>1019</v>
      </c>
      <c r="G43" s="1048" t="s">
        <v>1422</v>
      </c>
      <c r="H43" s="1048" t="s">
        <v>1482</v>
      </c>
    </row>
    <row r="44" spans="1:9" ht="19.5" customHeight="1">
      <c r="A44" s="1117"/>
      <c r="B44" s="1048">
        <v>1</v>
      </c>
      <c r="C44" s="1048">
        <v>2</v>
      </c>
      <c r="D44" s="1048">
        <v>3</v>
      </c>
      <c r="E44" s="1133">
        <v>4</v>
      </c>
      <c r="F44" s="1109" t="s">
        <v>1483</v>
      </c>
      <c r="G44" s="1109" t="s">
        <v>1483</v>
      </c>
      <c r="H44" s="1109" t="s">
        <v>1483</v>
      </c>
    </row>
    <row r="45" spans="1:9" ht="19.5" customHeight="1">
      <c r="A45" s="1132" t="s">
        <v>897</v>
      </c>
      <c r="B45" s="1048">
        <v>0.8</v>
      </c>
      <c r="C45" s="1048">
        <v>0.5</v>
      </c>
      <c r="D45" s="1048">
        <v>0.36</v>
      </c>
      <c r="E45" s="1048">
        <v>0.3</v>
      </c>
      <c r="F45" s="1109">
        <v>0.3</v>
      </c>
      <c r="G45" s="1048">
        <v>0.3</v>
      </c>
      <c r="H45" s="1048">
        <v>0.25</v>
      </c>
    </row>
    <row r="46" spans="1:9" ht="19.5" customHeight="1">
      <c r="A46" s="1132" t="s">
        <v>898</v>
      </c>
      <c r="B46" s="1048">
        <v>0.8</v>
      </c>
      <c r="C46" s="1048">
        <v>0.5</v>
      </c>
      <c r="D46" s="1048">
        <v>0.36</v>
      </c>
      <c r="E46" s="1048">
        <v>0.3</v>
      </c>
      <c r="F46" s="1048">
        <v>0.3</v>
      </c>
      <c r="G46" s="1048">
        <v>0.3</v>
      </c>
      <c r="H46" s="1048">
        <v>0.25</v>
      </c>
    </row>
    <row r="47" spans="1:9" ht="19.5" customHeight="1">
      <c r="A47" s="1132" t="s">
        <v>899</v>
      </c>
      <c r="B47" s="1048">
        <v>0.7</v>
      </c>
      <c r="C47" s="1048">
        <v>0.4</v>
      </c>
      <c r="D47" s="1048">
        <v>0.28000000000000003</v>
      </c>
      <c r="E47" s="1048">
        <v>0.25</v>
      </c>
      <c r="F47" s="1048">
        <v>0.25</v>
      </c>
      <c r="G47" s="1048">
        <v>0.25</v>
      </c>
      <c r="H47" s="1048">
        <v>0.2</v>
      </c>
    </row>
    <row r="48" spans="1:9" ht="19.5" customHeight="1">
      <c r="A48" s="1132" t="s">
        <v>900</v>
      </c>
      <c r="B48" s="1048">
        <v>0.7</v>
      </c>
      <c r="C48" s="1048">
        <v>0.4</v>
      </c>
      <c r="D48" s="1048">
        <v>0.28000000000000003</v>
      </c>
      <c r="E48" s="1048">
        <v>0.25</v>
      </c>
      <c r="F48" s="1048">
        <v>0.25</v>
      </c>
      <c r="G48" s="1048">
        <v>0.25</v>
      </c>
      <c r="H48" s="1048">
        <v>0.2</v>
      </c>
    </row>
    <row r="49" spans="1:8" s="1085" customFormat="1" ht="19.5" customHeight="1">
      <c r="A49" s="1132" t="s">
        <v>901</v>
      </c>
      <c r="B49" s="1048">
        <v>0.7</v>
      </c>
      <c r="C49" s="1048">
        <v>0.4</v>
      </c>
      <c r="D49" s="1048">
        <v>0.28000000000000003</v>
      </c>
      <c r="E49" s="1048">
        <v>0.25</v>
      </c>
      <c r="F49" s="1048">
        <v>0.25</v>
      </c>
      <c r="G49" s="1048">
        <v>0.25</v>
      </c>
      <c r="H49" s="1048">
        <v>0.2</v>
      </c>
    </row>
    <row r="50" spans="1:8" s="1085" customFormat="1" ht="19.5" customHeight="1">
      <c r="A50" s="1132" t="s">
        <v>902</v>
      </c>
      <c r="B50" s="1048">
        <v>0.7</v>
      </c>
      <c r="C50" s="1048">
        <v>0.4</v>
      </c>
      <c r="D50" s="1048">
        <v>0.28000000000000003</v>
      </c>
      <c r="E50" s="1048">
        <v>0.25</v>
      </c>
      <c r="F50" s="1048">
        <v>0.25</v>
      </c>
      <c r="G50" s="1048">
        <v>0.25</v>
      </c>
      <c r="H50" s="1048">
        <v>0.2</v>
      </c>
    </row>
    <row r="51" spans="1:8" s="1085" customFormat="1" ht="19.5" customHeight="1">
      <c r="A51" s="1132" t="s">
        <v>903</v>
      </c>
      <c r="B51" s="1048">
        <v>0.7</v>
      </c>
      <c r="C51" s="1048">
        <v>0.4</v>
      </c>
      <c r="D51" s="1048">
        <v>0.28000000000000003</v>
      </c>
      <c r="E51" s="1048">
        <v>0.25</v>
      </c>
      <c r="F51" s="1048">
        <v>0.25</v>
      </c>
      <c r="G51" s="1048">
        <v>0.25</v>
      </c>
      <c r="H51" s="1048">
        <v>0.2</v>
      </c>
    </row>
    <row r="52" spans="1:8" s="1085" customFormat="1" ht="19.5" customHeight="1">
      <c r="A52" s="1132" t="s">
        <v>904</v>
      </c>
      <c r="B52" s="1048">
        <v>0.6</v>
      </c>
      <c r="C52" s="1048">
        <v>0.3</v>
      </c>
      <c r="D52" s="1048">
        <v>0.2</v>
      </c>
      <c r="E52" s="1048">
        <v>0.2</v>
      </c>
      <c r="F52" s="1048">
        <v>0.2</v>
      </c>
      <c r="G52" s="1048">
        <v>0.2</v>
      </c>
      <c r="H52" s="1048">
        <v>0.15</v>
      </c>
    </row>
    <row r="53" spans="1:8" s="1085" customFormat="1" ht="19.5" customHeight="1">
      <c r="A53" s="1132" t="s">
        <v>905</v>
      </c>
      <c r="B53" s="1048">
        <v>0.6</v>
      </c>
      <c r="C53" s="1048">
        <v>0.3</v>
      </c>
      <c r="D53" s="1048">
        <v>0.2</v>
      </c>
      <c r="E53" s="1048">
        <v>0.2</v>
      </c>
      <c r="F53" s="1048">
        <v>0.2</v>
      </c>
      <c r="G53" s="1048">
        <v>0.2</v>
      </c>
      <c r="H53" s="1048">
        <v>0.15</v>
      </c>
    </row>
    <row r="54" spans="1:8" s="1085" customFormat="1" ht="19.5" customHeight="1">
      <c r="A54" s="1132" t="s">
        <v>906</v>
      </c>
      <c r="B54" s="1048">
        <v>0.6</v>
      </c>
      <c r="C54" s="1048">
        <v>0.3</v>
      </c>
      <c r="D54" s="1048">
        <v>0.2</v>
      </c>
      <c r="E54" s="1048">
        <v>0.2</v>
      </c>
      <c r="F54" s="1048">
        <v>0.2</v>
      </c>
      <c r="G54" s="1048">
        <v>0.2</v>
      </c>
      <c r="H54" s="1048">
        <v>0.15</v>
      </c>
    </row>
    <row r="55" spans="1:8" s="1085" customFormat="1" ht="19.5" customHeight="1">
      <c r="A55" s="1132" t="s">
        <v>907</v>
      </c>
      <c r="B55" s="1048">
        <v>0.6</v>
      </c>
      <c r="C55" s="1048">
        <v>0.3</v>
      </c>
      <c r="D55" s="1048">
        <v>0.2</v>
      </c>
      <c r="E55" s="1048">
        <v>0.2</v>
      </c>
      <c r="F55" s="1048">
        <v>0.2</v>
      </c>
      <c r="G55" s="1048">
        <v>0.2</v>
      </c>
      <c r="H55" s="1048">
        <v>0.15</v>
      </c>
    </row>
    <row r="56" spans="1:8" s="1085" customFormat="1" ht="19.5" customHeight="1">
      <c r="A56" s="1132" t="s">
        <v>908</v>
      </c>
      <c r="B56" s="1048">
        <v>0.6</v>
      </c>
      <c r="C56" s="1048">
        <v>0.3</v>
      </c>
      <c r="D56" s="1048">
        <v>0.2</v>
      </c>
      <c r="E56" s="1048">
        <v>0.2</v>
      </c>
      <c r="F56" s="1048">
        <v>0.2</v>
      </c>
      <c r="G56" s="1048">
        <v>0.2</v>
      </c>
      <c r="H56" s="1048">
        <v>0.15</v>
      </c>
    </row>
    <row r="58" spans="1:8" s="1085" customFormat="1" ht="19.5" customHeight="1">
      <c r="A58" s="1118"/>
      <c r="B58" s="1106"/>
      <c r="C58" s="1106"/>
      <c r="D58" s="1106" t="s">
        <v>1484</v>
      </c>
      <c r="E58" s="1106"/>
      <c r="F58" s="1106"/>
    </row>
    <row r="59" spans="1:8" s="1085" customFormat="1" ht="19.5" customHeight="1">
      <c r="A59" s="1134" t="s">
        <v>1485</v>
      </c>
      <c r="B59" s="1134" t="s">
        <v>1486</v>
      </c>
      <c r="C59" s="1134" t="s">
        <v>1487</v>
      </c>
      <c r="D59" s="1134" t="s">
        <v>1488</v>
      </c>
      <c r="E59" s="1134" t="s">
        <v>1489</v>
      </c>
      <c r="F59" s="1134" t="s">
        <v>1490</v>
      </c>
    </row>
    <row r="60" spans="1:8" s="1085" customFormat="1" ht="19.5" customHeight="1">
      <c r="A60" s="1134"/>
      <c r="B60" s="1134"/>
      <c r="C60" s="1134" t="s">
        <v>1622</v>
      </c>
      <c r="D60" s="1134"/>
      <c r="E60" s="1119" t="s">
        <v>1431</v>
      </c>
      <c r="F60" s="1134" t="s">
        <v>1431</v>
      </c>
    </row>
    <row r="61" spans="1:8" s="1085" customFormat="1" ht="24">
      <c r="A61" s="1134">
        <v>1</v>
      </c>
      <c r="B61" s="3712" t="s">
        <v>1491</v>
      </c>
      <c r="C61" s="1048" t="s">
        <v>1492</v>
      </c>
      <c r="D61" s="1048" t="s">
        <v>1493</v>
      </c>
      <c r="E61" s="1119">
        <v>0.5</v>
      </c>
      <c r="F61" s="1134">
        <v>80</v>
      </c>
      <c r="H61" s="1085">
        <f>SUMIF(C59:C119,基准地价!C8,E59:E119)</f>
        <v>0</v>
      </c>
    </row>
    <row r="62" spans="1:8" s="1085" customFormat="1" ht="24">
      <c r="A62" s="1134">
        <v>2</v>
      </c>
      <c r="B62" s="3712"/>
      <c r="C62" s="1048" t="s">
        <v>1494</v>
      </c>
      <c r="D62" s="1048" t="s">
        <v>1495</v>
      </c>
      <c r="E62" s="1119">
        <v>0.5</v>
      </c>
      <c r="F62" s="1134">
        <v>80</v>
      </c>
    </row>
    <row r="63" spans="1:8" s="1085" customFormat="1" ht="36">
      <c r="A63" s="1134">
        <v>3</v>
      </c>
      <c r="B63" s="3712"/>
      <c r="C63" s="1048" t="s">
        <v>1496</v>
      </c>
      <c r="D63" s="1048" t="s">
        <v>1497</v>
      </c>
      <c r="E63" s="1119">
        <v>0.5</v>
      </c>
      <c r="F63" s="1134">
        <v>80</v>
      </c>
    </row>
    <row r="64" spans="1:8" s="1085" customFormat="1" ht="36">
      <c r="A64" s="1134">
        <v>4</v>
      </c>
      <c r="B64" s="3712"/>
      <c r="C64" s="1048" t="s">
        <v>1498</v>
      </c>
      <c r="D64" s="1048" t="s">
        <v>1499</v>
      </c>
      <c r="E64" s="1119">
        <v>0.4</v>
      </c>
      <c r="F64" s="1134">
        <v>60</v>
      </c>
    </row>
    <row r="65" spans="1:6" s="1085" customFormat="1" ht="36">
      <c r="A65" s="1134">
        <v>5</v>
      </c>
      <c r="B65" s="3712"/>
      <c r="C65" s="1048" t="s">
        <v>1500</v>
      </c>
      <c r="D65" s="1048" t="s">
        <v>1501</v>
      </c>
      <c r="E65" s="1119">
        <v>0.2</v>
      </c>
      <c r="F65" s="1134">
        <v>30</v>
      </c>
    </row>
    <row r="66" spans="1:6" s="1085" customFormat="1" ht="36">
      <c r="A66" s="1134">
        <v>6</v>
      </c>
      <c r="B66" s="3712"/>
      <c r="C66" s="1048" t="s">
        <v>1502</v>
      </c>
      <c r="D66" s="1048" t="s">
        <v>1503</v>
      </c>
      <c r="E66" s="1119">
        <v>0.3</v>
      </c>
      <c r="F66" s="1134">
        <v>50</v>
      </c>
    </row>
    <row r="67" spans="1:6" s="1085" customFormat="1" ht="36">
      <c r="A67" s="1134">
        <v>7</v>
      </c>
      <c r="B67" s="3712"/>
      <c r="C67" s="1048" t="s">
        <v>1504</v>
      </c>
      <c r="D67" s="1048" t="s">
        <v>1505</v>
      </c>
      <c r="E67" s="1119">
        <v>0.2</v>
      </c>
      <c r="F67" s="1134">
        <v>30</v>
      </c>
    </row>
    <row r="68" spans="1:6" s="1085" customFormat="1" ht="36">
      <c r="A68" s="1134">
        <v>8</v>
      </c>
      <c r="B68" s="3712"/>
      <c r="C68" s="1048" t="s">
        <v>1506</v>
      </c>
      <c r="D68" s="1048" t="s">
        <v>1507</v>
      </c>
      <c r="E68" s="1119">
        <v>0.2</v>
      </c>
      <c r="F68" s="1134">
        <v>30</v>
      </c>
    </row>
    <row r="69" spans="1:6" s="1085" customFormat="1" ht="36">
      <c r="A69" s="1134">
        <v>9</v>
      </c>
      <c r="B69" s="3712"/>
      <c r="C69" s="1048" t="s">
        <v>1508</v>
      </c>
      <c r="D69" s="1048" t="s">
        <v>1509</v>
      </c>
      <c r="E69" s="1119">
        <v>0.2</v>
      </c>
      <c r="F69" s="1134">
        <v>30</v>
      </c>
    </row>
    <row r="70" spans="1:6" s="1085" customFormat="1" ht="48">
      <c r="A70" s="1134">
        <v>10</v>
      </c>
      <c r="B70" s="3712"/>
      <c r="C70" s="1048" t="s">
        <v>1510</v>
      </c>
      <c r="D70" s="1048" t="s">
        <v>1511</v>
      </c>
      <c r="E70" s="1119">
        <v>0.2</v>
      </c>
      <c r="F70" s="1134">
        <v>30</v>
      </c>
    </row>
    <row r="71" spans="1:6" s="1085" customFormat="1" ht="48">
      <c r="A71" s="1134">
        <v>11</v>
      </c>
      <c r="B71" s="3712"/>
      <c r="C71" s="1048" t="s">
        <v>1512</v>
      </c>
      <c r="D71" s="1048" t="s">
        <v>1513</v>
      </c>
      <c r="E71" s="1119">
        <v>0.2</v>
      </c>
      <c r="F71" s="1134">
        <v>30</v>
      </c>
    </row>
    <row r="72" spans="1:6" s="1085" customFormat="1" ht="36">
      <c r="A72" s="1134">
        <v>12</v>
      </c>
      <c r="B72" s="3712"/>
      <c r="C72" s="1048" t="s">
        <v>1514</v>
      </c>
      <c r="D72" s="1048" t="s">
        <v>1515</v>
      </c>
      <c r="E72" s="1119">
        <v>0.5</v>
      </c>
      <c r="F72" s="1134">
        <v>80</v>
      </c>
    </row>
    <row r="73" spans="1:6" s="1085" customFormat="1" ht="24">
      <c r="A73" s="1134">
        <v>13</v>
      </c>
      <c r="B73" s="3712"/>
      <c r="C73" s="1048" t="s">
        <v>1516</v>
      </c>
      <c r="D73" s="1048" t="s">
        <v>1517</v>
      </c>
      <c r="E73" s="1119">
        <v>0.4</v>
      </c>
      <c r="F73" s="1134">
        <v>60</v>
      </c>
    </row>
    <row r="74" spans="1:6" s="1085" customFormat="1" ht="24">
      <c r="A74" s="1134">
        <v>14</v>
      </c>
      <c r="B74" s="3712"/>
      <c r="C74" s="1048" t="s">
        <v>1518</v>
      </c>
      <c r="D74" s="1048" t="s">
        <v>1519</v>
      </c>
      <c r="E74" s="1119">
        <v>0.2</v>
      </c>
      <c r="F74" s="1134">
        <v>30</v>
      </c>
    </row>
    <row r="75" spans="1:6" s="1085" customFormat="1" ht="24">
      <c r="A75" s="1134">
        <v>15</v>
      </c>
      <c r="B75" s="3712"/>
      <c r="C75" s="1048" t="s">
        <v>1520</v>
      </c>
      <c r="D75" s="1048" t="s">
        <v>1521</v>
      </c>
      <c r="E75" s="1119">
        <v>0.2</v>
      </c>
      <c r="F75" s="1134">
        <v>30</v>
      </c>
    </row>
    <row r="76" spans="1:6" s="1085" customFormat="1" ht="24">
      <c r="A76" s="1134">
        <v>16</v>
      </c>
      <c r="B76" s="3712" t="s">
        <v>1522</v>
      </c>
      <c r="C76" s="1048" t="s">
        <v>1523</v>
      </c>
      <c r="D76" s="1048" t="s">
        <v>1524</v>
      </c>
      <c r="E76" s="1119">
        <v>0.5</v>
      </c>
      <c r="F76" s="1134">
        <v>80</v>
      </c>
    </row>
    <row r="77" spans="1:6" s="1085" customFormat="1" ht="24">
      <c r="A77" s="1134">
        <v>17</v>
      </c>
      <c r="B77" s="3712"/>
      <c r="C77" s="1048" t="s">
        <v>1525</v>
      </c>
      <c r="D77" s="1048" t="s">
        <v>1526</v>
      </c>
      <c r="E77" s="1119">
        <v>0.5</v>
      </c>
      <c r="F77" s="1134">
        <v>80</v>
      </c>
    </row>
    <row r="78" spans="1:6" s="1085" customFormat="1" ht="24">
      <c r="A78" s="1134">
        <v>18</v>
      </c>
      <c r="B78" s="3712"/>
      <c r="C78" s="1048" t="s">
        <v>1527</v>
      </c>
      <c r="D78" s="1048" t="s">
        <v>1528</v>
      </c>
      <c r="E78" s="1119">
        <v>0.2</v>
      </c>
      <c r="F78" s="1134">
        <v>30</v>
      </c>
    </row>
    <row r="79" spans="1:6" s="1085" customFormat="1" ht="24">
      <c r="A79" s="1134">
        <v>19</v>
      </c>
      <c r="B79" s="3712"/>
      <c r="C79" s="1048" t="s">
        <v>1529</v>
      </c>
      <c r="D79" s="1048" t="s">
        <v>1530</v>
      </c>
      <c r="E79" s="1119">
        <v>0.5</v>
      </c>
      <c r="F79" s="1134">
        <v>80</v>
      </c>
    </row>
    <row r="80" spans="1:6" s="1085" customFormat="1" ht="36">
      <c r="A80" s="1134">
        <v>20</v>
      </c>
      <c r="B80" s="3712"/>
      <c r="C80" s="1048" t="s">
        <v>1531</v>
      </c>
      <c r="D80" s="1048" t="s">
        <v>1532</v>
      </c>
      <c r="E80" s="1119">
        <v>0.2</v>
      </c>
      <c r="F80" s="1134">
        <v>30</v>
      </c>
    </row>
    <row r="81" spans="1:6" s="1085" customFormat="1" ht="36">
      <c r="A81" s="1134">
        <v>21</v>
      </c>
      <c r="B81" s="3712"/>
      <c r="C81" s="1048" t="s">
        <v>1533</v>
      </c>
      <c r="D81" s="1048" t="s">
        <v>1534</v>
      </c>
      <c r="E81" s="1119">
        <v>0.2</v>
      </c>
      <c r="F81" s="1134">
        <v>30</v>
      </c>
    </row>
    <row r="82" spans="1:6" s="1085" customFormat="1" ht="48">
      <c r="A82" s="1134">
        <v>22</v>
      </c>
      <c r="B82" s="3712"/>
      <c r="C82" s="1048" t="s">
        <v>1535</v>
      </c>
      <c r="D82" s="1048" t="s">
        <v>1536</v>
      </c>
      <c r="E82" s="1119">
        <v>0.2</v>
      </c>
      <c r="F82" s="1134">
        <v>30</v>
      </c>
    </row>
    <row r="83" spans="1:6" s="1085" customFormat="1" ht="48">
      <c r="A83" s="1134">
        <v>23</v>
      </c>
      <c r="B83" s="3712"/>
      <c r="C83" s="1048" t="s">
        <v>1537</v>
      </c>
      <c r="D83" s="1048" t="s">
        <v>1538</v>
      </c>
      <c r="E83" s="1119">
        <v>0.2</v>
      </c>
      <c r="F83" s="1134">
        <v>30</v>
      </c>
    </row>
    <row r="84" spans="1:6" s="1085" customFormat="1" ht="36">
      <c r="A84" s="1134">
        <v>24</v>
      </c>
      <c r="B84" s="3712"/>
      <c r="C84" s="1048" t="s">
        <v>1539</v>
      </c>
      <c r="D84" s="1048" t="s">
        <v>1540</v>
      </c>
      <c r="E84" s="1119">
        <v>0.2</v>
      </c>
      <c r="F84" s="1134">
        <v>30</v>
      </c>
    </row>
    <row r="85" spans="1:6" s="1085" customFormat="1" ht="36">
      <c r="A85" s="1134">
        <v>25</v>
      </c>
      <c r="B85" s="3712"/>
      <c r="C85" s="1048" t="s">
        <v>1541</v>
      </c>
      <c r="D85" s="1048" t="s">
        <v>1542</v>
      </c>
      <c r="E85" s="1119">
        <v>0.5</v>
      </c>
      <c r="F85" s="1134">
        <v>80</v>
      </c>
    </row>
    <row r="86" spans="1:6" s="1085" customFormat="1" ht="36">
      <c r="A86" s="1134">
        <v>26</v>
      </c>
      <c r="B86" s="3712"/>
      <c r="C86" s="1048" t="s">
        <v>1543</v>
      </c>
      <c r="D86" s="1048" t="s">
        <v>1544</v>
      </c>
      <c r="E86" s="1119">
        <v>0.2</v>
      </c>
      <c r="F86" s="1134">
        <v>30</v>
      </c>
    </row>
    <row r="87" spans="1:6" s="1085" customFormat="1" ht="36">
      <c r="A87" s="1134">
        <v>27</v>
      </c>
      <c r="B87" s="3712"/>
      <c r="C87" s="1048" t="s">
        <v>1545</v>
      </c>
      <c r="D87" s="1048" t="s">
        <v>1546</v>
      </c>
      <c r="E87" s="1119">
        <v>0.2</v>
      </c>
      <c r="F87" s="1134">
        <v>30</v>
      </c>
    </row>
    <row r="88" spans="1:6" s="1085" customFormat="1" ht="36">
      <c r="A88" s="1134">
        <v>28</v>
      </c>
      <c r="B88" s="3712"/>
      <c r="C88" s="1048" t="s">
        <v>1547</v>
      </c>
      <c r="D88" s="1048" t="s">
        <v>1548</v>
      </c>
      <c r="E88" s="1119">
        <v>0.2</v>
      </c>
      <c r="F88" s="1134">
        <v>30</v>
      </c>
    </row>
    <row r="89" spans="1:6" s="1085" customFormat="1" ht="24">
      <c r="A89" s="1134">
        <v>29</v>
      </c>
      <c r="B89" s="3712"/>
      <c r="C89" s="1048" t="s">
        <v>1549</v>
      </c>
      <c r="D89" s="1048" t="s">
        <v>1550</v>
      </c>
      <c r="E89" s="1119">
        <v>0.2</v>
      </c>
      <c r="F89" s="1134">
        <v>30</v>
      </c>
    </row>
    <row r="90" spans="1:6" s="1085" customFormat="1" ht="24">
      <c r="A90" s="1134">
        <v>30</v>
      </c>
      <c r="B90" s="3712"/>
      <c r="C90" s="1048" t="s">
        <v>1551</v>
      </c>
      <c r="D90" s="1048" t="s">
        <v>1552</v>
      </c>
      <c r="E90" s="1119">
        <v>0.2</v>
      </c>
      <c r="F90" s="1134">
        <v>30</v>
      </c>
    </row>
    <row r="91" spans="1:6" s="1085" customFormat="1" ht="36">
      <c r="A91" s="1134">
        <v>31</v>
      </c>
      <c r="B91" s="3712"/>
      <c r="C91" s="1048" t="s">
        <v>1553</v>
      </c>
      <c r="D91" s="1048" t="s">
        <v>1554</v>
      </c>
      <c r="E91" s="1119">
        <v>0.2</v>
      </c>
      <c r="F91" s="1134">
        <v>30</v>
      </c>
    </row>
    <row r="92" spans="1:6" s="1085" customFormat="1" ht="24">
      <c r="A92" s="1134">
        <v>32</v>
      </c>
      <c r="B92" s="3712" t="s">
        <v>1555</v>
      </c>
      <c r="C92" s="1134" t="s">
        <v>1556</v>
      </c>
      <c r="D92" s="1048" t="s">
        <v>1557</v>
      </c>
      <c r="E92" s="1119">
        <v>0.2</v>
      </c>
      <c r="F92" s="1134">
        <v>30</v>
      </c>
    </row>
    <row r="93" spans="1:6" s="1085" customFormat="1" ht="36">
      <c r="A93" s="1134">
        <v>33</v>
      </c>
      <c r="B93" s="3712"/>
      <c r="C93" s="1134" t="s">
        <v>1558</v>
      </c>
      <c r="D93" s="1048" t="s">
        <v>1559</v>
      </c>
      <c r="E93" s="1119">
        <v>0.2</v>
      </c>
      <c r="F93" s="1134">
        <v>30</v>
      </c>
    </row>
    <row r="94" spans="1:6" s="1085" customFormat="1" ht="48">
      <c r="A94" s="1134">
        <v>34</v>
      </c>
      <c r="B94" s="3712"/>
      <c r="C94" s="1134" t="s">
        <v>1560</v>
      </c>
      <c r="D94" s="1048" t="s">
        <v>1561</v>
      </c>
      <c r="E94" s="1119">
        <v>0.2</v>
      </c>
      <c r="F94" s="1134">
        <v>30</v>
      </c>
    </row>
    <row r="95" spans="1:6" s="1085" customFormat="1" ht="36">
      <c r="A95" s="1134">
        <v>35</v>
      </c>
      <c r="B95" s="3712"/>
      <c r="C95" s="1134" t="s">
        <v>1562</v>
      </c>
      <c r="D95" s="1048" t="s">
        <v>1563</v>
      </c>
      <c r="E95" s="1119">
        <v>0.2</v>
      </c>
      <c r="F95" s="1134">
        <v>30</v>
      </c>
    </row>
    <row r="96" spans="1:6" s="1085" customFormat="1" ht="48">
      <c r="A96" s="1134">
        <v>36</v>
      </c>
      <c r="B96" s="3712"/>
      <c r="C96" s="1048" t="s">
        <v>1564</v>
      </c>
      <c r="D96" s="1048" t="s">
        <v>1565</v>
      </c>
      <c r="E96" s="1119">
        <v>0.2</v>
      </c>
      <c r="F96" s="1134">
        <v>30</v>
      </c>
    </row>
    <row r="97" spans="1:6" s="1085" customFormat="1" ht="36">
      <c r="A97" s="1134">
        <v>37</v>
      </c>
      <c r="B97" s="3712"/>
      <c r="C97" s="1134" t="s">
        <v>1566</v>
      </c>
      <c r="D97" s="1048" t="s">
        <v>1567</v>
      </c>
      <c r="E97" s="1119">
        <v>0.2</v>
      </c>
      <c r="F97" s="1134">
        <v>30</v>
      </c>
    </row>
    <row r="98" spans="1:6" s="1085" customFormat="1" ht="36">
      <c r="A98" s="1134">
        <v>38</v>
      </c>
      <c r="B98" s="3712"/>
      <c r="C98" s="1134" t="s">
        <v>1568</v>
      </c>
      <c r="D98" s="1048" t="s">
        <v>1569</v>
      </c>
      <c r="E98" s="1119">
        <v>0.2</v>
      </c>
      <c r="F98" s="1134">
        <v>30</v>
      </c>
    </row>
    <row r="99" spans="1:6" s="1085" customFormat="1" ht="36">
      <c r="A99" s="1134">
        <v>39</v>
      </c>
      <c r="B99" s="3712" t="s">
        <v>1570</v>
      </c>
      <c r="C99" s="1134" t="s">
        <v>1571</v>
      </c>
      <c r="D99" s="1048" t="s">
        <v>1572</v>
      </c>
      <c r="E99" s="1119">
        <v>0.3</v>
      </c>
      <c r="F99" s="1134">
        <v>50</v>
      </c>
    </row>
    <row r="100" spans="1:6" s="1085" customFormat="1" ht="24">
      <c r="A100" s="1134">
        <v>40</v>
      </c>
      <c r="B100" s="3712"/>
      <c r="C100" s="1134" t="s">
        <v>1573</v>
      </c>
      <c r="D100" s="1048" t="s">
        <v>1574</v>
      </c>
      <c r="E100" s="1119">
        <v>0.2</v>
      </c>
      <c r="F100" s="1134">
        <v>30</v>
      </c>
    </row>
    <row r="101" spans="1:6" s="1085" customFormat="1" ht="36">
      <c r="A101" s="1134">
        <v>41</v>
      </c>
      <c r="B101" s="3712"/>
      <c r="C101" s="1134" t="s">
        <v>1575</v>
      </c>
      <c r="D101" s="1048" t="s">
        <v>1572</v>
      </c>
      <c r="E101" s="1119">
        <v>0.2</v>
      </c>
      <c r="F101" s="1134">
        <v>30</v>
      </c>
    </row>
    <row r="102" spans="1:6" s="1085" customFormat="1" ht="48">
      <c r="A102" s="1134">
        <v>42</v>
      </c>
      <c r="B102" s="1134" t="s">
        <v>1576</v>
      </c>
      <c r="C102" s="1048" t="s">
        <v>1577</v>
      </c>
      <c r="D102" s="1048" t="s">
        <v>1578</v>
      </c>
      <c r="E102" s="1119">
        <v>0.2</v>
      </c>
      <c r="F102" s="1134">
        <v>30</v>
      </c>
    </row>
    <row r="103" spans="1:6" s="1085" customFormat="1" ht="24">
      <c r="A103" s="1134">
        <v>43</v>
      </c>
      <c r="B103" s="1134" t="s">
        <v>1579</v>
      </c>
      <c r="C103" s="1134" t="s">
        <v>1580</v>
      </c>
      <c r="D103" s="1048" t="s">
        <v>1581</v>
      </c>
      <c r="E103" s="1119">
        <v>0.2</v>
      </c>
      <c r="F103" s="1134">
        <v>30</v>
      </c>
    </row>
    <row r="104" spans="1:6" s="1085" customFormat="1" ht="36">
      <c r="A104" s="1134">
        <v>44</v>
      </c>
      <c r="B104" s="1134" t="s">
        <v>1582</v>
      </c>
      <c r="C104" s="1134" t="s">
        <v>1583</v>
      </c>
      <c r="D104" s="1048" t="s">
        <v>1584</v>
      </c>
      <c r="E104" s="1119">
        <v>0.2</v>
      </c>
      <c r="F104" s="1134">
        <v>30</v>
      </c>
    </row>
    <row r="105" spans="1:6" s="1085" customFormat="1" ht="36">
      <c r="A105" s="1134">
        <v>45</v>
      </c>
      <c r="B105" s="3712" t="s">
        <v>1585</v>
      </c>
      <c r="C105" s="1134" t="s">
        <v>1586</v>
      </c>
      <c r="D105" s="1048" t="s">
        <v>1587</v>
      </c>
      <c r="E105" s="1119">
        <v>0.2</v>
      </c>
      <c r="F105" s="1134">
        <v>30</v>
      </c>
    </row>
    <row r="106" spans="1:6" s="1085" customFormat="1" ht="36">
      <c r="A106" s="1134">
        <v>46</v>
      </c>
      <c r="B106" s="3712"/>
      <c r="C106" s="1134" t="s">
        <v>1588</v>
      </c>
      <c r="D106" s="1048" t="s">
        <v>1589</v>
      </c>
      <c r="E106" s="1119">
        <v>0.2</v>
      </c>
      <c r="F106" s="1134">
        <v>30</v>
      </c>
    </row>
    <row r="107" spans="1:6" s="1085" customFormat="1" ht="36">
      <c r="A107" s="1134">
        <v>47</v>
      </c>
      <c r="B107" s="3712" t="s">
        <v>1590</v>
      </c>
      <c r="C107" s="1134" t="s">
        <v>1591</v>
      </c>
      <c r="D107" s="1048" t="s">
        <v>1592</v>
      </c>
      <c r="E107" s="1119">
        <v>0.3</v>
      </c>
      <c r="F107" s="1134">
        <v>50</v>
      </c>
    </row>
    <row r="108" spans="1:6" s="1085" customFormat="1" ht="36">
      <c r="A108" s="1134">
        <v>48</v>
      </c>
      <c r="B108" s="3712"/>
      <c r="C108" s="1134" t="s">
        <v>1593</v>
      </c>
      <c r="D108" s="1048" t="s">
        <v>1594</v>
      </c>
      <c r="E108" s="1119">
        <v>0.2</v>
      </c>
      <c r="F108" s="1134">
        <v>30</v>
      </c>
    </row>
    <row r="109" spans="1:6" s="1085" customFormat="1" ht="36">
      <c r="A109" s="1134">
        <v>49</v>
      </c>
      <c r="B109" s="1134" t="s">
        <v>1595</v>
      </c>
      <c r="C109" s="1134" t="s">
        <v>1596</v>
      </c>
      <c r="D109" s="1048" t="s">
        <v>1597</v>
      </c>
      <c r="E109" s="1119">
        <v>0.2</v>
      </c>
      <c r="F109" s="1134">
        <v>30</v>
      </c>
    </row>
    <row r="110" spans="1:6" s="1085" customFormat="1" ht="36">
      <c r="A110" s="1134">
        <v>50</v>
      </c>
      <c r="B110" s="1134" t="s">
        <v>1598</v>
      </c>
      <c r="C110" s="1134" t="s">
        <v>1599</v>
      </c>
      <c r="D110" s="1048" t="s">
        <v>1600</v>
      </c>
      <c r="E110" s="1119">
        <v>0.2</v>
      </c>
      <c r="F110" s="1134">
        <v>30</v>
      </c>
    </row>
    <row r="111" spans="1:6" s="1085" customFormat="1" ht="36">
      <c r="A111" s="1134">
        <v>51</v>
      </c>
      <c r="B111" s="3712" t="s">
        <v>1601</v>
      </c>
      <c r="C111" s="1134" t="s">
        <v>1602</v>
      </c>
      <c r="D111" s="1048" t="s">
        <v>1603</v>
      </c>
      <c r="E111" s="1119">
        <v>0.2</v>
      </c>
      <c r="F111" s="1134">
        <v>30</v>
      </c>
    </row>
    <row r="112" spans="1:6" s="1085" customFormat="1" ht="24">
      <c r="A112" s="1134">
        <v>52</v>
      </c>
      <c r="B112" s="3712"/>
      <c r="C112" s="1134" t="s">
        <v>1604</v>
      </c>
      <c r="D112" s="1048" t="s">
        <v>1605</v>
      </c>
      <c r="E112" s="1119">
        <v>0.2</v>
      </c>
      <c r="F112" s="1134">
        <v>30</v>
      </c>
    </row>
    <row r="113" spans="1:14" s="1085" customFormat="1" ht="24">
      <c r="A113" s="1134">
        <v>53</v>
      </c>
      <c r="B113" s="3712"/>
      <c r="C113" s="1134" t="s">
        <v>1606</v>
      </c>
      <c r="D113" s="1048" t="s">
        <v>1607</v>
      </c>
      <c r="E113" s="1119">
        <v>0.2</v>
      </c>
      <c r="F113" s="1134">
        <v>30</v>
      </c>
    </row>
    <row r="114" spans="1:14" ht="36">
      <c r="A114" s="1134">
        <v>54</v>
      </c>
      <c r="B114" s="1134" t="s">
        <v>1608</v>
      </c>
      <c r="C114" s="1134" t="s">
        <v>1609</v>
      </c>
      <c r="D114" s="1048" t="s">
        <v>1610</v>
      </c>
      <c r="E114" s="1119">
        <v>0.2</v>
      </c>
      <c r="F114" s="1134">
        <v>30</v>
      </c>
    </row>
    <row r="115" spans="1:14" ht="24">
      <c r="A115" s="1134">
        <v>55</v>
      </c>
      <c r="B115" s="1134" t="s">
        <v>1611</v>
      </c>
      <c r="C115" s="1134" t="s">
        <v>1612</v>
      </c>
      <c r="D115" s="1048" t="s">
        <v>1613</v>
      </c>
      <c r="E115" s="1119">
        <v>0.2</v>
      </c>
      <c r="F115" s="1134">
        <v>30</v>
      </c>
    </row>
    <row r="116" spans="1:14" ht="24">
      <c r="A116" s="1134">
        <v>56</v>
      </c>
      <c r="B116" s="3712" t="s">
        <v>1614</v>
      </c>
      <c r="C116" s="1134" t="s">
        <v>1615</v>
      </c>
      <c r="D116" s="1048" t="s">
        <v>1616</v>
      </c>
      <c r="E116" s="1119">
        <v>0.2</v>
      </c>
      <c r="F116" s="1134">
        <v>30</v>
      </c>
    </row>
    <row r="117" spans="1:14" ht="36">
      <c r="A117" s="1134">
        <v>57</v>
      </c>
      <c r="B117" s="3712"/>
      <c r="C117" s="1134" t="s">
        <v>1617</v>
      </c>
      <c r="D117" s="1048" t="s">
        <v>1618</v>
      </c>
      <c r="E117" s="1119">
        <v>0.2</v>
      </c>
      <c r="F117" s="1134">
        <v>30</v>
      </c>
    </row>
    <row r="118" spans="1:14" ht="36">
      <c r="A118" s="1134">
        <v>58</v>
      </c>
      <c r="B118" s="1134" t="s">
        <v>1619</v>
      </c>
      <c r="C118" s="1134" t="s">
        <v>1620</v>
      </c>
      <c r="D118" s="1048" t="s">
        <v>1621</v>
      </c>
      <c r="E118" s="1119">
        <v>0.2</v>
      </c>
      <c r="F118" s="1134">
        <v>30</v>
      </c>
    </row>
    <row r="119" spans="1:14" ht="13.5">
      <c r="A119" s="1134"/>
      <c r="B119" s="1134"/>
      <c r="C119" s="1134"/>
      <c r="D119" s="1134"/>
      <c r="E119" s="1119"/>
      <c r="F119" s="1134"/>
    </row>
    <row r="121" spans="1:14" ht="19.5" customHeight="1">
      <c r="A121" s="3711" t="s">
        <v>1623</v>
      </c>
      <c r="B121" s="3711"/>
      <c r="C121" s="3711"/>
      <c r="D121" s="3711"/>
      <c r="E121" s="3711"/>
      <c r="F121" s="3711"/>
      <c r="G121" s="3711"/>
      <c r="H121" s="3711"/>
      <c r="I121" s="3711"/>
      <c r="J121" s="3711"/>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713" t="s">
        <v>1029</v>
      </c>
      <c r="B1" s="3713"/>
      <c r="C1" s="3713"/>
      <c r="D1" s="3713"/>
      <c r="E1" s="3713"/>
      <c r="F1" s="3713"/>
      <c r="H1" s="1050"/>
      <c r="I1" s="1051" t="s">
        <v>1030</v>
      </c>
      <c r="J1" s="1052" t="s">
        <v>1031</v>
      </c>
      <c r="K1" s="1052" t="s">
        <v>1032</v>
      </c>
      <c r="L1" s="1052" t="s">
        <v>1033</v>
      </c>
      <c r="M1" s="1052" t="s">
        <v>1034</v>
      </c>
      <c r="N1" s="1052" t="s">
        <v>1035</v>
      </c>
      <c r="O1" s="1052" t="s">
        <v>1036</v>
      </c>
      <c r="P1" s="1052" t="s">
        <v>1037</v>
      </c>
      <c r="Q1" s="1052" t="s">
        <v>1038</v>
      </c>
      <c r="R1" s="1052" t="s">
        <v>1039</v>
      </c>
      <c r="S1" s="1052" t="s">
        <v>1040</v>
      </c>
      <c r="T1" s="1053" t="s">
        <v>1041</v>
      </c>
    </row>
    <row r="2" spans="1:20" ht="14.25" thickBot="1">
      <c r="A2" s="3714" t="s">
        <v>1042</v>
      </c>
      <c r="B2" s="3714"/>
      <c r="C2" s="3714"/>
      <c r="D2" s="3714"/>
      <c r="E2" s="3714"/>
      <c r="F2" s="3714"/>
      <c r="I2" s="1054" t="s">
        <v>1043</v>
      </c>
      <c r="J2" s="1055" t="s">
        <v>1044</v>
      </c>
      <c r="K2" s="1055" t="s">
        <v>1045</v>
      </c>
      <c r="L2" s="1055" t="s">
        <v>1046</v>
      </c>
      <c r="M2" s="1055" t="s">
        <v>1047</v>
      </c>
      <c r="N2" s="1055" t="s">
        <v>1048</v>
      </c>
      <c r="O2" s="1055" t="s">
        <v>1049</v>
      </c>
      <c r="P2" s="1055" t="s">
        <v>1050</v>
      </c>
      <c r="Q2" s="1055" t="s">
        <v>1051</v>
      </c>
      <c r="R2" s="1055" t="s">
        <v>1052</v>
      </c>
      <c r="S2" s="1055" t="s">
        <v>1053</v>
      </c>
      <c r="T2" s="1055" t="s">
        <v>1054</v>
      </c>
    </row>
    <row r="3" spans="1:20" s="1050" customFormat="1" ht="19.5" customHeight="1">
      <c r="A3" s="3715" t="s">
        <v>1055</v>
      </c>
      <c r="B3" s="1056"/>
      <c r="C3" s="1057" t="s">
        <v>1056</v>
      </c>
      <c r="D3" s="1057" t="s">
        <v>1057</v>
      </c>
      <c r="E3" s="1057" t="s">
        <v>1058</v>
      </c>
      <c r="F3" s="1057" t="s">
        <v>1059</v>
      </c>
      <c r="G3" s="1058"/>
      <c r="I3" s="1054" t="s">
        <v>1060</v>
      </c>
      <c r="J3" s="1055" t="s">
        <v>1061</v>
      </c>
      <c r="K3" s="1055" t="s">
        <v>1062</v>
      </c>
      <c r="L3" s="1055" t="s">
        <v>1063</v>
      </c>
      <c r="M3" s="1055" t="s">
        <v>1064</v>
      </c>
      <c r="N3" s="1055" t="s">
        <v>1065</v>
      </c>
      <c r="O3" s="1055" t="s">
        <v>1066</v>
      </c>
      <c r="P3" s="1055" t="s">
        <v>1067</v>
      </c>
      <c r="Q3" s="1055" t="s">
        <v>1068</v>
      </c>
      <c r="R3" s="1055" t="s">
        <v>1069</v>
      </c>
      <c r="S3" s="1055" t="s">
        <v>1070</v>
      </c>
      <c r="T3" s="1055" t="s">
        <v>1071</v>
      </c>
    </row>
    <row r="4" spans="1:20" s="1050" customFormat="1" ht="19.5" customHeight="1" thickBot="1">
      <c r="A4" s="3716"/>
      <c r="B4" s="1059" t="s">
        <v>1072</v>
      </c>
      <c r="C4" s="1059" t="s">
        <v>1073</v>
      </c>
      <c r="D4" s="1059" t="s">
        <v>1073</v>
      </c>
      <c r="E4" s="1059" t="s">
        <v>1073</v>
      </c>
      <c r="F4" s="1060" t="s">
        <v>1073</v>
      </c>
      <c r="G4" s="1058"/>
      <c r="I4" s="1054" t="s">
        <v>1074</v>
      </c>
      <c r="J4" s="1055" t="s">
        <v>1075</v>
      </c>
      <c r="K4" s="1055" t="s">
        <v>1076</v>
      </c>
      <c r="L4" s="1055" t="s">
        <v>1077</v>
      </c>
      <c r="M4" s="1055" t="s">
        <v>1078</v>
      </c>
      <c r="N4" s="1055" t="s">
        <v>1079</v>
      </c>
      <c r="O4" s="1055" t="s">
        <v>1080</v>
      </c>
      <c r="P4" s="1055" t="s">
        <v>1081</v>
      </c>
      <c r="Q4" s="1055" t="s">
        <v>1082</v>
      </c>
      <c r="R4" s="1055" t="s">
        <v>1083</v>
      </c>
      <c r="S4" s="1055" t="s">
        <v>1084</v>
      </c>
      <c r="T4" s="1055" t="s">
        <v>1085</v>
      </c>
    </row>
    <row r="5" spans="1:20" ht="14.25" customHeight="1" thickBot="1">
      <c r="A5" s="1061" t="s">
        <v>1086</v>
      </c>
      <c r="B5" s="1062" t="s">
        <v>1043</v>
      </c>
      <c r="C5" s="1062">
        <v>29530</v>
      </c>
      <c r="D5" s="1062">
        <v>28130</v>
      </c>
      <c r="E5" s="1062">
        <v>27930</v>
      </c>
      <c r="F5" s="1063">
        <v>11300</v>
      </c>
      <c r="G5" s="1064" t="s">
        <v>1030</v>
      </c>
      <c r="H5" s="1065">
        <f>SUMPRODUCT((B5:B9=基准地价!I2)*(C3:F3=基准地价!E2)*(C5:F9))</f>
        <v>0</v>
      </c>
      <c r="I5" s="1054" t="s">
        <v>1087</v>
      </c>
      <c r="J5" s="1055" t="s">
        <v>1088</v>
      </c>
      <c r="K5" s="1055" t="s">
        <v>1089</v>
      </c>
      <c r="L5" s="1055" t="s">
        <v>1090</v>
      </c>
      <c r="M5" s="1055" t="s">
        <v>1091</v>
      </c>
      <c r="N5" s="1055" t="s">
        <v>1092</v>
      </c>
      <c r="O5" s="1055" t="s">
        <v>1093</v>
      </c>
      <c r="P5" s="1055" t="s">
        <v>1094</v>
      </c>
      <c r="Q5" s="1055" t="s">
        <v>1095</v>
      </c>
      <c r="R5" s="1055" t="s">
        <v>1096</v>
      </c>
      <c r="S5" s="1055" t="s">
        <v>1097</v>
      </c>
      <c r="T5" s="1055" t="s">
        <v>1098</v>
      </c>
    </row>
    <row r="6" spans="1:20" ht="14.25" customHeight="1" thickBot="1">
      <c r="A6" s="1061" t="s">
        <v>1086</v>
      </c>
      <c r="B6" s="1055" t="s">
        <v>1099</v>
      </c>
      <c r="C6" s="1055">
        <v>30290</v>
      </c>
      <c r="D6" s="1055">
        <v>29210</v>
      </c>
      <c r="E6" s="1055">
        <v>28860</v>
      </c>
      <c r="F6" s="1066">
        <v>12600</v>
      </c>
      <c r="G6" s="1067" t="s">
        <v>1100</v>
      </c>
      <c r="H6" s="1068">
        <f>SUMPRODUCT((B10:B28=基准地价!I2)*(C3:F3=基准地价!E2)*(C10:F28))</f>
        <v>0</v>
      </c>
      <c r="I6" s="1054" t="s">
        <v>1101</v>
      </c>
      <c r="J6" s="1055" t="s">
        <v>1102</v>
      </c>
      <c r="K6" s="1055" t="s">
        <v>1103</v>
      </c>
      <c r="L6" s="1055" t="s">
        <v>1104</v>
      </c>
      <c r="M6" s="1055" t="s">
        <v>1105</v>
      </c>
      <c r="N6" s="1055" t="s">
        <v>1106</v>
      </c>
      <c r="O6" s="1055" t="s">
        <v>1107</v>
      </c>
      <c r="P6" s="1055" t="s">
        <v>1108</v>
      </c>
      <c r="Q6" s="1055" t="s">
        <v>1109</v>
      </c>
      <c r="R6" s="1055" t="s">
        <v>1110</v>
      </c>
      <c r="S6" s="1055" t="s">
        <v>1111</v>
      </c>
      <c r="T6" s="1055" t="s">
        <v>1112</v>
      </c>
    </row>
    <row r="7" spans="1:20" ht="14.25" customHeight="1" thickBot="1">
      <c r="A7" s="1061" t="s">
        <v>1086</v>
      </c>
      <c r="B7" s="1069" t="s">
        <v>1074</v>
      </c>
      <c r="C7" s="1055">
        <v>29350</v>
      </c>
      <c r="D7" s="1055">
        <v>28410</v>
      </c>
      <c r="E7" s="1055">
        <v>27990</v>
      </c>
      <c r="F7" s="1066">
        <v>12300</v>
      </c>
      <c r="G7" s="1067" t="s">
        <v>899</v>
      </c>
      <c r="H7" s="1068">
        <f>SUMPRODUCT((B29:B48=基准地价!I2)*(C3:F3=基准地价!E2)*(C29:F48))</f>
        <v>0</v>
      </c>
      <c r="J7" s="1055" t="s">
        <v>1113</v>
      </c>
      <c r="K7" s="1055" t="s">
        <v>1114</v>
      </c>
      <c r="L7" s="1055" t="s">
        <v>1115</v>
      </c>
      <c r="M7" s="1055" t="s">
        <v>1116</v>
      </c>
      <c r="N7" s="1055" t="s">
        <v>1117</v>
      </c>
      <c r="O7" s="1055" t="s">
        <v>1118</v>
      </c>
      <c r="P7" s="1055" t="s">
        <v>1119</v>
      </c>
      <c r="Q7" s="1055" t="s">
        <v>1120</v>
      </c>
      <c r="R7" s="1055" t="s">
        <v>1121</v>
      </c>
      <c r="S7" s="1055" t="s">
        <v>1122</v>
      </c>
      <c r="T7" s="1069" t="s">
        <v>1123</v>
      </c>
    </row>
    <row r="8" spans="1:20" ht="14.25" customHeight="1" thickBot="1">
      <c r="A8" s="1061" t="s">
        <v>1086</v>
      </c>
      <c r="B8" s="1055" t="s">
        <v>1087</v>
      </c>
      <c r="C8" s="1055">
        <v>30890</v>
      </c>
      <c r="D8" s="1055">
        <v>29780</v>
      </c>
      <c r="E8" s="1055">
        <v>29270</v>
      </c>
      <c r="F8" s="1066">
        <v>11600</v>
      </c>
      <c r="G8" s="1067" t="s">
        <v>900</v>
      </c>
      <c r="H8" s="1068">
        <f>SUMPRODUCT((B49:B75=基准地价!I2)*(C3:F3=基准地价!E2)*(C49:F75))</f>
        <v>0</v>
      </c>
      <c r="J8" s="1055" t="s">
        <v>1124</v>
      </c>
      <c r="K8" s="1055" t="s">
        <v>1125</v>
      </c>
      <c r="L8" s="1055" t="s">
        <v>1126</v>
      </c>
      <c r="M8" s="1055" t="s">
        <v>1127</v>
      </c>
      <c r="N8" s="1055" t="s">
        <v>1128</v>
      </c>
      <c r="O8" s="1055" t="s">
        <v>1129</v>
      </c>
      <c r="P8" s="1055" t="s">
        <v>1130</v>
      </c>
      <c r="Q8" s="1055" t="s">
        <v>1131</v>
      </c>
      <c r="R8" s="1055" t="s">
        <v>1132</v>
      </c>
      <c r="S8" s="1055" t="s">
        <v>1133</v>
      </c>
      <c r="T8" s="1055" t="s">
        <v>1134</v>
      </c>
    </row>
    <row r="9" spans="1:20" ht="14.25" customHeight="1" thickBot="1">
      <c r="A9" s="1061" t="s">
        <v>1086</v>
      </c>
      <c r="B9" s="1070" t="s">
        <v>1101</v>
      </c>
      <c r="C9" s="1071">
        <v>28140</v>
      </c>
      <c r="D9" s="1071"/>
      <c r="E9" s="1071"/>
      <c r="F9" s="1072"/>
      <c r="G9" s="1067" t="s">
        <v>901</v>
      </c>
      <c r="H9" s="1068">
        <f>SUMPRODUCT((B76:B109=基准地价!I2)*(C3:F3=基准地价!E2)*(C76:F109))</f>
        <v>0</v>
      </c>
      <c r="J9" s="1055" t="s">
        <v>1135</v>
      </c>
      <c r="K9" s="1055" t="s">
        <v>1136</v>
      </c>
      <c r="L9" s="1055" t="s">
        <v>1137</v>
      </c>
      <c r="M9" s="1055" t="s">
        <v>1138</v>
      </c>
      <c r="N9" s="1055" t="s">
        <v>1139</v>
      </c>
      <c r="O9" s="1055" t="s">
        <v>1140</v>
      </c>
      <c r="P9" s="1055" t="s">
        <v>1141</v>
      </c>
      <c r="Q9" s="1055" t="s">
        <v>1142</v>
      </c>
      <c r="R9" s="1055" t="s">
        <v>1143</v>
      </c>
      <c r="S9" s="1055" t="s">
        <v>1144</v>
      </c>
    </row>
    <row r="10" spans="1:20" ht="14.25" customHeight="1" thickBot="1">
      <c r="A10" s="1061" t="s">
        <v>1145</v>
      </c>
      <c r="B10" s="1062" t="s">
        <v>1146</v>
      </c>
      <c r="C10" s="1062">
        <v>27450</v>
      </c>
      <c r="D10" s="1062">
        <v>26180</v>
      </c>
      <c r="E10" s="1062">
        <v>25980</v>
      </c>
      <c r="F10" s="1063">
        <v>8910</v>
      </c>
      <c r="G10" s="1067" t="s">
        <v>902</v>
      </c>
      <c r="H10" s="1068">
        <f>SUMPRODUCT((B110:B157=基准地价!I2)*(C3:F3=基准地价!E2)*(C110:F157))</f>
        <v>0</v>
      </c>
      <c r="J10" s="1055" t="s">
        <v>1147</v>
      </c>
      <c r="K10" s="1055" t="s">
        <v>1148</v>
      </c>
      <c r="L10" s="1055" t="s">
        <v>1149</v>
      </c>
      <c r="M10" s="1055" t="s">
        <v>1150</v>
      </c>
      <c r="N10" s="1055" t="s">
        <v>1151</v>
      </c>
      <c r="O10" s="1055" t="s">
        <v>1152</v>
      </c>
      <c r="P10" s="1055" t="s">
        <v>1153</v>
      </c>
      <c r="Q10" s="1055" t="s">
        <v>1154</v>
      </c>
      <c r="R10" s="1055" t="s">
        <v>1155</v>
      </c>
      <c r="S10" s="1055" t="s">
        <v>1156</v>
      </c>
    </row>
    <row r="11" spans="1:20" ht="14.25" customHeight="1" thickBot="1">
      <c r="A11" s="1061" t="s">
        <v>1145</v>
      </c>
      <c r="B11" s="1069" t="s">
        <v>1061</v>
      </c>
      <c r="C11" s="1055">
        <v>22950</v>
      </c>
      <c r="D11" s="1055">
        <v>22630</v>
      </c>
      <c r="E11" s="1055">
        <v>22030</v>
      </c>
      <c r="F11" s="1073">
        <v>8330</v>
      </c>
      <c r="G11" s="1067" t="s">
        <v>903</v>
      </c>
      <c r="H11" s="1068">
        <f>SUMPRODUCT((B158:B205=基准地价!I2)*(C3:F3=基准地价!E2)*(C158:F205))</f>
        <v>0</v>
      </c>
      <c r="J11" s="1055" t="s">
        <v>1157</v>
      </c>
      <c r="K11" s="1055" t="s">
        <v>1158</v>
      </c>
      <c r="L11" s="1055" t="s">
        <v>1159</v>
      </c>
      <c r="M11" s="1055" t="s">
        <v>1160</v>
      </c>
      <c r="N11" s="1055" t="s">
        <v>1161</v>
      </c>
      <c r="O11" s="1055" t="s">
        <v>1162</v>
      </c>
      <c r="P11" s="1055" t="s">
        <v>1163</v>
      </c>
      <c r="Q11" s="1055" t="s">
        <v>1164</v>
      </c>
      <c r="R11" s="1055" t="s">
        <v>1165</v>
      </c>
      <c r="S11" s="1055" t="s">
        <v>1166</v>
      </c>
    </row>
    <row r="12" spans="1:20" ht="14.25" customHeight="1" thickBot="1">
      <c r="A12" s="1061" t="s">
        <v>1145</v>
      </c>
      <c r="B12" s="1069" t="s">
        <v>1075</v>
      </c>
      <c r="C12" s="1055">
        <v>24940</v>
      </c>
      <c r="D12" s="1055">
        <v>23180</v>
      </c>
      <c r="E12" s="1055">
        <v>22910</v>
      </c>
      <c r="F12" s="1073">
        <v>7180</v>
      </c>
      <c r="G12" s="1067" t="s">
        <v>904</v>
      </c>
      <c r="H12" s="1068">
        <f>SUMPRODUCT((B206:B244=基准地价!I2)*(C3:F3=基准地价!E2)*(C206:F244))</f>
        <v>0</v>
      </c>
      <c r="J12" s="1055" t="s">
        <v>1167</v>
      </c>
      <c r="K12" s="1055" t="s">
        <v>1168</v>
      </c>
      <c r="L12" s="1055" t="s">
        <v>1169</v>
      </c>
      <c r="M12" s="1055" t="s">
        <v>1170</v>
      </c>
      <c r="N12" s="1055" t="s">
        <v>1171</v>
      </c>
      <c r="O12" s="1055" t="s">
        <v>1172</v>
      </c>
      <c r="P12" s="1055" t="s">
        <v>1173</v>
      </c>
      <c r="Q12" s="1055" t="s">
        <v>1174</v>
      </c>
      <c r="R12" s="1055" t="s">
        <v>1175</v>
      </c>
      <c r="S12" s="1055" t="s">
        <v>1176</v>
      </c>
    </row>
    <row r="13" spans="1:20" ht="14.25" customHeight="1" thickBot="1">
      <c r="A13" s="1061" t="s">
        <v>1145</v>
      </c>
      <c r="B13" s="1069" t="s">
        <v>1088</v>
      </c>
      <c r="C13" s="1055">
        <v>24140</v>
      </c>
      <c r="D13" s="1055">
        <v>22270</v>
      </c>
      <c r="E13" s="1055">
        <v>21950</v>
      </c>
      <c r="F13" s="1073">
        <v>7600</v>
      </c>
      <c r="G13" s="1067" t="s">
        <v>905</v>
      </c>
      <c r="H13" s="1068">
        <f>SUMPRODUCT((B245:B289=基准地价!I2)*(C3:F3=基准地价!E2)*(C245:F289))</f>
        <v>3650</v>
      </c>
      <c r="J13" s="1055" t="s">
        <v>1177</v>
      </c>
      <c r="K13" s="1055" t="s">
        <v>1178</v>
      </c>
      <c r="L13" s="1055" t="s">
        <v>1179</v>
      </c>
      <c r="M13" s="1055" t="s">
        <v>1180</v>
      </c>
      <c r="N13" s="1055" t="s">
        <v>1181</v>
      </c>
      <c r="O13" s="1055" t="s">
        <v>1182</v>
      </c>
      <c r="P13" s="1055" t="s">
        <v>1183</v>
      </c>
      <c r="Q13" s="1055" t="s">
        <v>1184</v>
      </c>
      <c r="R13" s="1055" t="s">
        <v>1185</v>
      </c>
      <c r="S13" s="1055" t="s">
        <v>1186</v>
      </c>
    </row>
    <row r="14" spans="1:20" ht="14.25" customHeight="1" thickBot="1">
      <c r="A14" s="1061" t="s">
        <v>1145</v>
      </c>
      <c r="B14" s="1069" t="s">
        <v>1102</v>
      </c>
      <c r="C14" s="1055">
        <v>25600</v>
      </c>
      <c r="D14" s="1055">
        <v>22260</v>
      </c>
      <c r="E14" s="1055">
        <v>22110</v>
      </c>
      <c r="F14" s="1073">
        <v>7630</v>
      </c>
      <c r="G14" s="1067" t="s">
        <v>906</v>
      </c>
      <c r="H14" s="1068">
        <f>SUMPRODUCT((B290:B316=基准地价!I2)*(C3:F3=基准地价!E2)*(C290:F316))</f>
        <v>0</v>
      </c>
      <c r="J14" s="1055" t="s">
        <v>1187</v>
      </c>
      <c r="K14" s="1055" t="s">
        <v>1188</v>
      </c>
      <c r="L14" s="1055" t="s">
        <v>1189</v>
      </c>
      <c r="M14" s="1055" t="s">
        <v>1190</v>
      </c>
      <c r="N14" s="1055" t="s">
        <v>1191</v>
      </c>
      <c r="O14" s="1055" t="s">
        <v>1192</v>
      </c>
      <c r="P14" s="1055" t="s">
        <v>1193</v>
      </c>
      <c r="Q14" s="1055" t="s">
        <v>1194</v>
      </c>
      <c r="R14" s="1055" t="s">
        <v>1195</v>
      </c>
      <c r="S14" s="1055" t="s">
        <v>1196</v>
      </c>
    </row>
    <row r="15" spans="1:20" ht="14.25" customHeight="1" thickBot="1">
      <c r="A15" s="1061" t="s">
        <v>1145</v>
      </c>
      <c r="B15" s="1069" t="s">
        <v>1113</v>
      </c>
      <c r="C15" s="1055">
        <v>24760</v>
      </c>
      <c r="D15" s="1055">
        <v>24440</v>
      </c>
      <c r="E15" s="1055">
        <v>24130</v>
      </c>
      <c r="F15" s="1073">
        <v>9480</v>
      </c>
      <c r="G15" s="1067" t="s">
        <v>907</v>
      </c>
      <c r="H15" s="1068">
        <f>SUMPRODUCT((B317:B337=基准地价!I2)*(C3:F3=基准地价!E2)*(C317:F337))</f>
        <v>0</v>
      </c>
      <c r="J15" s="1055" t="s">
        <v>1197</v>
      </c>
      <c r="K15" s="1055" t="s">
        <v>1198</v>
      </c>
      <c r="L15" s="1055" t="s">
        <v>1199</v>
      </c>
      <c r="M15" s="1055" t="s">
        <v>1200</v>
      </c>
      <c r="N15" s="1055" t="s">
        <v>1201</v>
      </c>
      <c r="O15" s="1055" t="s">
        <v>1202</v>
      </c>
      <c r="P15" s="1055" t="s">
        <v>1203</v>
      </c>
      <c r="Q15" s="1055" t="s">
        <v>1204</v>
      </c>
      <c r="R15" s="1055" t="s">
        <v>1205</v>
      </c>
      <c r="S15" s="1055" t="s">
        <v>1206</v>
      </c>
    </row>
    <row r="16" spans="1:20" ht="14.25" customHeight="1" thickBot="1">
      <c r="A16" s="1061" t="s">
        <v>1145</v>
      </c>
      <c r="B16" s="1069" t="s">
        <v>1124</v>
      </c>
      <c r="C16" s="1055">
        <v>22220</v>
      </c>
      <c r="D16" s="1055">
        <v>22310</v>
      </c>
      <c r="E16" s="1055">
        <v>22000</v>
      </c>
      <c r="F16" s="1073">
        <v>8900</v>
      </c>
      <c r="G16" s="1074" t="s">
        <v>908</v>
      </c>
      <c r="H16" s="1075">
        <f>SUMPRODUCT((B338:B344=基准地价!I2)*(C3:F3=基准地价!E2)*(C338:F344))</f>
        <v>0</v>
      </c>
      <c r="J16" s="1055" t="s">
        <v>1207</v>
      </c>
      <c r="K16" s="1055" t="s">
        <v>1208</v>
      </c>
      <c r="L16" s="1055" t="s">
        <v>1209</v>
      </c>
      <c r="M16" s="1055" t="s">
        <v>1210</v>
      </c>
      <c r="N16" s="1055" t="s">
        <v>1211</v>
      </c>
      <c r="O16" s="1055" t="s">
        <v>1212</v>
      </c>
      <c r="P16" s="1055" t="s">
        <v>1213</v>
      </c>
      <c r="Q16" s="1055" t="s">
        <v>1214</v>
      </c>
      <c r="R16" s="1055" t="s">
        <v>1215</v>
      </c>
      <c r="S16" s="1055" t="s">
        <v>1216</v>
      </c>
    </row>
    <row r="17" spans="1:19" ht="14.25" customHeight="1" thickBot="1">
      <c r="A17" s="1061" t="s">
        <v>1145</v>
      </c>
      <c r="B17" s="1069" t="s">
        <v>1135</v>
      </c>
      <c r="C17" s="1055">
        <v>24700</v>
      </c>
      <c r="D17" s="1055">
        <v>25150</v>
      </c>
      <c r="E17" s="1055">
        <v>24700</v>
      </c>
      <c r="F17" s="1076"/>
      <c r="H17" s="1077"/>
      <c r="J17" s="1055" t="s">
        <v>1217</v>
      </c>
      <c r="K17" s="1055" t="s">
        <v>1218</v>
      </c>
      <c r="L17" s="1055" t="s">
        <v>1219</v>
      </c>
      <c r="M17" s="1055" t="s">
        <v>1220</v>
      </c>
      <c r="N17" s="1055" t="s">
        <v>1221</v>
      </c>
      <c r="O17" s="1055" t="s">
        <v>1222</v>
      </c>
      <c r="P17" s="1055" t="s">
        <v>1223</v>
      </c>
      <c r="Q17" s="1055" t="s">
        <v>1224</v>
      </c>
      <c r="R17" s="1055" t="s">
        <v>1225</v>
      </c>
      <c r="S17" s="1055" t="s">
        <v>1226</v>
      </c>
    </row>
    <row r="18" spans="1:19" ht="14.25" customHeight="1" thickBot="1">
      <c r="A18" s="1061" t="s">
        <v>1145</v>
      </c>
      <c r="B18" s="1069" t="s">
        <v>1147</v>
      </c>
      <c r="C18" s="1055">
        <v>22350</v>
      </c>
      <c r="D18" s="1055">
        <v>24340</v>
      </c>
      <c r="E18" s="1055">
        <v>24100</v>
      </c>
      <c r="F18" s="1076"/>
      <c r="H18" s="1077"/>
      <c r="J18" s="1055" t="s">
        <v>1227</v>
      </c>
      <c r="K18" s="1055" t="s">
        <v>1228</v>
      </c>
      <c r="L18" s="1055" t="s">
        <v>1229</v>
      </c>
      <c r="M18" s="1055" t="s">
        <v>1230</v>
      </c>
      <c r="N18" s="1055" t="s">
        <v>1231</v>
      </c>
      <c r="O18" s="1055" t="s">
        <v>1232</v>
      </c>
      <c r="P18" s="1055" t="s">
        <v>1233</v>
      </c>
      <c r="Q18" s="1055" t="s">
        <v>1234</v>
      </c>
      <c r="R18" s="1055" t="s">
        <v>1235</v>
      </c>
      <c r="S18" s="1055" t="s">
        <v>1236</v>
      </c>
    </row>
    <row r="19" spans="1:19" ht="14.25" customHeight="1" thickBot="1">
      <c r="A19" s="1061" t="s">
        <v>1145</v>
      </c>
      <c r="B19" s="1069" t="s">
        <v>1157</v>
      </c>
      <c r="C19" s="1055">
        <v>23430</v>
      </c>
      <c r="D19" s="1055">
        <v>21580</v>
      </c>
      <c r="E19" s="1055">
        <v>21350</v>
      </c>
      <c r="F19" s="1076"/>
      <c r="H19" s="1077"/>
      <c r="J19" s="1055" t="s">
        <v>1237</v>
      </c>
      <c r="K19" s="1055" t="s">
        <v>1238</v>
      </c>
      <c r="L19" s="1055" t="s">
        <v>1239</v>
      </c>
      <c r="M19" s="1055" t="s">
        <v>1240</v>
      </c>
      <c r="N19" s="1055" t="s">
        <v>1241</v>
      </c>
      <c r="O19" s="1055" t="s">
        <v>1242</v>
      </c>
      <c r="P19" s="1055" t="s">
        <v>1243</v>
      </c>
      <c r="Q19" s="1055" t="s">
        <v>1244</v>
      </c>
      <c r="R19" s="1055" t="s">
        <v>1245</v>
      </c>
      <c r="S19" s="1055" t="s">
        <v>1246</v>
      </c>
    </row>
    <row r="20" spans="1:19" ht="14.25" customHeight="1" thickBot="1">
      <c r="A20" s="1061" t="s">
        <v>1145</v>
      </c>
      <c r="B20" s="1069" t="s">
        <v>1167</v>
      </c>
      <c r="C20" s="1055">
        <v>27660</v>
      </c>
      <c r="D20" s="1055">
        <v>24240</v>
      </c>
      <c r="E20" s="1055">
        <v>24020</v>
      </c>
      <c r="F20" s="1076"/>
      <c r="J20" s="1055" t="s">
        <v>1247</v>
      </c>
      <c r="K20" s="1055" t="s">
        <v>1248</v>
      </c>
      <c r="L20" s="1055" t="s">
        <v>1249</v>
      </c>
      <c r="M20" s="1055" t="s">
        <v>1250</v>
      </c>
      <c r="N20" s="1055" t="s">
        <v>1251</v>
      </c>
      <c r="O20" s="1055" t="s">
        <v>1252</v>
      </c>
      <c r="P20" s="1055" t="s">
        <v>1253</v>
      </c>
      <c r="Q20" s="1055" t="s">
        <v>1254</v>
      </c>
      <c r="R20" s="1055" t="s">
        <v>1255</v>
      </c>
      <c r="S20" s="1055" t="s">
        <v>1256</v>
      </c>
    </row>
    <row r="21" spans="1:19" ht="14.25" customHeight="1" thickBot="1">
      <c r="A21" s="1061" t="s">
        <v>1145</v>
      </c>
      <c r="B21" s="1069" t="s">
        <v>1177</v>
      </c>
      <c r="C21" s="1055">
        <v>24720</v>
      </c>
      <c r="D21" s="1055">
        <v>21670</v>
      </c>
      <c r="E21" s="1055">
        <v>21510</v>
      </c>
      <c r="F21" s="1076"/>
      <c r="K21" s="1055" t="s">
        <v>1257</v>
      </c>
      <c r="L21" s="1055" t="s">
        <v>1258</v>
      </c>
      <c r="M21" s="1055" t="s">
        <v>1259</v>
      </c>
      <c r="N21" s="1055" t="s">
        <v>1260</v>
      </c>
      <c r="O21" s="1055" t="s">
        <v>1261</v>
      </c>
      <c r="P21" s="1055" t="s">
        <v>1262</v>
      </c>
      <c r="Q21" s="1055" t="s">
        <v>1263</v>
      </c>
      <c r="R21" s="1055" t="s">
        <v>1264</v>
      </c>
      <c r="S21" s="1055" t="s">
        <v>1265</v>
      </c>
    </row>
    <row r="22" spans="1:19" ht="14.25" customHeight="1" thickBot="1">
      <c r="A22" s="1061" t="s">
        <v>1145</v>
      </c>
      <c r="B22" s="1069" t="s">
        <v>1266</v>
      </c>
      <c r="C22" s="1055">
        <v>26530</v>
      </c>
      <c r="D22" s="1055">
        <v>22980</v>
      </c>
      <c r="E22" s="1055">
        <v>22650</v>
      </c>
      <c r="F22" s="1076"/>
      <c r="L22" s="1055" t="s">
        <v>1267</v>
      </c>
      <c r="M22" s="1055" t="s">
        <v>1268</v>
      </c>
      <c r="N22" s="1055" t="s">
        <v>1269</v>
      </c>
      <c r="O22" s="1055" t="s">
        <v>1270</v>
      </c>
      <c r="P22" s="1055" t="s">
        <v>1271</v>
      </c>
      <c r="Q22" s="1055" t="s">
        <v>1272</v>
      </c>
      <c r="R22" s="1055" t="s">
        <v>1273</v>
      </c>
      <c r="S22" s="1069" t="s">
        <v>1274</v>
      </c>
    </row>
    <row r="23" spans="1:19" ht="14.25" customHeight="1" thickBot="1">
      <c r="A23" s="1061" t="s">
        <v>1145</v>
      </c>
      <c r="B23" s="1069" t="s">
        <v>1197</v>
      </c>
      <c r="C23" s="1055">
        <v>24700</v>
      </c>
      <c r="D23" s="1055">
        <v>27290</v>
      </c>
      <c r="E23" s="1055">
        <v>26710</v>
      </c>
      <c r="F23" s="1076"/>
      <c r="L23" s="1055" t="s">
        <v>1275</v>
      </c>
      <c r="M23" s="1055" t="s">
        <v>1276</v>
      </c>
      <c r="N23" s="1055" t="s">
        <v>1277</v>
      </c>
      <c r="O23" s="1055" t="s">
        <v>1278</v>
      </c>
      <c r="P23" s="1055" t="s">
        <v>1279</v>
      </c>
      <c r="Q23" s="1055" t="s">
        <v>1280</v>
      </c>
      <c r="R23" s="1055" t="s">
        <v>1281</v>
      </c>
    </row>
    <row r="24" spans="1:19" ht="14.25" customHeight="1" thickBot="1">
      <c r="A24" s="1061" t="s">
        <v>1145</v>
      </c>
      <c r="B24" s="1069" t="s">
        <v>1207</v>
      </c>
      <c r="C24" s="1055">
        <v>23070</v>
      </c>
      <c r="D24" s="1055">
        <v>24130</v>
      </c>
      <c r="E24" s="1055">
        <v>23860</v>
      </c>
      <c r="F24" s="1076"/>
      <c r="L24" s="1055" t="s">
        <v>1282</v>
      </c>
      <c r="M24" s="1055" t="s">
        <v>1283</v>
      </c>
      <c r="N24" s="1055" t="s">
        <v>1284</v>
      </c>
      <c r="O24" s="1055" t="s">
        <v>1285</v>
      </c>
      <c r="P24" s="1055" t="s">
        <v>1286</v>
      </c>
      <c r="Q24" s="1055" t="s">
        <v>1287</v>
      </c>
      <c r="R24" s="1055" t="s">
        <v>1288</v>
      </c>
    </row>
    <row r="25" spans="1:19" ht="14.25" customHeight="1" thickBot="1">
      <c r="A25" s="1061" t="s">
        <v>1145</v>
      </c>
      <c r="B25" s="1069" t="s">
        <v>1217</v>
      </c>
      <c r="C25" s="1055">
        <v>27550</v>
      </c>
      <c r="D25" s="1055">
        <v>25850</v>
      </c>
      <c r="E25" s="1055">
        <v>25340</v>
      </c>
      <c r="F25" s="1076"/>
      <c r="L25" s="1055" t="s">
        <v>1289</v>
      </c>
      <c r="M25" s="1055" t="s">
        <v>1290</v>
      </c>
      <c r="N25" s="1055" t="s">
        <v>1291</v>
      </c>
      <c r="O25" s="1055" t="s">
        <v>1292</v>
      </c>
      <c r="P25" s="1055" t="s">
        <v>1293</v>
      </c>
      <c r="Q25" s="1055" t="s">
        <v>1294</v>
      </c>
      <c r="R25" s="1055" t="s">
        <v>1295</v>
      </c>
    </row>
    <row r="26" spans="1:19" ht="14.25" customHeight="1" thickBot="1">
      <c r="A26" s="1061" t="s">
        <v>1145</v>
      </c>
      <c r="B26" s="1069" t="s">
        <v>1227</v>
      </c>
      <c r="C26" s="1055"/>
      <c r="D26" s="1055">
        <v>23900</v>
      </c>
      <c r="E26" s="1055">
        <v>23590</v>
      </c>
      <c r="F26" s="1076"/>
      <c r="L26" s="1055" t="s">
        <v>1296</v>
      </c>
      <c r="M26" s="1055" t="s">
        <v>1297</v>
      </c>
      <c r="N26" s="1055" t="s">
        <v>1298</v>
      </c>
      <c r="O26" s="1055" t="s">
        <v>1299</v>
      </c>
      <c r="P26" s="1055" t="s">
        <v>1300</v>
      </c>
      <c r="Q26" s="1055" t="s">
        <v>1301</v>
      </c>
      <c r="R26" s="1055" t="s">
        <v>1302</v>
      </c>
    </row>
    <row r="27" spans="1:19" ht="14.25" customHeight="1" thickBot="1">
      <c r="A27" s="1061" t="s">
        <v>1145</v>
      </c>
      <c r="B27" s="1069" t="s">
        <v>1237</v>
      </c>
      <c r="C27" s="1055"/>
      <c r="D27" s="1055">
        <v>22850</v>
      </c>
      <c r="E27" s="1055">
        <v>21920</v>
      </c>
      <c r="F27" s="1076"/>
      <c r="L27" s="1055" t="s">
        <v>1303</v>
      </c>
      <c r="M27" s="1055" t="s">
        <v>1304</v>
      </c>
      <c r="N27" s="1055" t="s">
        <v>1305</v>
      </c>
      <c r="O27" s="1055" t="s">
        <v>1306</v>
      </c>
      <c r="P27" s="1055" t="s">
        <v>1307</v>
      </c>
      <c r="Q27" s="1055" t="s">
        <v>1308</v>
      </c>
      <c r="R27" s="1055" t="s">
        <v>1309</v>
      </c>
    </row>
    <row r="28" spans="1:19" ht="14.25" customHeight="1" thickBot="1">
      <c r="A28" s="1078" t="s">
        <v>1145</v>
      </c>
      <c r="B28" s="1070" t="s">
        <v>1247</v>
      </c>
      <c r="C28" s="1071"/>
      <c r="D28" s="1071">
        <v>26610</v>
      </c>
      <c r="E28" s="1071">
        <v>26370</v>
      </c>
      <c r="F28" s="1072"/>
      <c r="L28" s="1055" t="s">
        <v>1310</v>
      </c>
      <c r="M28" s="1055" t="s">
        <v>1311</v>
      </c>
      <c r="N28" s="1055" t="s">
        <v>1312</v>
      </c>
      <c r="O28" s="1055" t="s">
        <v>1313</v>
      </c>
      <c r="P28" s="1055" t="s">
        <v>1314</v>
      </c>
      <c r="Q28" s="1055" t="s">
        <v>1315</v>
      </c>
    </row>
    <row r="29" spans="1:19" ht="14.25" customHeight="1" thickBot="1">
      <c r="A29" s="1061" t="s">
        <v>1316</v>
      </c>
      <c r="B29" s="1062" t="s">
        <v>1317</v>
      </c>
      <c r="C29" s="1062">
        <v>22090</v>
      </c>
      <c r="D29" s="1062">
        <v>21860</v>
      </c>
      <c r="E29" s="1062">
        <v>19380</v>
      </c>
      <c r="F29" s="1063">
        <v>6610</v>
      </c>
      <c r="M29" s="1055" t="s">
        <v>1318</v>
      </c>
      <c r="N29" s="1055" t="s">
        <v>1319</v>
      </c>
      <c r="O29" s="1055" t="s">
        <v>1320</v>
      </c>
      <c r="P29" s="1055" t="s">
        <v>1321</v>
      </c>
      <c r="Q29" s="1055" t="s">
        <v>1322</v>
      </c>
    </row>
    <row r="30" spans="1:19" ht="14.25" customHeight="1" thickBot="1">
      <c r="A30" s="1061" t="s">
        <v>1316</v>
      </c>
      <c r="B30" s="1069" t="s">
        <v>1062</v>
      </c>
      <c r="C30" s="1055">
        <v>21380</v>
      </c>
      <c r="D30" s="1055">
        <v>19930</v>
      </c>
      <c r="E30" s="1055">
        <v>19860</v>
      </c>
      <c r="F30" s="1073">
        <v>6010</v>
      </c>
      <c r="H30" s="1077"/>
      <c r="M30" s="1055" t="s">
        <v>1323</v>
      </c>
      <c r="N30" s="1055" t="s">
        <v>1324</v>
      </c>
      <c r="O30" s="1055" t="s">
        <v>1325</v>
      </c>
      <c r="P30" s="1055" t="s">
        <v>2405</v>
      </c>
      <c r="Q30" s="1055" t="s">
        <v>1326</v>
      </c>
    </row>
    <row r="31" spans="1:19" ht="14.25" customHeight="1" thickBot="1">
      <c r="A31" s="1061" t="s">
        <v>1316</v>
      </c>
      <c r="B31" s="1069" t="s">
        <v>1076</v>
      </c>
      <c r="C31" s="1055">
        <v>21670</v>
      </c>
      <c r="D31" s="1055">
        <v>20660</v>
      </c>
      <c r="E31" s="1055">
        <v>20290</v>
      </c>
      <c r="F31" s="1073">
        <v>5840</v>
      </c>
      <c r="H31" s="1077"/>
      <c r="M31" s="1055" t="s">
        <v>1327</v>
      </c>
      <c r="N31" s="1055" t="s">
        <v>1328</v>
      </c>
      <c r="O31" s="1055" t="s">
        <v>1329</v>
      </c>
      <c r="P31" s="1055" t="s">
        <v>1330</v>
      </c>
      <c r="Q31" s="1055" t="s">
        <v>1331</v>
      </c>
    </row>
    <row r="32" spans="1:19" ht="14.25" customHeight="1" thickBot="1">
      <c r="A32" s="1061" t="s">
        <v>1316</v>
      </c>
      <c r="B32" s="1069" t="s">
        <v>1089</v>
      </c>
      <c r="C32" s="1055">
        <v>22280</v>
      </c>
      <c r="D32" s="1055">
        <v>21800</v>
      </c>
      <c r="E32" s="1055">
        <v>17650</v>
      </c>
      <c r="F32" s="1073">
        <v>4690</v>
      </c>
      <c r="H32" s="1077"/>
      <c r="M32" s="1055" t="s">
        <v>1332</v>
      </c>
      <c r="N32" s="1055" t="s">
        <v>1333</v>
      </c>
      <c r="O32" s="1055" t="s">
        <v>1334</v>
      </c>
      <c r="P32" s="1055" t="s">
        <v>1335</v>
      </c>
      <c r="Q32" s="1055" t="s">
        <v>1336</v>
      </c>
    </row>
    <row r="33" spans="1:17" ht="14.25" customHeight="1" thickBot="1">
      <c r="A33" s="1061" t="s">
        <v>1316</v>
      </c>
      <c r="B33" s="1069" t="s">
        <v>1103</v>
      </c>
      <c r="C33" s="1055">
        <v>22130</v>
      </c>
      <c r="D33" s="1055">
        <v>20460</v>
      </c>
      <c r="E33" s="1055">
        <v>18500</v>
      </c>
      <c r="F33" s="1073">
        <v>5340</v>
      </c>
      <c r="H33" s="1077"/>
      <c r="M33" s="1055" t="s">
        <v>1337</v>
      </c>
      <c r="N33" s="1055" t="s">
        <v>1338</v>
      </c>
      <c r="O33" s="1055" t="s">
        <v>1339</v>
      </c>
      <c r="P33" s="1055" t="s">
        <v>1340</v>
      </c>
      <c r="Q33" s="1055" t="s">
        <v>1341</v>
      </c>
    </row>
    <row r="34" spans="1:17" ht="14.25" customHeight="1" thickBot="1">
      <c r="A34" s="1061" t="s">
        <v>1316</v>
      </c>
      <c r="B34" s="1069" t="s">
        <v>1114</v>
      </c>
      <c r="C34" s="1055">
        <v>22070</v>
      </c>
      <c r="D34" s="1055">
        <v>20110</v>
      </c>
      <c r="E34" s="1055">
        <v>18830</v>
      </c>
      <c r="F34" s="1073">
        <v>5190</v>
      </c>
      <c r="H34" s="1077"/>
      <c r="M34" s="1055" t="s">
        <v>1342</v>
      </c>
      <c r="N34" s="1055" t="s">
        <v>1343</v>
      </c>
      <c r="O34" s="1055" t="s">
        <v>1344</v>
      </c>
      <c r="P34" s="1055" t="s">
        <v>1345</v>
      </c>
      <c r="Q34" s="1055" t="s">
        <v>1346</v>
      </c>
    </row>
    <row r="35" spans="1:17" ht="14.25" customHeight="1" thickBot="1">
      <c r="A35" s="1061" t="s">
        <v>1316</v>
      </c>
      <c r="B35" s="1069" t="s">
        <v>1125</v>
      </c>
      <c r="C35" s="1055">
        <v>22240</v>
      </c>
      <c r="D35" s="1055">
        <v>19550</v>
      </c>
      <c r="E35" s="1055">
        <v>19220</v>
      </c>
      <c r="F35" s="1073">
        <v>5800</v>
      </c>
      <c r="H35" s="1077"/>
      <c r="M35" s="1055" t="s">
        <v>1347</v>
      </c>
      <c r="N35" s="1055" t="s">
        <v>1348</v>
      </c>
      <c r="O35" s="1055" t="s">
        <v>1349</v>
      </c>
      <c r="P35" s="1055" t="s">
        <v>1350</v>
      </c>
      <c r="Q35" s="1055" t="s">
        <v>1351</v>
      </c>
    </row>
    <row r="36" spans="1:17" ht="14.25" customHeight="1" thickBot="1">
      <c r="A36" s="1061" t="s">
        <v>1316</v>
      </c>
      <c r="B36" s="1069" t="s">
        <v>1136</v>
      </c>
      <c r="C36" s="1055">
        <v>19750</v>
      </c>
      <c r="D36" s="1055">
        <v>19790</v>
      </c>
      <c r="E36" s="1055">
        <v>18510</v>
      </c>
      <c r="F36" s="1073">
        <v>6520</v>
      </c>
      <c r="H36" s="1077"/>
      <c r="N36" s="1055" t="s">
        <v>1352</v>
      </c>
      <c r="O36" s="1055" t="s">
        <v>1353</v>
      </c>
      <c r="P36" s="1055" t="s">
        <v>1354</v>
      </c>
      <c r="Q36" s="1055" t="s">
        <v>1355</v>
      </c>
    </row>
    <row r="37" spans="1:17" ht="14.25" customHeight="1" thickBot="1">
      <c r="A37" s="1061" t="s">
        <v>1316</v>
      </c>
      <c r="B37" s="1069" t="s">
        <v>1148</v>
      </c>
      <c r="C37" s="1055">
        <v>22380</v>
      </c>
      <c r="D37" s="1055">
        <v>18530</v>
      </c>
      <c r="E37" s="1055">
        <v>17930</v>
      </c>
      <c r="F37" s="1073">
        <v>6270</v>
      </c>
      <c r="H37" s="1079"/>
      <c r="N37" s="1055" t="s">
        <v>1356</v>
      </c>
      <c r="O37" s="1055" t="s">
        <v>1357</v>
      </c>
      <c r="P37" s="1055" t="s">
        <v>1358</v>
      </c>
      <c r="Q37" s="1055" t="s">
        <v>1359</v>
      </c>
    </row>
    <row r="38" spans="1:17" ht="14.25" customHeight="1" thickBot="1">
      <c r="A38" s="1061" t="s">
        <v>1316</v>
      </c>
      <c r="B38" s="1069" t="s">
        <v>1158</v>
      </c>
      <c r="C38" s="1055">
        <v>20200</v>
      </c>
      <c r="D38" s="1055">
        <v>20070</v>
      </c>
      <c r="E38" s="1055">
        <v>19950</v>
      </c>
      <c r="F38" s="1073"/>
      <c r="H38" s="1080"/>
      <c r="N38" s="1055" t="s">
        <v>1360</v>
      </c>
      <c r="O38" s="1055" t="s">
        <v>1361</v>
      </c>
      <c r="P38" s="1055" t="s">
        <v>1362</v>
      </c>
      <c r="Q38" s="1055" t="s">
        <v>1363</v>
      </c>
    </row>
    <row r="39" spans="1:17" ht="14.25" customHeight="1" thickBot="1">
      <c r="A39" s="1061" t="s">
        <v>1316</v>
      </c>
      <c r="B39" s="1069" t="s">
        <v>1168</v>
      </c>
      <c r="C39" s="1055">
        <v>19300</v>
      </c>
      <c r="D39" s="1055">
        <v>20360</v>
      </c>
      <c r="E39" s="1055">
        <v>20230</v>
      </c>
      <c r="F39" s="1073"/>
      <c r="H39" s="1080"/>
      <c r="N39" s="1055" t="s">
        <v>1364</v>
      </c>
      <c r="O39" s="1055" t="s">
        <v>1365</v>
      </c>
      <c r="P39" s="1055" t="s">
        <v>1366</v>
      </c>
      <c r="Q39" s="1055" t="s">
        <v>1367</v>
      </c>
    </row>
    <row r="40" spans="1:17" ht="14.25" customHeight="1" thickBot="1">
      <c r="A40" s="1061" t="s">
        <v>1316</v>
      </c>
      <c r="B40" s="1069" t="s">
        <v>1178</v>
      </c>
      <c r="C40" s="1055">
        <v>20210</v>
      </c>
      <c r="D40" s="1055">
        <v>19060</v>
      </c>
      <c r="E40" s="1055">
        <v>18890</v>
      </c>
      <c r="F40" s="1073"/>
      <c r="H40" s="1080"/>
      <c r="N40" s="1055" t="s">
        <v>1368</v>
      </c>
      <c r="O40" s="1055" t="s">
        <v>1369</v>
      </c>
      <c r="P40" s="1055" t="s">
        <v>1370</v>
      </c>
      <c r="Q40" s="1055" t="s">
        <v>1371</v>
      </c>
    </row>
    <row r="41" spans="1:17" ht="14.25" customHeight="1" thickBot="1">
      <c r="A41" s="1061" t="s">
        <v>1316</v>
      </c>
      <c r="B41" s="1069" t="s">
        <v>1188</v>
      </c>
      <c r="C41" s="1055">
        <v>20560</v>
      </c>
      <c r="D41" s="1055">
        <v>21040</v>
      </c>
      <c r="E41" s="1055">
        <v>20740</v>
      </c>
      <c r="F41" s="1073"/>
      <c r="H41" s="1080"/>
      <c r="N41" s="1069" t="s">
        <v>1372</v>
      </c>
      <c r="O41" s="1069" t="s">
        <v>1373</v>
      </c>
      <c r="Q41" s="1069" t="s">
        <v>1374</v>
      </c>
    </row>
    <row r="42" spans="1:17" ht="14.25" customHeight="1" thickBot="1">
      <c r="A42" s="1061" t="s">
        <v>1316</v>
      </c>
      <c r="B42" s="1069" t="s">
        <v>1198</v>
      </c>
      <c r="C42" s="1055">
        <v>19280</v>
      </c>
      <c r="D42" s="1055">
        <v>22940</v>
      </c>
      <c r="E42" s="1055">
        <v>22500</v>
      </c>
      <c r="F42" s="1073"/>
      <c r="H42" s="1080"/>
      <c r="N42" s="1055" t="s">
        <v>1375</v>
      </c>
      <c r="O42" s="1055" t="s">
        <v>1376</v>
      </c>
      <c r="Q42" s="1055" t="s">
        <v>1377</v>
      </c>
    </row>
    <row r="43" spans="1:17" ht="14.25" customHeight="1" thickBot="1">
      <c r="A43" s="1061" t="s">
        <v>1316</v>
      </c>
      <c r="B43" s="1069" t="s">
        <v>1208</v>
      </c>
      <c r="C43" s="1055">
        <v>21520</v>
      </c>
      <c r="D43" s="1055">
        <v>19230</v>
      </c>
      <c r="E43" s="1055">
        <v>18540</v>
      </c>
      <c r="F43" s="1073"/>
      <c r="H43" s="1080"/>
      <c r="N43" s="1055" t="s">
        <v>1378</v>
      </c>
      <c r="O43" s="1055" t="s">
        <v>1379</v>
      </c>
      <c r="Q43" s="1055" t="s">
        <v>1380</v>
      </c>
    </row>
    <row r="44" spans="1:17" ht="14.25" customHeight="1" thickBot="1">
      <c r="A44" s="1061" t="s">
        <v>1316</v>
      </c>
      <c r="B44" s="1069" t="s">
        <v>1218</v>
      </c>
      <c r="C44" s="1055">
        <v>23260</v>
      </c>
      <c r="D44" s="1055">
        <v>21180</v>
      </c>
      <c r="E44" s="1055">
        <v>20730</v>
      </c>
      <c r="F44" s="1073"/>
      <c r="H44" s="1080"/>
      <c r="N44" s="1055" t="s">
        <v>1381</v>
      </c>
      <c r="O44" s="1055" t="s">
        <v>1382</v>
      </c>
      <c r="Q44" s="1055" t="s">
        <v>1383</v>
      </c>
    </row>
    <row r="45" spans="1:17" ht="14.25" customHeight="1" thickBot="1">
      <c r="A45" s="1061" t="s">
        <v>1316</v>
      </c>
      <c r="B45" s="1069" t="s">
        <v>1228</v>
      </c>
      <c r="C45" s="1055">
        <v>19610</v>
      </c>
      <c r="D45" s="1055">
        <v>18090</v>
      </c>
      <c r="E45" s="1055">
        <v>17970</v>
      </c>
      <c r="F45" s="1073"/>
      <c r="H45" s="1077"/>
      <c r="N45" s="1055" t="s">
        <v>1384</v>
      </c>
      <c r="O45" s="1055" t="s">
        <v>1385</v>
      </c>
      <c r="Q45" s="1055" t="s">
        <v>1386</v>
      </c>
    </row>
    <row r="46" spans="1:17" ht="14.25" customHeight="1" thickBot="1">
      <c r="A46" s="1061" t="s">
        <v>1316</v>
      </c>
      <c r="B46" s="1069" t="s">
        <v>1238</v>
      </c>
      <c r="C46" s="1055">
        <v>21660</v>
      </c>
      <c r="D46" s="1055">
        <v>19190</v>
      </c>
      <c r="E46" s="1055">
        <v>19790</v>
      </c>
      <c r="F46" s="1073"/>
      <c r="H46" s="1080"/>
      <c r="N46" s="1055" t="s">
        <v>1387</v>
      </c>
      <c r="O46" s="1055" t="s">
        <v>1388</v>
      </c>
      <c r="Q46" s="1055" t="s">
        <v>1389</v>
      </c>
    </row>
    <row r="47" spans="1:17" ht="14.25" customHeight="1" thickBot="1">
      <c r="A47" s="1061" t="s">
        <v>1316</v>
      </c>
      <c r="B47" s="1069" t="s">
        <v>1248</v>
      </c>
      <c r="C47" s="1055">
        <v>18220</v>
      </c>
      <c r="D47" s="1055"/>
      <c r="E47" s="1055">
        <v>17220</v>
      </c>
      <c r="F47" s="1073"/>
      <c r="H47" s="1080"/>
      <c r="N47" s="1055" t="s">
        <v>1390</v>
      </c>
      <c r="O47" s="1055" t="s">
        <v>1391</v>
      </c>
    </row>
    <row r="48" spans="1:17" ht="14.25" customHeight="1" thickBot="1">
      <c r="A48" s="1061" t="s">
        <v>1316</v>
      </c>
      <c r="B48" s="1070" t="s">
        <v>1257</v>
      </c>
      <c r="C48" s="1071">
        <v>19430</v>
      </c>
      <c r="D48" s="1071"/>
      <c r="E48" s="1071">
        <v>17830</v>
      </c>
      <c r="F48" s="1081"/>
      <c r="H48" s="1077"/>
      <c r="N48" s="1055" t="s">
        <v>1392</v>
      </c>
      <c r="O48" s="1055" t="s">
        <v>1393</v>
      </c>
    </row>
    <row r="49" spans="1:15" ht="14.25" customHeight="1" thickBot="1">
      <c r="A49" s="1061" t="s">
        <v>915</v>
      </c>
      <c r="B49" s="1062" t="s">
        <v>1394</v>
      </c>
      <c r="C49" s="1062">
        <v>17090</v>
      </c>
      <c r="D49" s="1062">
        <v>16950</v>
      </c>
      <c r="E49" s="1062">
        <v>16310</v>
      </c>
      <c r="F49" s="1063">
        <v>4540</v>
      </c>
      <c r="H49" s="1080"/>
      <c r="N49" s="1055" t="s">
        <v>1395</v>
      </c>
      <c r="O49" s="1055" t="s">
        <v>1396</v>
      </c>
    </row>
    <row r="50" spans="1:15" ht="14.25" customHeight="1" thickBot="1">
      <c r="A50" s="1061" t="s">
        <v>915</v>
      </c>
      <c r="B50" s="1055" t="s">
        <v>1063</v>
      </c>
      <c r="C50" s="1055">
        <v>19040</v>
      </c>
      <c r="D50" s="1055">
        <v>16960</v>
      </c>
      <c r="E50" s="1055">
        <v>14800</v>
      </c>
      <c r="F50" s="1073">
        <v>3940</v>
      </c>
      <c r="H50" s="1080"/>
    </row>
    <row r="51" spans="1:15" ht="14.25" customHeight="1" thickBot="1">
      <c r="A51" s="1061" t="s">
        <v>915</v>
      </c>
      <c r="B51" s="1055" t="s">
        <v>1077</v>
      </c>
      <c r="C51" s="1055">
        <v>17040</v>
      </c>
      <c r="D51" s="1055">
        <v>16930</v>
      </c>
      <c r="E51" s="1055">
        <v>15030</v>
      </c>
      <c r="F51" s="1073">
        <v>4120</v>
      </c>
      <c r="H51" s="1080"/>
    </row>
    <row r="52" spans="1:15" ht="14.25" customHeight="1" thickBot="1">
      <c r="A52" s="1061" t="s">
        <v>915</v>
      </c>
      <c r="B52" s="1055" t="s">
        <v>1090</v>
      </c>
      <c r="C52" s="1055">
        <v>17110</v>
      </c>
      <c r="D52" s="1055">
        <v>17750</v>
      </c>
      <c r="E52" s="1055">
        <v>17310</v>
      </c>
      <c r="F52" s="1073">
        <v>3220</v>
      </c>
      <c r="H52" s="1080"/>
    </row>
    <row r="53" spans="1:15" ht="14.25" customHeight="1" thickBot="1">
      <c r="A53" s="1061" t="s">
        <v>915</v>
      </c>
      <c r="B53" s="1055" t="s">
        <v>1104</v>
      </c>
      <c r="C53" s="1055">
        <v>17810</v>
      </c>
      <c r="D53" s="1055">
        <v>17260</v>
      </c>
      <c r="E53" s="1055">
        <v>17090</v>
      </c>
      <c r="F53" s="1073">
        <v>3520</v>
      </c>
      <c r="H53" s="1080"/>
    </row>
    <row r="54" spans="1:15" ht="14.25" customHeight="1" thickBot="1">
      <c r="A54" s="1061" t="s">
        <v>915</v>
      </c>
      <c r="B54" s="1055" t="s">
        <v>1115</v>
      </c>
      <c r="C54" s="1055">
        <v>17410</v>
      </c>
      <c r="D54" s="1055">
        <v>16780</v>
      </c>
      <c r="E54" s="1055">
        <v>16370</v>
      </c>
      <c r="F54" s="1073">
        <v>3410</v>
      </c>
      <c r="H54" s="1080"/>
    </row>
    <row r="55" spans="1:15" ht="14.25" customHeight="1" thickBot="1">
      <c r="A55" s="1061" t="s">
        <v>915</v>
      </c>
      <c r="B55" s="1055" t="s">
        <v>1126</v>
      </c>
      <c r="C55" s="1055">
        <v>16930</v>
      </c>
      <c r="D55" s="1055">
        <v>14720</v>
      </c>
      <c r="E55" s="1055">
        <v>15000</v>
      </c>
      <c r="F55" s="1073">
        <v>3710</v>
      </c>
      <c r="H55" s="1080"/>
    </row>
    <row r="56" spans="1:15" ht="14.25" customHeight="1" thickBot="1">
      <c r="A56" s="1061" t="s">
        <v>915</v>
      </c>
      <c r="B56" s="1055" t="s">
        <v>1137</v>
      </c>
      <c r="C56" s="1055">
        <v>14930</v>
      </c>
      <c r="D56" s="1055">
        <v>15850</v>
      </c>
      <c r="E56" s="1055">
        <v>14320</v>
      </c>
      <c r="F56" s="1073">
        <v>3960</v>
      </c>
      <c r="H56" s="1080"/>
    </row>
    <row r="57" spans="1:15" ht="14.25" customHeight="1" thickBot="1">
      <c r="A57" s="1061" t="s">
        <v>915</v>
      </c>
      <c r="B57" s="1055" t="s">
        <v>1149</v>
      </c>
      <c r="C57" s="1055">
        <v>16160</v>
      </c>
      <c r="D57" s="1055">
        <v>16190</v>
      </c>
      <c r="E57" s="1055">
        <v>15650</v>
      </c>
      <c r="F57" s="1073">
        <v>4200</v>
      </c>
      <c r="H57" s="1080"/>
    </row>
    <row r="58" spans="1:15" ht="14.25" customHeight="1" thickBot="1">
      <c r="A58" s="1061" t="s">
        <v>915</v>
      </c>
      <c r="B58" s="1055" t="s">
        <v>1159</v>
      </c>
      <c r="C58" s="1055">
        <v>16360</v>
      </c>
      <c r="D58" s="1055">
        <v>14050</v>
      </c>
      <c r="E58" s="1055">
        <v>16070</v>
      </c>
      <c r="F58" s="1073">
        <v>3990</v>
      </c>
      <c r="H58" s="1080"/>
    </row>
    <row r="59" spans="1:15" ht="14.25" customHeight="1" thickBot="1">
      <c r="A59" s="1061" t="s">
        <v>915</v>
      </c>
      <c r="B59" s="1055" t="s">
        <v>1169</v>
      </c>
      <c r="C59" s="1055">
        <v>14160</v>
      </c>
      <c r="D59" s="1055">
        <v>16620</v>
      </c>
      <c r="E59" s="1055">
        <v>13940</v>
      </c>
      <c r="F59" s="1073">
        <v>4260</v>
      </c>
      <c r="H59" s="1080"/>
    </row>
    <row r="60" spans="1:15" ht="14.25" customHeight="1" thickBot="1">
      <c r="A60" s="1061" t="s">
        <v>915</v>
      </c>
      <c r="B60" s="1055" t="s">
        <v>1179</v>
      </c>
      <c r="C60" s="1055">
        <v>16750</v>
      </c>
      <c r="D60" s="1055">
        <v>13910</v>
      </c>
      <c r="E60" s="1055">
        <v>16550</v>
      </c>
      <c r="F60" s="1073">
        <v>4550</v>
      </c>
      <c r="H60" s="1080"/>
    </row>
    <row r="61" spans="1:15" ht="14.25" customHeight="1" thickBot="1">
      <c r="A61" s="1061" t="s">
        <v>915</v>
      </c>
      <c r="B61" s="1055" t="s">
        <v>1189</v>
      </c>
      <c r="C61" s="1055">
        <v>14000</v>
      </c>
      <c r="D61" s="1055">
        <v>14550</v>
      </c>
      <c r="E61" s="1055">
        <v>13860</v>
      </c>
      <c r="F61" s="1082"/>
      <c r="H61" s="1080"/>
    </row>
    <row r="62" spans="1:15" ht="14.25" customHeight="1" thickBot="1">
      <c r="A62" s="1061" t="s">
        <v>915</v>
      </c>
      <c r="B62" s="1055" t="s">
        <v>1199</v>
      </c>
      <c r="C62" s="1055">
        <v>14660</v>
      </c>
      <c r="D62" s="1055">
        <v>17450</v>
      </c>
      <c r="E62" s="1055">
        <v>14470</v>
      </c>
      <c r="F62" s="1082"/>
      <c r="H62" s="1080"/>
    </row>
    <row r="63" spans="1:15" ht="14.25" customHeight="1" thickBot="1">
      <c r="A63" s="1061" t="s">
        <v>915</v>
      </c>
      <c r="B63" s="1055" t="s">
        <v>1209</v>
      </c>
      <c r="C63" s="1055">
        <v>17610</v>
      </c>
      <c r="D63" s="1055">
        <v>16500</v>
      </c>
      <c r="E63" s="1055">
        <v>17330</v>
      </c>
      <c r="F63" s="1082"/>
      <c r="H63" s="1080"/>
    </row>
    <row r="64" spans="1:15" ht="14.25" customHeight="1" thickBot="1">
      <c r="A64" s="1061" t="s">
        <v>915</v>
      </c>
      <c r="B64" s="1055" t="s">
        <v>1219</v>
      </c>
      <c r="C64" s="1055">
        <v>16590</v>
      </c>
      <c r="D64" s="1055">
        <v>15130</v>
      </c>
      <c r="E64" s="1055">
        <v>16420</v>
      </c>
      <c r="F64" s="1082"/>
      <c r="H64" s="1080"/>
    </row>
    <row r="65" spans="1:8" s="1049" customFormat="1" ht="14.25" customHeight="1" thickBot="1">
      <c r="A65" s="1061" t="s">
        <v>915</v>
      </c>
      <c r="B65" s="1055" t="s">
        <v>1229</v>
      </c>
      <c r="C65" s="1055">
        <v>15220</v>
      </c>
      <c r="D65" s="1055">
        <v>14660</v>
      </c>
      <c r="E65" s="1055">
        <v>15060</v>
      </c>
      <c r="F65" s="1073"/>
      <c r="H65" s="1080"/>
    </row>
    <row r="66" spans="1:8" s="1049" customFormat="1" ht="14.25" customHeight="1" thickBot="1">
      <c r="A66" s="1061" t="s">
        <v>915</v>
      </c>
      <c r="B66" s="1055" t="s">
        <v>1239</v>
      </c>
      <c r="C66" s="1055">
        <v>14720</v>
      </c>
      <c r="D66" s="1055">
        <v>15970</v>
      </c>
      <c r="E66" s="1055">
        <v>14610</v>
      </c>
      <c r="F66" s="1073"/>
      <c r="H66" s="1080"/>
    </row>
    <row r="67" spans="1:8" s="1049" customFormat="1" ht="14.25" customHeight="1" thickBot="1">
      <c r="A67" s="1061" t="s">
        <v>915</v>
      </c>
      <c r="B67" s="1055" t="s">
        <v>1249</v>
      </c>
      <c r="C67" s="1055">
        <v>16080</v>
      </c>
      <c r="D67" s="1055">
        <v>14840</v>
      </c>
      <c r="E67" s="1055">
        <v>15630</v>
      </c>
      <c r="F67" s="1073"/>
      <c r="H67" s="1080"/>
    </row>
    <row r="68" spans="1:8" s="1049" customFormat="1" ht="14.25" customHeight="1" thickBot="1">
      <c r="A68" s="1061" t="s">
        <v>915</v>
      </c>
      <c r="B68" s="1055" t="s">
        <v>1258</v>
      </c>
      <c r="C68" s="1055">
        <v>14940</v>
      </c>
      <c r="D68" s="1055">
        <v>18000</v>
      </c>
      <c r="E68" s="1055">
        <v>14040</v>
      </c>
      <c r="F68" s="1073"/>
      <c r="H68" s="1080"/>
    </row>
    <row r="69" spans="1:8" s="1049" customFormat="1" ht="14.25" customHeight="1" thickBot="1">
      <c r="A69" s="1061" t="s">
        <v>915</v>
      </c>
      <c r="B69" s="1055" t="s">
        <v>1267</v>
      </c>
      <c r="C69" s="1055">
        <v>18810</v>
      </c>
      <c r="D69" s="1055">
        <v>15100</v>
      </c>
      <c r="E69" s="1055">
        <v>14710</v>
      </c>
      <c r="F69" s="1073"/>
      <c r="H69" s="1080"/>
    </row>
    <row r="70" spans="1:8" s="1049" customFormat="1" ht="14.25" customHeight="1" thickBot="1">
      <c r="A70" s="1061" t="s">
        <v>915</v>
      </c>
      <c r="B70" s="1055" t="s">
        <v>1275</v>
      </c>
      <c r="C70" s="1055">
        <v>18270</v>
      </c>
      <c r="D70" s="1055"/>
      <c r="E70" s="1055"/>
      <c r="F70" s="1073"/>
      <c r="H70" s="1080"/>
    </row>
    <row r="71" spans="1:8" s="1049" customFormat="1" ht="14.25" customHeight="1" thickBot="1">
      <c r="A71" s="1061" t="s">
        <v>915</v>
      </c>
      <c r="B71" s="1055" t="s">
        <v>1282</v>
      </c>
      <c r="C71" s="1055">
        <v>15230</v>
      </c>
      <c r="D71" s="1055"/>
      <c r="E71" s="1055"/>
      <c r="F71" s="1073"/>
      <c r="H71" s="1080"/>
    </row>
    <row r="72" spans="1:8" s="1049" customFormat="1" ht="14.25" customHeight="1" thickBot="1">
      <c r="A72" s="1061" t="s">
        <v>915</v>
      </c>
      <c r="B72" s="1055" t="s">
        <v>1289</v>
      </c>
      <c r="C72" s="1055"/>
      <c r="D72" s="1055"/>
      <c r="E72" s="1055"/>
      <c r="F72" s="1073">
        <v>4120</v>
      </c>
      <c r="H72" s="1080"/>
    </row>
    <row r="73" spans="1:8" s="1049" customFormat="1" ht="14.25" customHeight="1" thickBot="1">
      <c r="A73" s="1061" t="s">
        <v>915</v>
      </c>
      <c r="B73" s="1055" t="s">
        <v>1296</v>
      </c>
      <c r="C73" s="1055"/>
      <c r="D73" s="1055"/>
      <c r="E73" s="1055"/>
      <c r="F73" s="1073">
        <v>3930</v>
      </c>
      <c r="H73" s="1080"/>
    </row>
    <row r="74" spans="1:8" s="1049" customFormat="1" ht="14.25" customHeight="1" thickBot="1">
      <c r="A74" s="1061" t="s">
        <v>915</v>
      </c>
      <c r="B74" s="1055" t="s">
        <v>1303</v>
      </c>
      <c r="C74" s="1055"/>
      <c r="D74" s="1055"/>
      <c r="E74" s="1055"/>
      <c r="F74" s="1073">
        <v>4060</v>
      </c>
      <c r="H74" s="1080"/>
    </row>
    <row r="75" spans="1:8" s="1049" customFormat="1" ht="14.25" customHeight="1" thickBot="1">
      <c r="A75" s="1061" t="s">
        <v>915</v>
      </c>
      <c r="B75" s="1071" t="s">
        <v>1310</v>
      </c>
      <c r="C75" s="1071"/>
      <c r="D75" s="1071"/>
      <c r="E75" s="1071"/>
      <c r="F75" s="1081">
        <v>3750</v>
      </c>
      <c r="H75" s="1080"/>
    </row>
    <row r="76" spans="1:8" s="1049" customFormat="1" ht="14.25" customHeight="1" thickBot="1">
      <c r="A76" s="1061" t="s">
        <v>1397</v>
      </c>
      <c r="B76" s="1062" t="s">
        <v>1398</v>
      </c>
      <c r="C76" s="1062">
        <v>14690</v>
      </c>
      <c r="D76" s="1062">
        <v>14640</v>
      </c>
      <c r="E76" s="1062">
        <v>14590</v>
      </c>
      <c r="F76" s="1063">
        <v>3060</v>
      </c>
      <c r="H76" s="1080"/>
    </row>
    <row r="77" spans="1:8" s="1049" customFormat="1" ht="14.25" customHeight="1" thickBot="1">
      <c r="A77" s="1061" t="s">
        <v>1397</v>
      </c>
      <c r="B77" s="1055" t="s">
        <v>1064</v>
      </c>
      <c r="C77" s="1055">
        <v>12550</v>
      </c>
      <c r="D77" s="1055">
        <v>12480</v>
      </c>
      <c r="E77" s="1055">
        <v>12450</v>
      </c>
      <c r="F77" s="1073">
        <v>2590</v>
      </c>
      <c r="H77" s="1080"/>
    </row>
    <row r="78" spans="1:8" s="1049" customFormat="1" ht="14.25" customHeight="1" thickBot="1">
      <c r="A78" s="1061" t="s">
        <v>1397</v>
      </c>
      <c r="B78" s="1055" t="s">
        <v>1078</v>
      </c>
      <c r="C78" s="1055">
        <v>14360</v>
      </c>
      <c r="D78" s="1055">
        <v>14320</v>
      </c>
      <c r="E78" s="1055">
        <v>12510</v>
      </c>
      <c r="F78" s="1073">
        <v>2700</v>
      </c>
      <c r="H78" s="1080"/>
    </row>
    <row r="79" spans="1:8" s="1049" customFormat="1" ht="14.25" customHeight="1" thickBot="1">
      <c r="A79" s="1061" t="s">
        <v>1397</v>
      </c>
      <c r="B79" s="1055" t="s">
        <v>1091</v>
      </c>
      <c r="C79" s="1055">
        <v>12590</v>
      </c>
      <c r="D79" s="1055">
        <v>12540</v>
      </c>
      <c r="E79" s="1055">
        <v>12350</v>
      </c>
      <c r="F79" s="1073">
        <v>2740</v>
      </c>
      <c r="H79" s="1080"/>
    </row>
    <row r="80" spans="1:8" s="1049" customFormat="1" ht="14.25" customHeight="1" thickBot="1">
      <c r="A80" s="1061" t="s">
        <v>1397</v>
      </c>
      <c r="B80" s="1055" t="s">
        <v>1105</v>
      </c>
      <c r="C80" s="1055">
        <v>12450</v>
      </c>
      <c r="D80" s="1055">
        <v>12370</v>
      </c>
      <c r="E80" s="1055">
        <v>10790</v>
      </c>
      <c r="F80" s="1073">
        <v>2290</v>
      </c>
      <c r="H80" s="1080"/>
    </row>
    <row r="81" spans="1:8" s="1049" customFormat="1" ht="14.25" customHeight="1" thickBot="1">
      <c r="A81" s="1061" t="s">
        <v>1397</v>
      </c>
      <c r="B81" s="1055" t="s">
        <v>1116</v>
      </c>
      <c r="C81" s="1055">
        <v>14210</v>
      </c>
      <c r="D81" s="1055">
        <v>14150</v>
      </c>
      <c r="E81" s="1055">
        <v>12730</v>
      </c>
      <c r="F81" s="1073">
        <v>2240</v>
      </c>
      <c r="H81" s="1080"/>
    </row>
    <row r="82" spans="1:8" s="1049" customFormat="1" ht="14.25" customHeight="1" thickBot="1">
      <c r="A82" s="1061" t="s">
        <v>1397</v>
      </c>
      <c r="B82" s="1055" t="s">
        <v>1127</v>
      </c>
      <c r="C82" s="1055">
        <v>10860</v>
      </c>
      <c r="D82" s="1055">
        <v>10820</v>
      </c>
      <c r="E82" s="1055">
        <v>14720</v>
      </c>
      <c r="F82" s="1073">
        <v>2490</v>
      </c>
      <c r="H82" s="1080"/>
    </row>
    <row r="83" spans="1:8" s="1049" customFormat="1" ht="14.25" customHeight="1" thickBot="1">
      <c r="A83" s="1061" t="s">
        <v>1397</v>
      </c>
      <c r="B83" s="1055" t="s">
        <v>1138</v>
      </c>
      <c r="C83" s="1055">
        <v>12810</v>
      </c>
      <c r="D83" s="1055">
        <v>12760</v>
      </c>
      <c r="E83" s="1055">
        <v>14830</v>
      </c>
      <c r="F83" s="1073">
        <v>2450</v>
      </c>
      <c r="H83" s="1080"/>
    </row>
    <row r="84" spans="1:8" s="1049" customFormat="1" ht="14.25" customHeight="1" thickBot="1">
      <c r="A84" s="1061" t="s">
        <v>1397</v>
      </c>
      <c r="B84" s="1055" t="s">
        <v>1150</v>
      </c>
      <c r="C84" s="1055">
        <v>14950</v>
      </c>
      <c r="D84" s="1055">
        <v>14810</v>
      </c>
      <c r="E84" s="1055">
        <v>12590</v>
      </c>
      <c r="F84" s="1073">
        <v>2540</v>
      </c>
      <c r="H84" s="1080"/>
    </row>
    <row r="85" spans="1:8" s="1049" customFormat="1" ht="14.25" customHeight="1" thickBot="1">
      <c r="A85" s="1061" t="s">
        <v>1397</v>
      </c>
      <c r="B85" s="1055" t="s">
        <v>1160</v>
      </c>
      <c r="C85" s="1055">
        <v>14960</v>
      </c>
      <c r="D85" s="1055">
        <v>14890</v>
      </c>
      <c r="E85" s="1055">
        <v>12840</v>
      </c>
      <c r="F85" s="1073">
        <v>2840</v>
      </c>
      <c r="H85" s="1080"/>
    </row>
    <row r="86" spans="1:8" s="1049" customFormat="1" ht="14.25" customHeight="1" thickBot="1">
      <c r="A86" s="1061" t="s">
        <v>1397</v>
      </c>
      <c r="B86" s="1055" t="s">
        <v>1170</v>
      </c>
      <c r="C86" s="1055">
        <v>12730</v>
      </c>
      <c r="D86" s="1055">
        <v>12660</v>
      </c>
      <c r="E86" s="1055">
        <v>13310</v>
      </c>
      <c r="F86" s="1073">
        <v>3140</v>
      </c>
      <c r="H86" s="1080"/>
    </row>
    <row r="87" spans="1:8" s="1049" customFormat="1" ht="14.25" customHeight="1" thickBot="1">
      <c r="A87" s="1061" t="s">
        <v>1397</v>
      </c>
      <c r="B87" s="1055" t="s">
        <v>1180</v>
      </c>
      <c r="C87" s="1055">
        <v>12940</v>
      </c>
      <c r="D87" s="1055">
        <v>12890</v>
      </c>
      <c r="E87" s="1055">
        <v>11580</v>
      </c>
      <c r="F87" s="1082"/>
      <c r="H87" s="1080"/>
    </row>
    <row r="88" spans="1:8" s="1049" customFormat="1" ht="14.25" customHeight="1" thickBot="1">
      <c r="A88" s="1061" t="s">
        <v>1397</v>
      </c>
      <c r="B88" s="1055" t="s">
        <v>1190</v>
      </c>
      <c r="C88" s="1055">
        <v>13430</v>
      </c>
      <c r="D88" s="1055">
        <v>13360</v>
      </c>
      <c r="E88" s="1055">
        <v>12790</v>
      </c>
      <c r="F88" s="1082"/>
      <c r="H88" s="1080"/>
    </row>
    <row r="89" spans="1:8" s="1049" customFormat="1" ht="14.25" customHeight="1" thickBot="1">
      <c r="A89" s="1061" t="s">
        <v>1397</v>
      </c>
      <c r="B89" s="1055" t="s">
        <v>1200</v>
      </c>
      <c r="C89" s="1055">
        <v>11680</v>
      </c>
      <c r="D89" s="1055">
        <v>11630</v>
      </c>
      <c r="E89" s="1055">
        <v>11320</v>
      </c>
      <c r="F89" s="1082"/>
      <c r="H89" s="1080"/>
    </row>
    <row r="90" spans="1:8" s="1049" customFormat="1" ht="14.25" customHeight="1" thickBot="1">
      <c r="A90" s="1061" t="s">
        <v>1397</v>
      </c>
      <c r="B90" s="1055" t="s">
        <v>1210</v>
      </c>
      <c r="C90" s="1055">
        <v>12890</v>
      </c>
      <c r="D90" s="1055">
        <v>12820</v>
      </c>
      <c r="E90" s="1055">
        <v>12710</v>
      </c>
      <c r="F90" s="1082"/>
      <c r="H90" s="1080"/>
    </row>
    <row r="91" spans="1:8" s="1049" customFormat="1" ht="14.25" customHeight="1" thickBot="1">
      <c r="A91" s="1061" t="s">
        <v>1397</v>
      </c>
      <c r="B91" s="1055" t="s">
        <v>1220</v>
      </c>
      <c r="C91" s="1055">
        <v>11410</v>
      </c>
      <c r="D91" s="1055">
        <v>11360</v>
      </c>
      <c r="E91" s="1055">
        <v>12670</v>
      </c>
      <c r="F91" s="1082"/>
      <c r="H91" s="1080"/>
    </row>
    <row r="92" spans="1:8" s="1049" customFormat="1" ht="14.25" customHeight="1" thickBot="1">
      <c r="A92" s="1061" t="s">
        <v>1397</v>
      </c>
      <c r="B92" s="1055" t="s">
        <v>1230</v>
      </c>
      <c r="C92" s="1055">
        <v>12770</v>
      </c>
      <c r="D92" s="1055">
        <v>12740</v>
      </c>
      <c r="E92" s="1055">
        <v>11970</v>
      </c>
      <c r="F92" s="1082"/>
      <c r="H92" s="1080"/>
    </row>
    <row r="93" spans="1:8" s="1049" customFormat="1" ht="14.25" customHeight="1" thickBot="1">
      <c r="A93" s="1061" t="s">
        <v>1397</v>
      </c>
      <c r="B93" s="1055" t="s">
        <v>1240</v>
      </c>
      <c r="C93" s="1055">
        <v>12740</v>
      </c>
      <c r="D93" s="1055">
        <v>12700</v>
      </c>
      <c r="E93" s="1055">
        <v>12540</v>
      </c>
      <c r="F93" s="1082"/>
      <c r="H93" s="1080"/>
    </row>
    <row r="94" spans="1:8" s="1049" customFormat="1" ht="14.25" customHeight="1" thickBot="1">
      <c r="A94" s="1061" t="s">
        <v>1397</v>
      </c>
      <c r="B94" s="1055" t="s">
        <v>1250</v>
      </c>
      <c r="C94" s="1055">
        <v>12020</v>
      </c>
      <c r="D94" s="1055">
        <v>11990</v>
      </c>
      <c r="E94" s="1055">
        <v>13110</v>
      </c>
      <c r="F94" s="1082"/>
      <c r="H94" s="1080"/>
    </row>
    <row r="95" spans="1:8" s="1049" customFormat="1" ht="14.25" customHeight="1" thickBot="1">
      <c r="A95" s="1061" t="s">
        <v>1397</v>
      </c>
      <c r="B95" s="1055" t="s">
        <v>1259</v>
      </c>
      <c r="C95" s="1055">
        <v>12620</v>
      </c>
      <c r="D95" s="1055">
        <v>12580</v>
      </c>
      <c r="E95" s="1055">
        <v>13160</v>
      </c>
      <c r="F95" s="1073"/>
      <c r="H95" s="1080"/>
    </row>
    <row r="96" spans="1:8" s="1049" customFormat="1" ht="14.25" customHeight="1" thickBot="1">
      <c r="A96" s="1061" t="s">
        <v>1397</v>
      </c>
      <c r="B96" s="1055" t="s">
        <v>1268</v>
      </c>
      <c r="C96" s="1055">
        <v>13200</v>
      </c>
      <c r="D96" s="1055">
        <v>13150</v>
      </c>
      <c r="E96" s="1055">
        <v>12900</v>
      </c>
      <c r="F96" s="1073"/>
      <c r="H96" s="1080"/>
    </row>
    <row r="97" spans="1:8" s="1049" customFormat="1" ht="14.25" customHeight="1" thickBot="1">
      <c r="A97" s="1061" t="s">
        <v>1397</v>
      </c>
      <c r="B97" s="1055" t="s">
        <v>1276</v>
      </c>
      <c r="C97" s="1055">
        <v>13270</v>
      </c>
      <c r="D97" s="1055">
        <v>13210</v>
      </c>
      <c r="E97" s="1055">
        <v>11080</v>
      </c>
      <c r="F97" s="1073"/>
      <c r="H97" s="1080"/>
    </row>
    <row r="98" spans="1:8" s="1049" customFormat="1" ht="14.25" customHeight="1" thickBot="1">
      <c r="A98" s="1061" t="s">
        <v>1397</v>
      </c>
      <c r="B98" s="1055" t="s">
        <v>1283</v>
      </c>
      <c r="C98" s="1055">
        <v>13010</v>
      </c>
      <c r="D98" s="1055">
        <v>12930</v>
      </c>
      <c r="E98" s="1055">
        <v>12840</v>
      </c>
      <c r="F98" s="1073"/>
      <c r="H98" s="1080"/>
    </row>
    <row r="99" spans="1:8" s="1049" customFormat="1" ht="14.25" customHeight="1" thickBot="1">
      <c r="A99" s="1061" t="s">
        <v>1397</v>
      </c>
      <c r="B99" s="1055" t="s">
        <v>1290</v>
      </c>
      <c r="C99" s="1055">
        <v>11190</v>
      </c>
      <c r="D99" s="1055">
        <v>11130</v>
      </c>
      <c r="E99" s="1055"/>
      <c r="F99" s="1073"/>
      <c r="H99" s="1080"/>
    </row>
    <row r="100" spans="1:8" s="1049" customFormat="1" ht="14.25" customHeight="1" thickBot="1">
      <c r="A100" s="1061" t="s">
        <v>1397</v>
      </c>
      <c r="B100" s="1055" t="s">
        <v>1297</v>
      </c>
      <c r="C100" s="1055">
        <v>14280</v>
      </c>
      <c r="D100" s="1055">
        <v>14180</v>
      </c>
      <c r="E100" s="1055"/>
      <c r="F100" s="1073"/>
      <c r="H100" s="1080"/>
    </row>
    <row r="101" spans="1:8" s="1049" customFormat="1" ht="14.25" customHeight="1" thickBot="1">
      <c r="A101" s="1061" t="s">
        <v>1397</v>
      </c>
      <c r="B101" s="1055" t="s">
        <v>1304</v>
      </c>
      <c r="C101" s="1055">
        <v>12960</v>
      </c>
      <c r="D101" s="1055">
        <v>12890</v>
      </c>
      <c r="E101" s="1055"/>
      <c r="F101" s="1073"/>
      <c r="H101" s="1080"/>
    </row>
    <row r="102" spans="1:8" s="1049" customFormat="1" ht="14.25" customHeight="1" thickBot="1">
      <c r="A102" s="1061" t="s">
        <v>1397</v>
      </c>
      <c r="B102" s="1055" t="s">
        <v>1311</v>
      </c>
      <c r="C102" s="1055"/>
      <c r="D102" s="1055"/>
      <c r="E102" s="1055"/>
      <c r="F102" s="1073">
        <v>3100</v>
      </c>
      <c r="H102" s="1080"/>
    </row>
    <row r="103" spans="1:8" s="1049" customFormat="1" ht="14.25" customHeight="1" thickBot="1">
      <c r="A103" s="1061" t="s">
        <v>1397</v>
      </c>
      <c r="B103" s="1055" t="s">
        <v>1318</v>
      </c>
      <c r="C103" s="1055"/>
      <c r="D103" s="1055"/>
      <c r="E103" s="1055"/>
      <c r="F103" s="1073">
        <v>2320</v>
      </c>
      <c r="H103" s="1080"/>
    </row>
    <row r="104" spans="1:8" s="1049" customFormat="1" ht="14.25" customHeight="1" thickBot="1">
      <c r="A104" s="1061" t="s">
        <v>1397</v>
      </c>
      <c r="B104" s="1055" t="s">
        <v>1323</v>
      </c>
      <c r="C104" s="1055"/>
      <c r="D104" s="1055"/>
      <c r="E104" s="1055"/>
      <c r="F104" s="1073">
        <v>2320</v>
      </c>
      <c r="H104" s="1080"/>
    </row>
    <row r="105" spans="1:8" s="1049" customFormat="1" ht="14.25" customHeight="1" thickBot="1">
      <c r="A105" s="1061" t="s">
        <v>1397</v>
      </c>
      <c r="B105" s="1055" t="s">
        <v>1327</v>
      </c>
      <c r="C105" s="1055"/>
      <c r="D105" s="1055"/>
      <c r="E105" s="1055"/>
      <c r="F105" s="1073">
        <v>2320</v>
      </c>
      <c r="H105" s="1080"/>
    </row>
    <row r="106" spans="1:8" s="1049" customFormat="1" ht="14.25" customHeight="1" thickBot="1">
      <c r="A106" s="1061" t="s">
        <v>1397</v>
      </c>
      <c r="B106" s="1055" t="s">
        <v>1332</v>
      </c>
      <c r="C106" s="1055"/>
      <c r="D106" s="1055"/>
      <c r="E106" s="1055"/>
      <c r="F106" s="1073">
        <v>2320</v>
      </c>
      <c r="H106" s="1080"/>
    </row>
    <row r="107" spans="1:8" s="1049" customFormat="1" ht="14.25" customHeight="1" thickBot="1">
      <c r="A107" s="1061" t="s">
        <v>1397</v>
      </c>
      <c r="B107" s="1055" t="s">
        <v>1337</v>
      </c>
      <c r="C107" s="1055"/>
      <c r="D107" s="1055"/>
      <c r="E107" s="1055"/>
      <c r="F107" s="1073">
        <v>2280</v>
      </c>
      <c r="H107" s="1080"/>
    </row>
    <row r="108" spans="1:8" s="1049" customFormat="1" ht="14.25" customHeight="1" thickBot="1">
      <c r="A108" s="1061" t="s">
        <v>1397</v>
      </c>
      <c r="B108" s="1055" t="s">
        <v>1342</v>
      </c>
      <c r="C108" s="1055"/>
      <c r="D108" s="1055"/>
      <c r="E108" s="1055"/>
      <c r="F108" s="1073">
        <v>2280</v>
      </c>
      <c r="H108" s="1080"/>
    </row>
    <row r="109" spans="1:8" s="1049" customFormat="1" ht="14.25" customHeight="1" thickBot="1">
      <c r="A109" s="1061" t="s">
        <v>1397</v>
      </c>
      <c r="B109" s="1071" t="s">
        <v>1347</v>
      </c>
      <c r="C109" s="1071"/>
      <c r="D109" s="1071"/>
      <c r="E109" s="1071"/>
      <c r="F109" s="1081">
        <v>2280</v>
      </c>
      <c r="H109" s="1080"/>
    </row>
    <row r="110" spans="1:8" s="1049" customFormat="1" ht="14.25" customHeight="1" thickBot="1">
      <c r="A110" s="1061" t="s">
        <v>1399</v>
      </c>
      <c r="B110" s="1062" t="s">
        <v>1400</v>
      </c>
      <c r="C110" s="1062">
        <v>10520</v>
      </c>
      <c r="D110" s="1062">
        <v>10490</v>
      </c>
      <c r="E110" s="1062">
        <v>10760</v>
      </c>
      <c r="F110" s="1063">
        <v>2160</v>
      </c>
      <c r="H110" s="1080"/>
    </row>
    <row r="111" spans="1:8" s="1049" customFormat="1" ht="14.25" customHeight="1" thickBot="1">
      <c r="A111" s="1061" t="s">
        <v>1399</v>
      </c>
      <c r="B111" s="1055" t="s">
        <v>1065</v>
      </c>
      <c r="C111" s="1055">
        <v>10090</v>
      </c>
      <c r="D111" s="1055">
        <v>10060</v>
      </c>
      <c r="E111" s="1055">
        <v>10300</v>
      </c>
      <c r="F111" s="1073">
        <v>2010</v>
      </c>
      <c r="H111" s="1080"/>
    </row>
    <row r="112" spans="1:8" s="1049" customFormat="1" ht="14.25" customHeight="1" thickBot="1">
      <c r="A112" s="1061" t="s">
        <v>1399</v>
      </c>
      <c r="B112" s="1055" t="s">
        <v>1079</v>
      </c>
      <c r="C112" s="1055">
        <v>9910</v>
      </c>
      <c r="D112" s="1055">
        <v>9850</v>
      </c>
      <c r="E112" s="1055">
        <v>9960</v>
      </c>
      <c r="F112" s="1073">
        <v>2090</v>
      </c>
      <c r="H112" s="1080"/>
    </row>
    <row r="113" spans="1:8" s="1049" customFormat="1" ht="14.25" customHeight="1" thickBot="1">
      <c r="A113" s="1061" t="s">
        <v>1399</v>
      </c>
      <c r="B113" s="1055" t="s">
        <v>1092</v>
      </c>
      <c r="C113" s="1055">
        <v>11430</v>
      </c>
      <c r="D113" s="1055">
        <v>11400</v>
      </c>
      <c r="E113" s="1055">
        <v>11710</v>
      </c>
      <c r="F113" s="1073">
        <v>2050</v>
      </c>
      <c r="H113" s="1080"/>
    </row>
    <row r="114" spans="1:8" s="1049" customFormat="1" ht="14.25" customHeight="1" thickBot="1">
      <c r="A114" s="1061" t="s">
        <v>1399</v>
      </c>
      <c r="B114" s="1055" t="s">
        <v>1106</v>
      </c>
      <c r="C114" s="1055">
        <v>11390</v>
      </c>
      <c r="D114" s="1055">
        <v>11350</v>
      </c>
      <c r="E114" s="1055">
        <v>11640</v>
      </c>
      <c r="F114" s="1073">
        <v>1620</v>
      </c>
      <c r="H114" s="1080"/>
    </row>
    <row r="115" spans="1:8" s="1049" customFormat="1" ht="14.25" customHeight="1" thickBot="1">
      <c r="A115" s="1061" t="s">
        <v>1399</v>
      </c>
      <c r="B115" s="1055" t="s">
        <v>1117</v>
      </c>
      <c r="C115" s="1055">
        <v>9930</v>
      </c>
      <c r="D115" s="1055">
        <v>9900</v>
      </c>
      <c r="E115" s="1055">
        <v>10160</v>
      </c>
      <c r="F115" s="1073">
        <v>1580</v>
      </c>
      <c r="H115" s="1080"/>
    </row>
    <row r="116" spans="1:8" s="1049" customFormat="1" ht="14.25" customHeight="1" thickBot="1">
      <c r="A116" s="1061" t="s">
        <v>1399</v>
      </c>
      <c r="B116" s="1055" t="s">
        <v>1128</v>
      </c>
      <c r="C116" s="1055">
        <v>9150</v>
      </c>
      <c r="D116" s="1055">
        <v>9120</v>
      </c>
      <c r="E116" s="1055">
        <v>9380</v>
      </c>
      <c r="F116" s="1073">
        <v>1750</v>
      </c>
      <c r="H116" s="1080"/>
    </row>
    <row r="117" spans="1:8" s="1049" customFormat="1" ht="14.25" customHeight="1" thickBot="1">
      <c r="A117" s="1061" t="s">
        <v>1399</v>
      </c>
      <c r="B117" s="1055" t="s">
        <v>1139</v>
      </c>
      <c r="C117" s="1055">
        <v>10680</v>
      </c>
      <c r="D117" s="1055">
        <v>10650</v>
      </c>
      <c r="E117" s="1055">
        <v>10970</v>
      </c>
      <c r="F117" s="1073">
        <v>1730</v>
      </c>
      <c r="H117" s="1080"/>
    </row>
    <row r="118" spans="1:8" s="1049" customFormat="1" ht="14.25" customHeight="1" thickBot="1">
      <c r="A118" s="1061" t="s">
        <v>1399</v>
      </c>
      <c r="B118" s="1055" t="s">
        <v>1151</v>
      </c>
      <c r="C118" s="1055">
        <v>10080</v>
      </c>
      <c r="D118" s="1055">
        <v>10050</v>
      </c>
      <c r="E118" s="1055">
        <v>10350</v>
      </c>
      <c r="F118" s="1073">
        <v>1920</v>
      </c>
      <c r="H118" s="1080"/>
    </row>
    <row r="119" spans="1:8" s="1049" customFormat="1" ht="14.25" customHeight="1" thickBot="1">
      <c r="A119" s="1061" t="s">
        <v>1399</v>
      </c>
      <c r="B119" s="1055" t="s">
        <v>1161</v>
      </c>
      <c r="C119" s="1055">
        <v>9450</v>
      </c>
      <c r="D119" s="1055">
        <v>9410</v>
      </c>
      <c r="E119" s="1055">
        <v>9680</v>
      </c>
      <c r="F119" s="1073">
        <v>1880</v>
      </c>
      <c r="H119" s="1080"/>
    </row>
    <row r="120" spans="1:8" s="1049" customFormat="1" ht="14.25" customHeight="1" thickBot="1">
      <c r="A120" s="1061" t="s">
        <v>1399</v>
      </c>
      <c r="B120" s="1055" t="s">
        <v>1171</v>
      </c>
      <c r="C120" s="1055">
        <v>8730</v>
      </c>
      <c r="D120" s="1055">
        <v>8700</v>
      </c>
      <c r="E120" s="1055">
        <v>8950</v>
      </c>
      <c r="F120" s="1073">
        <v>1830</v>
      </c>
      <c r="H120" s="1080"/>
    </row>
    <row r="121" spans="1:8" s="1049" customFormat="1" ht="14.25" customHeight="1" thickBot="1">
      <c r="A121" s="1061" t="s">
        <v>1399</v>
      </c>
      <c r="B121" s="1055" t="s">
        <v>1181</v>
      </c>
      <c r="C121" s="1055">
        <v>10070</v>
      </c>
      <c r="D121" s="1055">
        <v>10040</v>
      </c>
      <c r="E121" s="1055">
        <v>10270</v>
      </c>
      <c r="F121" s="1073">
        <v>1960</v>
      </c>
      <c r="H121" s="1080"/>
    </row>
    <row r="122" spans="1:8" s="1049" customFormat="1" ht="14.25" customHeight="1" thickBot="1">
      <c r="A122" s="1061" t="s">
        <v>1399</v>
      </c>
      <c r="B122" s="1055" t="s">
        <v>1191</v>
      </c>
      <c r="C122" s="1055">
        <v>10500</v>
      </c>
      <c r="D122" s="1055">
        <v>10470</v>
      </c>
      <c r="E122" s="1055">
        <v>10780</v>
      </c>
      <c r="F122" s="1073">
        <v>2180</v>
      </c>
      <c r="H122" s="1080"/>
    </row>
    <row r="123" spans="1:8" s="1049" customFormat="1" ht="14.25" customHeight="1" thickBot="1">
      <c r="A123" s="1061" t="s">
        <v>1399</v>
      </c>
      <c r="B123" s="1055" t="s">
        <v>1201</v>
      </c>
      <c r="C123" s="1055">
        <v>10390</v>
      </c>
      <c r="D123" s="1055">
        <v>10360</v>
      </c>
      <c r="E123" s="1055">
        <v>10660</v>
      </c>
      <c r="F123" s="1073">
        <v>2040</v>
      </c>
      <c r="H123" s="1080"/>
    </row>
    <row r="124" spans="1:8" s="1049" customFormat="1" ht="14.25" customHeight="1" thickBot="1">
      <c r="A124" s="1061" t="s">
        <v>1399</v>
      </c>
      <c r="B124" s="1055" t="s">
        <v>1211</v>
      </c>
      <c r="C124" s="1055">
        <v>10390</v>
      </c>
      <c r="D124" s="1055">
        <v>10360</v>
      </c>
      <c r="E124" s="1055">
        <v>10680</v>
      </c>
      <c r="F124" s="1082"/>
      <c r="H124" s="1080"/>
    </row>
    <row r="125" spans="1:8" s="1049" customFormat="1" ht="14.25" customHeight="1" thickBot="1">
      <c r="A125" s="1061" t="s">
        <v>1399</v>
      </c>
      <c r="B125" s="1055" t="s">
        <v>1221</v>
      </c>
      <c r="C125" s="1055">
        <v>10440</v>
      </c>
      <c r="D125" s="1055">
        <v>10410</v>
      </c>
      <c r="E125" s="1055">
        <v>10710</v>
      </c>
      <c r="F125" s="1082"/>
      <c r="H125" s="1080"/>
    </row>
    <row r="126" spans="1:8" s="1049" customFormat="1" ht="14.25" customHeight="1" thickBot="1">
      <c r="A126" s="1061" t="s">
        <v>1399</v>
      </c>
      <c r="B126" s="1055" t="s">
        <v>1231</v>
      </c>
      <c r="C126" s="1055">
        <v>10780</v>
      </c>
      <c r="D126" s="1055">
        <v>10750</v>
      </c>
      <c r="E126" s="1055">
        <v>11080</v>
      </c>
      <c r="F126" s="1082"/>
      <c r="H126" s="1080"/>
    </row>
    <row r="127" spans="1:8" s="1049" customFormat="1" ht="14.25" customHeight="1" thickBot="1">
      <c r="A127" s="1061" t="s">
        <v>1399</v>
      </c>
      <c r="B127" s="1055" t="s">
        <v>1241</v>
      </c>
      <c r="C127" s="1055">
        <v>10100</v>
      </c>
      <c r="D127" s="1055">
        <v>10070</v>
      </c>
      <c r="E127" s="1055">
        <v>10350</v>
      </c>
      <c r="F127" s="1082"/>
      <c r="H127" s="1080"/>
    </row>
    <row r="128" spans="1:8" s="1049" customFormat="1" ht="14.25" customHeight="1" thickBot="1">
      <c r="A128" s="1061" t="s">
        <v>1399</v>
      </c>
      <c r="B128" s="1055" t="s">
        <v>1251</v>
      </c>
      <c r="C128" s="1055">
        <v>9200</v>
      </c>
      <c r="D128" s="1055">
        <v>9160</v>
      </c>
      <c r="E128" s="1055">
        <v>9660</v>
      </c>
      <c r="F128" s="1082"/>
      <c r="H128" s="1080"/>
    </row>
    <row r="129" spans="1:8" s="1049" customFormat="1" ht="14.25" customHeight="1" thickBot="1">
      <c r="A129" s="1061" t="s">
        <v>1399</v>
      </c>
      <c r="B129" s="1055" t="s">
        <v>1260</v>
      </c>
      <c r="C129" s="1055">
        <v>10340</v>
      </c>
      <c r="D129" s="1055">
        <v>10310</v>
      </c>
      <c r="E129" s="1055">
        <v>10580</v>
      </c>
      <c r="F129" s="1082"/>
      <c r="H129" s="1080"/>
    </row>
    <row r="130" spans="1:8" s="1049" customFormat="1" ht="14.25" customHeight="1" thickBot="1">
      <c r="A130" s="1061" t="s">
        <v>1399</v>
      </c>
      <c r="B130" s="1055" t="s">
        <v>1269</v>
      </c>
      <c r="C130" s="1055">
        <v>9680</v>
      </c>
      <c r="D130" s="1055">
        <v>9660</v>
      </c>
      <c r="E130" s="1055">
        <v>9950</v>
      </c>
      <c r="F130" s="1082"/>
      <c r="H130" s="1080"/>
    </row>
    <row r="131" spans="1:8" s="1049" customFormat="1" ht="14.25" customHeight="1" thickBot="1">
      <c r="A131" s="1061" t="s">
        <v>1399</v>
      </c>
      <c r="B131" s="1055" t="s">
        <v>1277</v>
      </c>
      <c r="C131" s="1055">
        <v>9540</v>
      </c>
      <c r="D131" s="1055">
        <v>9510</v>
      </c>
      <c r="E131" s="1055">
        <v>9790</v>
      </c>
      <c r="F131" s="1082"/>
      <c r="H131" s="1080"/>
    </row>
    <row r="132" spans="1:8" s="1049" customFormat="1" ht="14.25" customHeight="1" thickBot="1">
      <c r="A132" s="1061" t="s">
        <v>1399</v>
      </c>
      <c r="B132" s="1055" t="s">
        <v>1284</v>
      </c>
      <c r="C132" s="1055">
        <v>9320</v>
      </c>
      <c r="D132" s="1055">
        <v>9290</v>
      </c>
      <c r="E132" s="1055">
        <v>9570</v>
      </c>
      <c r="F132" s="1082"/>
      <c r="H132" s="1080"/>
    </row>
    <row r="133" spans="1:8" s="1049" customFormat="1" ht="14.25" customHeight="1" thickBot="1">
      <c r="A133" s="1061" t="s">
        <v>1399</v>
      </c>
      <c r="B133" s="1055" t="s">
        <v>1291</v>
      </c>
      <c r="C133" s="1055">
        <v>10310</v>
      </c>
      <c r="D133" s="1055">
        <v>10280</v>
      </c>
      <c r="E133" s="1055">
        <v>10530</v>
      </c>
      <c r="F133" s="1082"/>
      <c r="H133" s="1080"/>
    </row>
    <row r="134" spans="1:8" s="1049" customFormat="1" ht="14.25" customHeight="1" thickBot="1">
      <c r="A134" s="1061" t="s">
        <v>1399</v>
      </c>
      <c r="B134" s="1055" t="s">
        <v>1298</v>
      </c>
      <c r="C134" s="1055">
        <v>10370</v>
      </c>
      <c r="D134" s="1055">
        <v>10310</v>
      </c>
      <c r="E134" s="1055">
        <v>10240</v>
      </c>
      <c r="F134" s="1073">
        <v>2060</v>
      </c>
      <c r="H134" s="1080"/>
    </row>
    <row r="135" spans="1:8" s="1049" customFormat="1" ht="14.25" customHeight="1" thickBot="1">
      <c r="A135" s="1061" t="s">
        <v>1399</v>
      </c>
      <c r="B135" s="1055" t="s">
        <v>1305</v>
      </c>
      <c r="C135" s="1055">
        <v>9300</v>
      </c>
      <c r="D135" s="1055">
        <v>9270</v>
      </c>
      <c r="E135" s="1055">
        <v>9350</v>
      </c>
      <c r="F135" s="1082"/>
      <c r="H135" s="1080"/>
    </row>
    <row r="136" spans="1:8" s="1049" customFormat="1" ht="14.25" customHeight="1" thickBot="1">
      <c r="A136" s="1061" t="s">
        <v>1399</v>
      </c>
      <c r="B136" s="1055" t="s">
        <v>1312</v>
      </c>
      <c r="C136" s="1055">
        <v>10160</v>
      </c>
      <c r="D136" s="1055">
        <v>10110</v>
      </c>
      <c r="E136" s="1055">
        <v>10080</v>
      </c>
      <c r="F136" s="1082"/>
      <c r="H136" s="1080"/>
    </row>
    <row r="137" spans="1:8" s="1049" customFormat="1" ht="14.25" customHeight="1" thickBot="1">
      <c r="A137" s="1061" t="s">
        <v>1399</v>
      </c>
      <c r="B137" s="1055" t="s">
        <v>1319</v>
      </c>
      <c r="C137" s="1055">
        <v>9200</v>
      </c>
      <c r="D137" s="1055">
        <v>9170</v>
      </c>
      <c r="E137" s="1055">
        <v>9450</v>
      </c>
      <c r="F137" s="1082"/>
      <c r="H137" s="1080"/>
    </row>
    <row r="138" spans="1:8" s="1049" customFormat="1" ht="14.25" customHeight="1" thickBot="1">
      <c r="A138" s="1061" t="s">
        <v>1399</v>
      </c>
      <c r="B138" s="1055" t="s">
        <v>1324</v>
      </c>
      <c r="C138" s="1055">
        <v>9690</v>
      </c>
      <c r="D138" s="1055">
        <v>9660</v>
      </c>
      <c r="E138" s="1055">
        <v>9840</v>
      </c>
      <c r="F138" s="1082"/>
      <c r="H138" s="1080"/>
    </row>
    <row r="139" spans="1:8" s="1049" customFormat="1" ht="14.25" customHeight="1" thickBot="1">
      <c r="A139" s="1061" t="s">
        <v>1399</v>
      </c>
      <c r="B139" s="1055" t="s">
        <v>1328</v>
      </c>
      <c r="C139" s="1055">
        <v>10290</v>
      </c>
      <c r="D139" s="1055">
        <v>10260</v>
      </c>
      <c r="E139" s="1055">
        <v>10550</v>
      </c>
      <c r="F139" s="1073">
        <v>1700</v>
      </c>
      <c r="H139" s="1080"/>
    </row>
    <row r="140" spans="1:8" s="1049" customFormat="1" ht="14.25" customHeight="1" thickBot="1">
      <c r="A140" s="1061" t="s">
        <v>1399</v>
      </c>
      <c r="B140" s="1055" t="s">
        <v>1333</v>
      </c>
      <c r="C140" s="1055">
        <v>9740</v>
      </c>
      <c r="D140" s="1055">
        <v>9710</v>
      </c>
      <c r="E140" s="1055">
        <v>10000</v>
      </c>
      <c r="F140" s="1073">
        <v>2000</v>
      </c>
      <c r="H140" s="1080"/>
    </row>
    <row r="141" spans="1:8" s="1049" customFormat="1" ht="14.25" customHeight="1" thickBot="1">
      <c r="A141" s="1061" t="s">
        <v>1399</v>
      </c>
      <c r="B141" s="1055" t="s">
        <v>1338</v>
      </c>
      <c r="C141" s="1055">
        <v>9810</v>
      </c>
      <c r="D141" s="1055">
        <v>9770</v>
      </c>
      <c r="E141" s="1055">
        <v>10060</v>
      </c>
      <c r="F141" s="1082"/>
      <c r="H141" s="1080"/>
    </row>
    <row r="142" spans="1:8" s="1049" customFormat="1" ht="14.25" customHeight="1" thickBot="1">
      <c r="A142" s="1061" t="s">
        <v>1399</v>
      </c>
      <c r="B142" s="1055" t="s">
        <v>1343</v>
      </c>
      <c r="C142" s="1055">
        <v>9300</v>
      </c>
      <c r="D142" s="1055">
        <v>9270</v>
      </c>
      <c r="E142" s="1055">
        <v>9530</v>
      </c>
      <c r="F142" s="1082"/>
      <c r="H142" s="1080"/>
    </row>
    <row r="143" spans="1:8" s="1049" customFormat="1" ht="14.25" customHeight="1" thickBot="1">
      <c r="A143" s="1061" t="s">
        <v>1399</v>
      </c>
      <c r="B143" s="1055" t="s">
        <v>1348</v>
      </c>
      <c r="C143" s="1055">
        <v>10080</v>
      </c>
      <c r="D143" s="1055">
        <v>10050</v>
      </c>
      <c r="E143" s="1055">
        <v>10340</v>
      </c>
      <c r="F143" s="1082"/>
      <c r="H143" s="1080"/>
    </row>
    <row r="144" spans="1:8" s="1049" customFormat="1" ht="14.25" customHeight="1" thickBot="1">
      <c r="A144" s="1061" t="s">
        <v>1399</v>
      </c>
      <c r="B144" s="1055" t="s">
        <v>1352</v>
      </c>
      <c r="C144" s="1055">
        <v>9820</v>
      </c>
      <c r="D144" s="1055">
        <v>9750</v>
      </c>
      <c r="E144" s="1055">
        <v>9900</v>
      </c>
      <c r="F144" s="1082"/>
      <c r="H144" s="1080"/>
    </row>
    <row r="145" spans="1:8" s="1049" customFormat="1" ht="14.25" customHeight="1" thickBot="1">
      <c r="A145" s="1061" t="s">
        <v>1399</v>
      </c>
      <c r="B145" s="1055" t="s">
        <v>1356</v>
      </c>
      <c r="C145" s="1055"/>
      <c r="D145" s="1055"/>
      <c r="E145" s="1055"/>
      <c r="F145" s="1073">
        <v>1740</v>
      </c>
      <c r="H145" s="1080"/>
    </row>
    <row r="146" spans="1:8" s="1049" customFormat="1" ht="14.25" customHeight="1" thickBot="1">
      <c r="A146" s="1061" t="s">
        <v>1399</v>
      </c>
      <c r="B146" s="1055" t="s">
        <v>1360</v>
      </c>
      <c r="C146" s="1055"/>
      <c r="D146" s="1055"/>
      <c r="E146" s="1055"/>
      <c r="F146" s="1073">
        <v>1740</v>
      </c>
      <c r="H146" s="1080"/>
    </row>
    <row r="147" spans="1:8" s="1049" customFormat="1" ht="14.25" customHeight="1" thickBot="1">
      <c r="A147" s="1061" t="s">
        <v>1399</v>
      </c>
      <c r="B147" s="1055" t="s">
        <v>1364</v>
      </c>
      <c r="C147" s="1055"/>
      <c r="D147" s="1055"/>
      <c r="E147" s="1055"/>
      <c r="F147" s="1073">
        <v>1740</v>
      </c>
      <c r="H147" s="1080"/>
    </row>
    <row r="148" spans="1:8" s="1049" customFormat="1" ht="14.25" customHeight="1" thickBot="1">
      <c r="A148" s="1061" t="s">
        <v>1399</v>
      </c>
      <c r="B148" s="1055" t="s">
        <v>1368</v>
      </c>
      <c r="C148" s="1055"/>
      <c r="D148" s="1055"/>
      <c r="E148" s="1055"/>
      <c r="F148" s="1073">
        <v>1740</v>
      </c>
      <c r="H148" s="1080"/>
    </row>
    <row r="149" spans="1:8" s="1049" customFormat="1" ht="14.25" customHeight="1" thickBot="1">
      <c r="A149" s="1061" t="s">
        <v>1399</v>
      </c>
      <c r="B149" s="1055" t="s">
        <v>1372</v>
      </c>
      <c r="C149" s="1055"/>
      <c r="D149" s="1055"/>
      <c r="E149" s="1055"/>
      <c r="F149" s="1073">
        <v>1740</v>
      </c>
      <c r="H149" s="1080"/>
    </row>
    <row r="150" spans="1:8" s="1049" customFormat="1" ht="14.25" customHeight="1" thickBot="1">
      <c r="A150" s="1061" t="s">
        <v>1399</v>
      </c>
      <c r="B150" s="1055" t="s">
        <v>1375</v>
      </c>
      <c r="C150" s="1055"/>
      <c r="D150" s="1055"/>
      <c r="E150" s="1055"/>
      <c r="F150" s="1073">
        <v>1610</v>
      </c>
      <c r="H150" s="1080"/>
    </row>
    <row r="151" spans="1:8" s="1049" customFormat="1" ht="14.25" customHeight="1" thickBot="1">
      <c r="A151" s="1061" t="s">
        <v>1399</v>
      </c>
      <c r="B151" s="1055" t="s">
        <v>1378</v>
      </c>
      <c r="C151" s="1055"/>
      <c r="D151" s="1055"/>
      <c r="E151" s="1055"/>
      <c r="F151" s="1073">
        <v>1610</v>
      </c>
      <c r="H151" s="1080"/>
    </row>
    <row r="152" spans="1:8" s="1049" customFormat="1" ht="14.25" customHeight="1" thickBot="1">
      <c r="A152" s="1061" t="s">
        <v>1399</v>
      </c>
      <c r="B152" s="1055" t="s">
        <v>1381</v>
      </c>
      <c r="C152" s="1055"/>
      <c r="D152" s="1055"/>
      <c r="E152" s="1055"/>
      <c r="F152" s="1073">
        <v>1610</v>
      </c>
      <c r="H152" s="1080"/>
    </row>
    <row r="153" spans="1:8" s="1049" customFormat="1" ht="14.25" customHeight="1" thickBot="1">
      <c r="A153" s="1061" t="s">
        <v>1399</v>
      </c>
      <c r="B153" s="1055" t="s">
        <v>1384</v>
      </c>
      <c r="C153" s="1055"/>
      <c r="D153" s="1055"/>
      <c r="E153" s="1055"/>
      <c r="F153" s="1073">
        <v>1610</v>
      </c>
      <c r="H153" s="1080"/>
    </row>
    <row r="154" spans="1:8" s="1049" customFormat="1" ht="14.25" customHeight="1" thickBot="1">
      <c r="A154" s="1061" t="s">
        <v>1399</v>
      </c>
      <c r="B154" s="1055" t="s">
        <v>1387</v>
      </c>
      <c r="C154" s="1055"/>
      <c r="D154" s="1055"/>
      <c r="E154" s="1055"/>
      <c r="F154" s="1073">
        <v>1610</v>
      </c>
      <c r="H154" s="1080"/>
    </row>
    <row r="155" spans="1:8" s="1049" customFormat="1" ht="14.25" customHeight="1" thickBot="1">
      <c r="A155" s="1061" t="s">
        <v>1399</v>
      </c>
      <c r="B155" s="1055" t="s">
        <v>1390</v>
      </c>
      <c r="C155" s="1055"/>
      <c r="D155" s="1055"/>
      <c r="E155" s="1055"/>
      <c r="F155" s="1073">
        <v>1800</v>
      </c>
      <c r="H155" s="1080"/>
    </row>
    <row r="156" spans="1:8" s="1049" customFormat="1" ht="14.25" customHeight="1" thickBot="1">
      <c r="A156" s="1061" t="s">
        <v>1399</v>
      </c>
      <c r="B156" s="1055" t="s">
        <v>1392</v>
      </c>
      <c r="C156" s="1055"/>
      <c r="D156" s="1055"/>
      <c r="E156" s="1055"/>
      <c r="F156" s="1073">
        <v>1910</v>
      </c>
      <c r="H156" s="1080"/>
    </row>
    <row r="157" spans="1:8" s="1049" customFormat="1" ht="14.25" customHeight="1" thickBot="1">
      <c r="A157" s="1061" t="s">
        <v>1399</v>
      </c>
      <c r="B157" s="1071" t="s">
        <v>1395</v>
      </c>
      <c r="C157" s="1071"/>
      <c r="D157" s="1071"/>
      <c r="E157" s="1071"/>
      <c r="F157" s="1081">
        <v>1500</v>
      </c>
      <c r="H157" s="1080"/>
    </row>
    <row r="158" spans="1:8" s="1049" customFormat="1" ht="14.25" customHeight="1" thickBot="1">
      <c r="A158" s="1061" t="s">
        <v>1401</v>
      </c>
      <c r="B158" s="1062" t="s">
        <v>1402</v>
      </c>
      <c r="C158" s="1062">
        <v>8170</v>
      </c>
      <c r="D158" s="1062">
        <v>8140</v>
      </c>
      <c r="E158" s="1062">
        <v>8590</v>
      </c>
      <c r="F158" s="1063">
        <v>1450</v>
      </c>
      <c r="H158" s="1080"/>
    </row>
    <row r="159" spans="1:8" s="1049" customFormat="1" ht="14.25" customHeight="1" thickBot="1">
      <c r="A159" s="1061" t="s">
        <v>1401</v>
      </c>
      <c r="B159" s="1055" t="s">
        <v>1066</v>
      </c>
      <c r="C159" s="1055">
        <v>7410</v>
      </c>
      <c r="D159" s="1055">
        <v>7370</v>
      </c>
      <c r="E159" s="1055">
        <v>8030</v>
      </c>
      <c r="F159" s="1073">
        <v>1510</v>
      </c>
      <c r="H159" s="1080"/>
    </row>
    <row r="160" spans="1:8" s="1049" customFormat="1" ht="14.25" customHeight="1" thickBot="1">
      <c r="A160" s="1061" t="s">
        <v>1401</v>
      </c>
      <c r="B160" s="1055" t="s">
        <v>1080</v>
      </c>
      <c r="C160" s="1055">
        <v>7240</v>
      </c>
      <c r="D160" s="1055">
        <v>7210</v>
      </c>
      <c r="E160" s="1055">
        <v>7860</v>
      </c>
      <c r="F160" s="1073">
        <v>1370</v>
      </c>
      <c r="H160" s="1080"/>
    </row>
    <row r="161" spans="1:8" s="1049" customFormat="1" ht="14.25" customHeight="1" thickBot="1">
      <c r="A161" s="1061" t="s">
        <v>1401</v>
      </c>
      <c r="B161" s="1055" t="s">
        <v>1093</v>
      </c>
      <c r="C161" s="1055">
        <v>7720</v>
      </c>
      <c r="D161" s="1055">
        <v>7690</v>
      </c>
      <c r="E161" s="1055">
        <v>8200</v>
      </c>
      <c r="F161" s="1073">
        <v>1190</v>
      </c>
      <c r="H161" s="1080"/>
    </row>
    <row r="162" spans="1:8" s="1049" customFormat="1" ht="14.25" customHeight="1" thickBot="1">
      <c r="A162" s="1061" t="s">
        <v>1401</v>
      </c>
      <c r="B162" s="1055" t="s">
        <v>1107</v>
      </c>
      <c r="C162" s="1055">
        <v>6900</v>
      </c>
      <c r="D162" s="1055">
        <v>6870</v>
      </c>
      <c r="E162" s="1055">
        <v>7500</v>
      </c>
      <c r="F162" s="1073">
        <v>1390</v>
      </c>
      <c r="H162" s="1080"/>
    </row>
    <row r="163" spans="1:8" s="1049" customFormat="1" ht="14.25" customHeight="1" thickBot="1">
      <c r="A163" s="1061" t="s">
        <v>1401</v>
      </c>
      <c r="B163" s="1055" t="s">
        <v>1118</v>
      </c>
      <c r="C163" s="1055">
        <v>7120</v>
      </c>
      <c r="D163" s="1055">
        <v>7090</v>
      </c>
      <c r="E163" s="1055">
        <v>7690</v>
      </c>
      <c r="F163" s="1073">
        <v>1230</v>
      </c>
      <c r="H163" s="1080"/>
    </row>
    <row r="164" spans="1:8" s="1049" customFormat="1" ht="14.25" customHeight="1" thickBot="1">
      <c r="A164" s="1061" t="s">
        <v>1401</v>
      </c>
      <c r="B164" s="1055" t="s">
        <v>1129</v>
      </c>
      <c r="C164" s="1055">
        <v>6560</v>
      </c>
      <c r="D164" s="1055">
        <v>6530</v>
      </c>
      <c r="E164" s="1055">
        <v>7110</v>
      </c>
      <c r="F164" s="1073">
        <v>1340</v>
      </c>
      <c r="H164" s="1080"/>
    </row>
    <row r="165" spans="1:8" s="1049" customFormat="1" ht="14.25" customHeight="1" thickBot="1">
      <c r="A165" s="1061" t="s">
        <v>1401</v>
      </c>
      <c r="B165" s="1055" t="s">
        <v>1140</v>
      </c>
      <c r="C165" s="1055">
        <v>7450</v>
      </c>
      <c r="D165" s="1055">
        <v>7430</v>
      </c>
      <c r="E165" s="1055">
        <v>8110</v>
      </c>
      <c r="F165" s="1073">
        <v>1290</v>
      </c>
      <c r="H165" s="1080"/>
    </row>
    <row r="166" spans="1:8" s="1049" customFormat="1" ht="14.25" customHeight="1" thickBot="1">
      <c r="A166" s="1061" t="s">
        <v>1401</v>
      </c>
      <c r="B166" s="1055" t="s">
        <v>1152</v>
      </c>
      <c r="C166" s="1055">
        <v>7490</v>
      </c>
      <c r="D166" s="1055">
        <v>7460</v>
      </c>
      <c r="E166" s="1055">
        <v>8150</v>
      </c>
      <c r="F166" s="1073">
        <v>1350</v>
      </c>
      <c r="H166" s="1080"/>
    </row>
    <row r="167" spans="1:8" s="1049" customFormat="1" ht="14.25" customHeight="1" thickBot="1">
      <c r="A167" s="1061" t="s">
        <v>1401</v>
      </c>
      <c r="B167" s="1055" t="s">
        <v>1162</v>
      </c>
      <c r="C167" s="1055">
        <v>7540</v>
      </c>
      <c r="D167" s="1055">
        <v>7510</v>
      </c>
      <c r="E167" s="1055">
        <v>8030</v>
      </c>
      <c r="F167" s="1082"/>
      <c r="H167" s="1080"/>
    </row>
    <row r="168" spans="1:8" s="1049" customFormat="1" ht="14.25" customHeight="1" thickBot="1">
      <c r="A168" s="1061" t="s">
        <v>1401</v>
      </c>
      <c r="B168" s="1055" t="s">
        <v>1172</v>
      </c>
      <c r="C168" s="1055">
        <v>7210</v>
      </c>
      <c r="D168" s="1055">
        <v>7180</v>
      </c>
      <c r="E168" s="1055">
        <v>7830</v>
      </c>
      <c r="F168" s="1082"/>
      <c r="H168" s="1080"/>
    </row>
    <row r="169" spans="1:8" s="1049" customFormat="1" ht="14.25" customHeight="1" thickBot="1">
      <c r="A169" s="1061" t="s">
        <v>1401</v>
      </c>
      <c r="B169" s="1055" t="s">
        <v>1182</v>
      </c>
      <c r="C169" s="1055">
        <v>7040</v>
      </c>
      <c r="D169" s="1055">
        <v>7020</v>
      </c>
      <c r="E169" s="1055">
        <v>7670</v>
      </c>
      <c r="F169" s="1082"/>
      <c r="H169" s="1080"/>
    </row>
    <row r="170" spans="1:8" s="1049" customFormat="1" ht="14.25" customHeight="1" thickBot="1">
      <c r="A170" s="1061" t="s">
        <v>1401</v>
      </c>
      <c r="B170" s="1055" t="s">
        <v>1192</v>
      </c>
      <c r="C170" s="1055">
        <v>8040</v>
      </c>
      <c r="D170" s="1055">
        <v>7190</v>
      </c>
      <c r="E170" s="1055">
        <v>7850</v>
      </c>
      <c r="F170" s="1082"/>
      <c r="H170" s="1080"/>
    </row>
    <row r="171" spans="1:8" s="1049" customFormat="1" ht="14.25" customHeight="1" thickBot="1">
      <c r="A171" s="1061" t="s">
        <v>1401</v>
      </c>
      <c r="B171" s="1055" t="s">
        <v>1202</v>
      </c>
      <c r="C171" s="1055">
        <v>7860</v>
      </c>
      <c r="D171" s="1055">
        <v>7720</v>
      </c>
      <c r="E171" s="1055">
        <v>8150</v>
      </c>
      <c r="F171" s="1073">
        <v>1110</v>
      </c>
      <c r="H171" s="1080"/>
    </row>
    <row r="172" spans="1:8" s="1049" customFormat="1" ht="14.25" customHeight="1" thickBot="1">
      <c r="A172" s="1061" t="s">
        <v>1401</v>
      </c>
      <c r="B172" s="1055" t="s">
        <v>1212</v>
      </c>
      <c r="C172" s="1055">
        <v>7210</v>
      </c>
      <c r="D172" s="1055">
        <v>7170</v>
      </c>
      <c r="E172" s="1055">
        <v>7320</v>
      </c>
      <c r="F172" s="1082"/>
      <c r="H172" s="1080"/>
    </row>
    <row r="173" spans="1:8" s="1049" customFormat="1" ht="14.25" customHeight="1" thickBot="1">
      <c r="A173" s="1061" t="s">
        <v>1401</v>
      </c>
      <c r="B173" s="1055" t="s">
        <v>1222</v>
      </c>
      <c r="C173" s="1055">
        <v>6860</v>
      </c>
      <c r="D173" s="1055">
        <v>6810</v>
      </c>
      <c r="E173" s="1055">
        <v>7440</v>
      </c>
      <c r="F173" s="1082"/>
      <c r="H173" s="1080"/>
    </row>
    <row r="174" spans="1:8" s="1049" customFormat="1" ht="14.25" customHeight="1" thickBot="1">
      <c r="A174" s="1061" t="s">
        <v>1401</v>
      </c>
      <c r="B174" s="1055" t="s">
        <v>1232</v>
      </c>
      <c r="C174" s="1055">
        <v>7120</v>
      </c>
      <c r="D174" s="1055">
        <v>7090</v>
      </c>
      <c r="E174" s="1055">
        <v>7500</v>
      </c>
      <c r="F174" s="1073">
        <v>1490</v>
      </c>
      <c r="H174" s="1080"/>
    </row>
    <row r="175" spans="1:8" s="1049" customFormat="1" ht="14.25" customHeight="1" thickBot="1">
      <c r="A175" s="1061" t="s">
        <v>1401</v>
      </c>
      <c r="B175" s="1055" t="s">
        <v>1242</v>
      </c>
      <c r="C175" s="1055">
        <v>7850</v>
      </c>
      <c r="D175" s="1055">
        <v>7820</v>
      </c>
      <c r="E175" s="1055">
        <v>8120</v>
      </c>
      <c r="F175" s="1073">
        <v>1530</v>
      </c>
      <c r="H175" s="1080"/>
    </row>
    <row r="176" spans="1:8" s="1049" customFormat="1" ht="14.25" customHeight="1" thickBot="1">
      <c r="A176" s="1061" t="s">
        <v>1401</v>
      </c>
      <c r="B176" s="1055" t="s">
        <v>1252</v>
      </c>
      <c r="C176" s="1055">
        <v>7620</v>
      </c>
      <c r="D176" s="1055">
        <v>7570</v>
      </c>
      <c r="E176" s="1055">
        <v>7990</v>
      </c>
      <c r="F176" s="1073">
        <v>1480</v>
      </c>
      <c r="H176" s="1080"/>
    </row>
    <row r="177" spans="1:8" s="1049" customFormat="1" ht="14.25" customHeight="1" thickBot="1">
      <c r="A177" s="1061" t="s">
        <v>1401</v>
      </c>
      <c r="B177" s="1055" t="s">
        <v>1261</v>
      </c>
      <c r="C177" s="1055">
        <v>8590</v>
      </c>
      <c r="D177" s="1055">
        <v>8570</v>
      </c>
      <c r="E177" s="1055">
        <v>8740</v>
      </c>
      <c r="F177" s="1073">
        <v>1540</v>
      </c>
      <c r="H177" s="1080"/>
    </row>
    <row r="178" spans="1:8" s="1049" customFormat="1" ht="14.25" customHeight="1" thickBot="1">
      <c r="A178" s="1061" t="s">
        <v>1401</v>
      </c>
      <c r="B178" s="1055" t="s">
        <v>1270</v>
      </c>
      <c r="C178" s="1055">
        <v>7510</v>
      </c>
      <c r="D178" s="1055">
        <v>7470</v>
      </c>
      <c r="E178" s="1055">
        <v>8090</v>
      </c>
      <c r="F178" s="1073">
        <v>1320</v>
      </c>
      <c r="H178" s="1080"/>
    </row>
    <row r="179" spans="1:8" s="1049" customFormat="1" ht="14.25" customHeight="1" thickBot="1">
      <c r="A179" s="1061" t="s">
        <v>1401</v>
      </c>
      <c r="B179" s="1055" t="s">
        <v>1278</v>
      </c>
      <c r="C179" s="1055">
        <v>6380</v>
      </c>
      <c r="D179" s="1055">
        <v>6340</v>
      </c>
      <c r="E179" s="1055">
        <v>6810</v>
      </c>
      <c r="F179" s="1082"/>
      <c r="H179" s="1080"/>
    </row>
    <row r="180" spans="1:8" s="1049" customFormat="1" ht="14.25" customHeight="1" thickBot="1">
      <c r="A180" s="1061" t="s">
        <v>1401</v>
      </c>
      <c r="B180" s="1055" t="s">
        <v>1285</v>
      </c>
      <c r="C180" s="1055">
        <v>7830</v>
      </c>
      <c r="D180" s="1055">
        <v>7800</v>
      </c>
      <c r="E180" s="1055">
        <v>7780</v>
      </c>
      <c r="F180" s="1073">
        <v>1440</v>
      </c>
      <c r="H180" s="1080"/>
    </row>
    <row r="181" spans="1:8" s="1049" customFormat="1" ht="14.25" customHeight="1" thickBot="1">
      <c r="A181" s="1061" t="s">
        <v>1401</v>
      </c>
      <c r="B181" s="1055" t="s">
        <v>1292</v>
      </c>
      <c r="C181" s="1055">
        <v>7110</v>
      </c>
      <c r="D181" s="1055">
        <v>7080</v>
      </c>
      <c r="E181" s="1055">
        <v>7730</v>
      </c>
      <c r="F181" s="1073">
        <v>1350</v>
      </c>
      <c r="H181" s="1080"/>
    </row>
    <row r="182" spans="1:8" s="1049" customFormat="1" ht="14.25" customHeight="1" thickBot="1">
      <c r="A182" s="1061" t="s">
        <v>1401</v>
      </c>
      <c r="B182" s="1055" t="s">
        <v>1299</v>
      </c>
      <c r="C182" s="1055">
        <v>7310</v>
      </c>
      <c r="D182" s="1055">
        <v>7280</v>
      </c>
      <c r="E182" s="1055">
        <v>7950</v>
      </c>
      <c r="F182" s="1073">
        <v>1220</v>
      </c>
      <c r="H182" s="1080"/>
    </row>
    <row r="183" spans="1:8" s="1049" customFormat="1" ht="14.25" customHeight="1" thickBot="1">
      <c r="A183" s="1061" t="s">
        <v>1401</v>
      </c>
      <c r="B183" s="1055" t="s">
        <v>1306</v>
      </c>
      <c r="C183" s="1055">
        <v>7470</v>
      </c>
      <c r="D183" s="1055">
        <v>7440</v>
      </c>
      <c r="E183" s="1055">
        <v>7880</v>
      </c>
      <c r="F183" s="1082"/>
      <c r="H183" s="1080"/>
    </row>
    <row r="184" spans="1:8" s="1049" customFormat="1" ht="14.25" customHeight="1" thickBot="1">
      <c r="A184" s="1061" t="s">
        <v>1401</v>
      </c>
      <c r="B184" s="1055" t="s">
        <v>1313</v>
      </c>
      <c r="C184" s="1055">
        <v>6960</v>
      </c>
      <c r="D184" s="1055">
        <v>6930</v>
      </c>
      <c r="E184" s="1055">
        <v>7570</v>
      </c>
      <c r="F184" s="1082"/>
      <c r="H184" s="1080"/>
    </row>
    <row r="185" spans="1:8" s="1049" customFormat="1" ht="14.25" customHeight="1" thickBot="1">
      <c r="A185" s="1061" t="s">
        <v>1401</v>
      </c>
      <c r="B185" s="1055" t="s">
        <v>1320</v>
      </c>
      <c r="C185" s="1055">
        <v>7260</v>
      </c>
      <c r="D185" s="1055">
        <v>7230</v>
      </c>
      <c r="E185" s="1055">
        <v>7710</v>
      </c>
      <c r="F185" s="1073">
        <v>1360</v>
      </c>
      <c r="H185" s="1080"/>
    </row>
    <row r="186" spans="1:8" s="1049" customFormat="1" ht="14.25" customHeight="1" thickBot="1">
      <c r="A186" s="1061" t="s">
        <v>1401</v>
      </c>
      <c r="B186" s="1055" t="s">
        <v>1325</v>
      </c>
      <c r="C186" s="1055"/>
      <c r="D186" s="1055"/>
      <c r="E186" s="1055"/>
      <c r="F186" s="1073">
        <v>1560</v>
      </c>
      <c r="H186" s="1080"/>
    </row>
    <row r="187" spans="1:8" s="1049" customFormat="1" ht="14.25" customHeight="1" thickBot="1">
      <c r="A187" s="1061" t="s">
        <v>1401</v>
      </c>
      <c r="B187" s="1055" t="s">
        <v>1329</v>
      </c>
      <c r="C187" s="1055"/>
      <c r="D187" s="1055"/>
      <c r="E187" s="1055"/>
      <c r="F187" s="1073">
        <v>1560</v>
      </c>
      <c r="H187" s="1080"/>
    </row>
    <row r="188" spans="1:8" s="1049" customFormat="1" ht="14.25" customHeight="1" thickBot="1">
      <c r="A188" s="1061" t="s">
        <v>1401</v>
      </c>
      <c r="B188" s="1055" t="s">
        <v>1334</v>
      </c>
      <c r="C188" s="1055"/>
      <c r="D188" s="1055"/>
      <c r="E188" s="1055"/>
      <c r="F188" s="1073">
        <v>1560</v>
      </c>
      <c r="H188" s="1080"/>
    </row>
    <row r="189" spans="1:8" s="1049" customFormat="1" ht="14.25" customHeight="1" thickBot="1">
      <c r="A189" s="1061" t="s">
        <v>1401</v>
      </c>
      <c r="B189" s="1055" t="s">
        <v>1339</v>
      </c>
      <c r="C189" s="1055"/>
      <c r="D189" s="1055"/>
      <c r="E189" s="1055"/>
      <c r="F189" s="1073">
        <v>1320</v>
      </c>
      <c r="H189" s="1080"/>
    </row>
    <row r="190" spans="1:8" s="1049" customFormat="1" ht="14.25" customHeight="1" thickBot="1">
      <c r="A190" s="1061" t="s">
        <v>1401</v>
      </c>
      <c r="B190" s="1055" t="s">
        <v>1344</v>
      </c>
      <c r="C190" s="1055"/>
      <c r="D190" s="1055"/>
      <c r="E190" s="1055"/>
      <c r="F190" s="1073">
        <v>1320</v>
      </c>
      <c r="H190" s="1080"/>
    </row>
    <row r="191" spans="1:8" s="1049" customFormat="1" ht="14.25" customHeight="1" thickBot="1">
      <c r="A191" s="1061" t="s">
        <v>1401</v>
      </c>
      <c r="B191" s="1055" t="s">
        <v>1349</v>
      </c>
      <c r="C191" s="1055"/>
      <c r="D191" s="1055"/>
      <c r="E191" s="1055"/>
      <c r="F191" s="1073">
        <v>1320</v>
      </c>
      <c r="H191" s="1080"/>
    </row>
    <row r="192" spans="1:8" s="1049" customFormat="1" ht="14.25" customHeight="1" thickBot="1">
      <c r="A192" s="1061" t="s">
        <v>1401</v>
      </c>
      <c r="B192" s="1055" t="s">
        <v>1353</v>
      </c>
      <c r="C192" s="1055"/>
      <c r="D192" s="1055"/>
      <c r="E192" s="1055"/>
      <c r="F192" s="1073">
        <v>1100</v>
      </c>
      <c r="H192" s="1080"/>
    </row>
    <row r="193" spans="1:8" s="1049" customFormat="1" ht="14.25" customHeight="1" thickBot="1">
      <c r="A193" s="1061" t="s">
        <v>1401</v>
      </c>
      <c r="B193" s="1055" t="s">
        <v>1357</v>
      </c>
      <c r="C193" s="1055"/>
      <c r="D193" s="1055"/>
      <c r="E193" s="1055"/>
      <c r="F193" s="1073">
        <v>1100</v>
      </c>
      <c r="H193" s="1080"/>
    </row>
    <row r="194" spans="1:8" s="1049" customFormat="1" ht="14.25" customHeight="1" thickBot="1">
      <c r="A194" s="1061" t="s">
        <v>1401</v>
      </c>
      <c r="B194" s="1055" t="s">
        <v>1361</v>
      </c>
      <c r="C194" s="1055"/>
      <c r="D194" s="1055"/>
      <c r="E194" s="1055"/>
      <c r="F194" s="1073">
        <v>1080</v>
      </c>
      <c r="H194" s="1080"/>
    </row>
    <row r="195" spans="1:8" s="1049" customFormat="1" ht="14.25" customHeight="1" thickBot="1">
      <c r="A195" s="1061" t="s">
        <v>1401</v>
      </c>
      <c r="B195" s="1055" t="s">
        <v>1365</v>
      </c>
      <c r="C195" s="1055"/>
      <c r="D195" s="1055"/>
      <c r="E195" s="1055"/>
      <c r="F195" s="1073">
        <v>1270</v>
      </c>
      <c r="H195" s="1080"/>
    </row>
    <row r="196" spans="1:8" s="1049" customFormat="1" ht="14.25" customHeight="1" thickBot="1">
      <c r="A196" s="1061" t="s">
        <v>1401</v>
      </c>
      <c r="B196" s="1055" t="s">
        <v>1369</v>
      </c>
      <c r="C196" s="1055"/>
      <c r="D196" s="1055"/>
      <c r="E196" s="1055"/>
      <c r="F196" s="1073">
        <v>1150</v>
      </c>
      <c r="H196" s="1080"/>
    </row>
    <row r="197" spans="1:8" s="1049" customFormat="1" ht="14.25" customHeight="1" thickBot="1">
      <c r="A197" s="1061" t="s">
        <v>1401</v>
      </c>
      <c r="B197" s="1055" t="s">
        <v>1373</v>
      </c>
      <c r="C197" s="1055"/>
      <c r="D197" s="1055"/>
      <c r="E197" s="1055"/>
      <c r="F197" s="1073">
        <v>1330</v>
      </c>
      <c r="H197" s="1080"/>
    </row>
    <row r="198" spans="1:8" s="1049" customFormat="1" ht="14.25" customHeight="1" thickBot="1">
      <c r="A198" s="1061" t="s">
        <v>1401</v>
      </c>
      <c r="B198" s="1055" t="s">
        <v>1376</v>
      </c>
      <c r="C198" s="1055"/>
      <c r="D198" s="1055"/>
      <c r="E198" s="1055"/>
      <c r="F198" s="1073">
        <v>1170</v>
      </c>
      <c r="H198" s="1080"/>
    </row>
    <row r="199" spans="1:8" s="1049" customFormat="1" ht="14.25" customHeight="1" thickBot="1">
      <c r="A199" s="1061" t="s">
        <v>1401</v>
      </c>
      <c r="B199" s="1055" t="s">
        <v>1379</v>
      </c>
      <c r="C199" s="1055"/>
      <c r="D199" s="1055"/>
      <c r="E199" s="1055"/>
      <c r="F199" s="1073">
        <v>1120</v>
      </c>
      <c r="H199" s="1080"/>
    </row>
    <row r="200" spans="1:8" s="1049" customFormat="1" ht="14.25" customHeight="1" thickBot="1">
      <c r="A200" s="1061" t="s">
        <v>1401</v>
      </c>
      <c r="B200" s="1055" t="s">
        <v>1382</v>
      </c>
      <c r="C200" s="1055"/>
      <c r="D200" s="1055"/>
      <c r="E200" s="1055"/>
      <c r="F200" s="1073">
        <v>1120</v>
      </c>
      <c r="H200" s="1080"/>
    </row>
    <row r="201" spans="1:8" s="1049" customFormat="1" ht="14.25" customHeight="1" thickBot="1">
      <c r="A201" s="1061" t="s">
        <v>1401</v>
      </c>
      <c r="B201" s="1055" t="s">
        <v>1385</v>
      </c>
      <c r="C201" s="1055"/>
      <c r="D201" s="1055"/>
      <c r="E201" s="1055"/>
      <c r="F201" s="1073">
        <v>1540</v>
      </c>
      <c r="H201" s="1080"/>
    </row>
    <row r="202" spans="1:8" s="1049" customFormat="1" ht="14.25" customHeight="1" thickBot="1">
      <c r="A202" s="1061" t="s">
        <v>1401</v>
      </c>
      <c r="B202" s="1055" t="s">
        <v>1388</v>
      </c>
      <c r="C202" s="1055"/>
      <c r="D202" s="1055"/>
      <c r="E202" s="1055"/>
      <c r="F202" s="1073">
        <v>1310</v>
      </c>
      <c r="H202" s="1080"/>
    </row>
    <row r="203" spans="1:8" s="1049" customFormat="1" ht="14.25" customHeight="1" thickBot="1">
      <c r="A203" s="1061" t="s">
        <v>1401</v>
      </c>
      <c r="B203" s="1055" t="s">
        <v>1391</v>
      </c>
      <c r="C203" s="1055"/>
      <c r="D203" s="1055"/>
      <c r="E203" s="1055"/>
      <c r="F203" s="1073">
        <v>1310</v>
      </c>
      <c r="H203" s="1080"/>
    </row>
    <row r="204" spans="1:8" s="1049" customFormat="1" ht="14.25" customHeight="1" thickBot="1">
      <c r="A204" s="1061" t="s">
        <v>1401</v>
      </c>
      <c r="B204" s="1055" t="s">
        <v>1393</v>
      </c>
      <c r="C204" s="1055"/>
      <c r="D204" s="1055"/>
      <c r="E204" s="1055"/>
      <c r="F204" s="1073">
        <v>1080</v>
      </c>
      <c r="H204" s="1080"/>
    </row>
    <row r="205" spans="1:8" s="1049" customFormat="1" ht="14.25" customHeight="1" thickBot="1">
      <c r="A205" s="1061" t="s">
        <v>1401</v>
      </c>
      <c r="B205" s="1055" t="s">
        <v>1396</v>
      </c>
      <c r="C205" s="1055"/>
      <c r="D205" s="1055"/>
      <c r="E205" s="1055"/>
      <c r="F205" s="1073">
        <v>1080</v>
      </c>
      <c r="H205" s="1080"/>
    </row>
    <row r="206" spans="1:8" s="1049" customFormat="1" ht="14.25" customHeight="1" thickBot="1">
      <c r="A206" s="1061" t="s">
        <v>1403</v>
      </c>
      <c r="B206" s="1062" t="s">
        <v>1404</v>
      </c>
      <c r="C206" s="1062">
        <v>5450</v>
      </c>
      <c r="D206" s="1062">
        <v>5430</v>
      </c>
      <c r="E206" s="1062">
        <v>5700</v>
      </c>
      <c r="F206" s="1063">
        <v>1020</v>
      </c>
      <c r="H206" s="1080"/>
    </row>
    <row r="207" spans="1:8" s="1049" customFormat="1" ht="14.25" customHeight="1" thickBot="1">
      <c r="A207" s="1061" t="s">
        <v>1403</v>
      </c>
      <c r="B207" s="1055" t="s">
        <v>1067</v>
      </c>
      <c r="C207" s="1055">
        <v>5860</v>
      </c>
      <c r="D207" s="1055">
        <v>5820</v>
      </c>
      <c r="E207" s="1055">
        <v>6050</v>
      </c>
      <c r="F207" s="1073">
        <v>1080</v>
      </c>
      <c r="H207" s="1080"/>
    </row>
    <row r="208" spans="1:8" s="1049" customFormat="1" ht="14.25" customHeight="1" thickBot="1">
      <c r="A208" s="1061" t="s">
        <v>1403</v>
      </c>
      <c r="B208" s="1055" t="s">
        <v>1081</v>
      </c>
      <c r="C208" s="1055">
        <v>4630</v>
      </c>
      <c r="D208" s="1055">
        <v>4600</v>
      </c>
      <c r="E208" s="1055">
        <v>4840</v>
      </c>
      <c r="F208" s="1073">
        <v>900</v>
      </c>
      <c r="H208" s="1080"/>
    </row>
    <row r="209" spans="1:8" s="1049" customFormat="1" ht="14.25" customHeight="1" thickBot="1">
      <c r="A209" s="1061" t="s">
        <v>1403</v>
      </c>
      <c r="B209" s="1055" t="s">
        <v>1094</v>
      </c>
      <c r="C209" s="1055">
        <v>5320</v>
      </c>
      <c r="D209" s="1055">
        <v>5270</v>
      </c>
      <c r="E209" s="1055">
        <v>5540</v>
      </c>
      <c r="F209" s="1073">
        <v>980</v>
      </c>
      <c r="H209" s="1080"/>
    </row>
    <row r="210" spans="1:8" s="1049" customFormat="1" ht="14.25" customHeight="1" thickBot="1">
      <c r="A210" s="1061" t="s">
        <v>1403</v>
      </c>
      <c r="B210" s="1055" t="s">
        <v>1108</v>
      </c>
      <c r="C210" s="1055">
        <v>5760</v>
      </c>
      <c r="D210" s="1055">
        <v>5710</v>
      </c>
      <c r="E210" s="1055">
        <v>6010</v>
      </c>
      <c r="F210" s="1073">
        <v>870</v>
      </c>
      <c r="H210" s="1080"/>
    </row>
    <row r="211" spans="1:8" s="1049" customFormat="1" ht="14.25" customHeight="1" thickBot="1">
      <c r="A211" s="1061" t="s">
        <v>1403</v>
      </c>
      <c r="B211" s="1055" t="s">
        <v>1119</v>
      </c>
      <c r="C211" s="1055">
        <v>4160</v>
      </c>
      <c r="D211" s="1055">
        <v>4100</v>
      </c>
      <c r="E211" s="1055">
        <v>4270</v>
      </c>
      <c r="F211" s="1073">
        <v>790</v>
      </c>
      <c r="H211" s="1080"/>
    </row>
    <row r="212" spans="1:8" s="1049" customFormat="1" ht="14.25" customHeight="1" thickBot="1">
      <c r="A212" s="1061" t="s">
        <v>1403</v>
      </c>
      <c r="B212" s="1055" t="s">
        <v>1130</v>
      </c>
      <c r="C212" s="1055">
        <v>4880</v>
      </c>
      <c r="D212" s="1055">
        <v>4850</v>
      </c>
      <c r="E212" s="1055">
        <v>5110</v>
      </c>
      <c r="F212" s="1073">
        <v>940</v>
      </c>
      <c r="H212" s="1080"/>
    </row>
    <row r="213" spans="1:8" s="1049" customFormat="1" ht="14.25" customHeight="1" thickBot="1">
      <c r="A213" s="1061" t="s">
        <v>1403</v>
      </c>
      <c r="B213" s="1055" t="s">
        <v>1141</v>
      </c>
      <c r="C213" s="1055">
        <v>4640</v>
      </c>
      <c r="D213" s="1055">
        <v>4590</v>
      </c>
      <c r="E213" s="1055">
        <v>4700</v>
      </c>
      <c r="F213" s="1073">
        <v>1030</v>
      </c>
      <c r="H213" s="1080"/>
    </row>
    <row r="214" spans="1:8" s="1049" customFormat="1" ht="14.25" customHeight="1" thickBot="1">
      <c r="A214" s="1061" t="s">
        <v>1403</v>
      </c>
      <c r="B214" s="1055" t="s">
        <v>1153</v>
      </c>
      <c r="C214" s="1055">
        <v>4540</v>
      </c>
      <c r="D214" s="1055">
        <v>4490</v>
      </c>
      <c r="E214" s="1055">
        <v>4610</v>
      </c>
      <c r="F214" s="1082"/>
      <c r="H214" s="1080"/>
    </row>
    <row r="215" spans="1:8" s="1049" customFormat="1" ht="14.25" customHeight="1" thickBot="1">
      <c r="A215" s="1061" t="s">
        <v>1403</v>
      </c>
      <c r="B215" s="1055" t="s">
        <v>1163</v>
      </c>
      <c r="C215" s="1055">
        <v>5280</v>
      </c>
      <c r="D215" s="1055">
        <v>5250</v>
      </c>
      <c r="E215" s="1055">
        <v>5520</v>
      </c>
      <c r="F215" s="1073">
        <v>1000</v>
      </c>
      <c r="H215" s="1080"/>
    </row>
    <row r="216" spans="1:8" s="1049" customFormat="1" ht="14.25" customHeight="1" thickBot="1">
      <c r="A216" s="1061" t="s">
        <v>1403</v>
      </c>
      <c r="B216" s="1055" t="s">
        <v>1173</v>
      </c>
      <c r="C216" s="1055">
        <v>5100</v>
      </c>
      <c r="D216" s="1055">
        <v>5050</v>
      </c>
      <c r="E216" s="1055">
        <v>5300</v>
      </c>
      <c r="F216" s="1073">
        <v>950</v>
      </c>
      <c r="H216" s="1080"/>
    </row>
    <row r="217" spans="1:8" s="1049" customFormat="1" ht="14.25" customHeight="1" thickBot="1">
      <c r="A217" s="1061" t="s">
        <v>1403</v>
      </c>
      <c r="B217" s="1055" t="s">
        <v>1183</v>
      </c>
      <c r="C217" s="1055">
        <v>5370</v>
      </c>
      <c r="D217" s="1055">
        <v>5320</v>
      </c>
      <c r="E217" s="1055">
        <v>5410</v>
      </c>
      <c r="F217" s="1073">
        <v>950</v>
      </c>
      <c r="H217" s="1080"/>
    </row>
    <row r="218" spans="1:8" s="1049" customFormat="1" ht="14.25" customHeight="1" thickBot="1">
      <c r="A218" s="1061" t="s">
        <v>1403</v>
      </c>
      <c r="B218" s="1055" t="s">
        <v>1193</v>
      </c>
      <c r="C218" s="1055">
        <v>5540</v>
      </c>
      <c r="D218" s="1055">
        <v>5480</v>
      </c>
      <c r="E218" s="1055">
        <v>5740</v>
      </c>
      <c r="F218" s="1073">
        <v>1020</v>
      </c>
      <c r="H218" s="1080"/>
    </row>
    <row r="219" spans="1:8" s="1049" customFormat="1" ht="14.25" customHeight="1" thickBot="1">
      <c r="A219" s="1061" t="s">
        <v>1403</v>
      </c>
      <c r="B219" s="1055" t="s">
        <v>1203</v>
      </c>
      <c r="C219" s="1055">
        <v>5140</v>
      </c>
      <c r="D219" s="1055">
        <v>5100</v>
      </c>
      <c r="E219" s="1055">
        <v>5350</v>
      </c>
      <c r="F219" s="1073">
        <v>1120</v>
      </c>
      <c r="H219" s="1080"/>
    </row>
    <row r="220" spans="1:8" s="1049" customFormat="1" ht="14.25" customHeight="1" thickBot="1">
      <c r="A220" s="1061" t="s">
        <v>1403</v>
      </c>
      <c r="B220" s="1055" t="s">
        <v>1213</v>
      </c>
      <c r="C220" s="1055">
        <v>5040</v>
      </c>
      <c r="D220" s="1055">
        <v>5000</v>
      </c>
      <c r="E220" s="1055">
        <v>5240</v>
      </c>
      <c r="F220" s="1073">
        <v>980</v>
      </c>
      <c r="H220" s="1080"/>
    </row>
    <row r="221" spans="1:8" s="1049" customFormat="1" ht="14.25" customHeight="1" thickBot="1">
      <c r="A221" s="1061" t="s">
        <v>1403</v>
      </c>
      <c r="B221" s="1055" t="s">
        <v>1223</v>
      </c>
      <c r="C221" s="1083"/>
      <c r="D221" s="1083"/>
      <c r="E221" s="1083"/>
      <c r="F221" s="1073">
        <v>1070</v>
      </c>
      <c r="H221" s="1080"/>
    </row>
    <row r="222" spans="1:8" s="1049" customFormat="1" ht="14.25" customHeight="1" thickBot="1">
      <c r="A222" s="1061" t="s">
        <v>1403</v>
      </c>
      <c r="B222" s="1055" t="s">
        <v>1233</v>
      </c>
      <c r="C222" s="1083"/>
      <c r="D222" s="1083"/>
      <c r="E222" s="1083"/>
      <c r="F222" s="1073">
        <v>870</v>
      </c>
      <c r="H222" s="1080"/>
    </row>
    <row r="223" spans="1:8" s="1049" customFormat="1" ht="14.25" customHeight="1" thickBot="1">
      <c r="A223" s="1061" t="s">
        <v>1403</v>
      </c>
      <c r="B223" s="1055" t="s">
        <v>1243</v>
      </c>
      <c r="C223" s="1083"/>
      <c r="D223" s="1083"/>
      <c r="E223" s="1083"/>
      <c r="F223" s="1073">
        <v>940</v>
      </c>
      <c r="H223" s="1080"/>
    </row>
    <row r="224" spans="1:8" s="1049" customFormat="1" ht="14.25" customHeight="1" thickBot="1">
      <c r="A224" s="1061" t="s">
        <v>1403</v>
      </c>
      <c r="B224" s="1055" t="s">
        <v>1253</v>
      </c>
      <c r="C224" s="1083"/>
      <c r="D224" s="1083"/>
      <c r="E224" s="1083"/>
      <c r="F224" s="1073">
        <v>990</v>
      </c>
      <c r="H224" s="1080"/>
    </row>
    <row r="225" spans="1:8" s="1049" customFormat="1" ht="14.25" customHeight="1" thickBot="1">
      <c r="A225" s="1061" t="s">
        <v>1403</v>
      </c>
      <c r="B225" s="1055" t="s">
        <v>1262</v>
      </c>
      <c r="C225" s="1055">
        <v>5730</v>
      </c>
      <c r="D225" s="1055">
        <v>5680</v>
      </c>
      <c r="E225" s="1055">
        <v>6020</v>
      </c>
      <c r="F225" s="1073">
        <v>1000</v>
      </c>
      <c r="H225" s="1080"/>
    </row>
    <row r="226" spans="1:8" s="1049" customFormat="1" ht="14.25" customHeight="1" thickBot="1">
      <c r="A226" s="1061" t="s">
        <v>1403</v>
      </c>
      <c r="B226" s="1055" t="s">
        <v>1271</v>
      </c>
      <c r="C226" s="1055">
        <v>4970</v>
      </c>
      <c r="D226" s="1055">
        <v>4940</v>
      </c>
      <c r="E226" s="1055">
        <v>5180</v>
      </c>
      <c r="F226" s="1073">
        <v>960</v>
      </c>
      <c r="H226" s="1080"/>
    </row>
    <row r="227" spans="1:8" s="1049" customFormat="1" ht="14.25" customHeight="1" thickBot="1">
      <c r="A227" s="1061" t="s">
        <v>1403</v>
      </c>
      <c r="B227" s="1055" t="s">
        <v>1279</v>
      </c>
      <c r="C227" s="1055">
        <v>5550</v>
      </c>
      <c r="D227" s="1055">
        <v>5500</v>
      </c>
      <c r="E227" s="1055">
        <v>5780</v>
      </c>
      <c r="F227" s="1073">
        <v>940</v>
      </c>
      <c r="H227" s="1080"/>
    </row>
    <row r="228" spans="1:8" s="1049" customFormat="1" ht="14.25" customHeight="1" thickBot="1">
      <c r="A228" s="1061" t="s">
        <v>1403</v>
      </c>
      <c r="B228" s="1055" t="s">
        <v>1286</v>
      </c>
      <c r="C228" s="1055">
        <v>5460</v>
      </c>
      <c r="D228" s="1055">
        <v>5420</v>
      </c>
      <c r="E228" s="1055">
        <v>5690</v>
      </c>
      <c r="F228" s="1073">
        <v>910</v>
      </c>
      <c r="H228" s="1080"/>
    </row>
    <row r="229" spans="1:8" s="1049" customFormat="1" ht="14.25" customHeight="1" thickBot="1">
      <c r="A229" s="1061" t="s">
        <v>1403</v>
      </c>
      <c r="B229" s="1055" t="s">
        <v>1293</v>
      </c>
      <c r="C229" s="1055">
        <v>5310</v>
      </c>
      <c r="D229" s="1055">
        <v>5270</v>
      </c>
      <c r="E229" s="1055">
        <v>5510</v>
      </c>
      <c r="F229" s="1082"/>
      <c r="H229" s="1080"/>
    </row>
    <row r="230" spans="1:8" s="1049" customFormat="1" ht="14.25" customHeight="1" thickBot="1">
      <c r="A230" s="1061" t="s">
        <v>1403</v>
      </c>
      <c r="B230" s="1055" t="s">
        <v>1300</v>
      </c>
      <c r="C230" s="1055">
        <v>4540</v>
      </c>
      <c r="D230" s="1055">
        <v>4500</v>
      </c>
      <c r="E230" s="1055">
        <v>4730</v>
      </c>
      <c r="F230" s="1082"/>
      <c r="H230" s="1080"/>
    </row>
    <row r="231" spans="1:8" s="1049" customFormat="1" ht="14.25" customHeight="1" thickBot="1">
      <c r="A231" s="1061" t="s">
        <v>1403</v>
      </c>
      <c r="B231" s="1055" t="s">
        <v>1307</v>
      </c>
      <c r="C231" s="1055">
        <v>4480</v>
      </c>
      <c r="D231" s="1055">
        <v>4410</v>
      </c>
      <c r="E231" s="1055">
        <v>4640</v>
      </c>
      <c r="F231" s="1082"/>
      <c r="H231" s="1080"/>
    </row>
    <row r="232" spans="1:8" s="1049" customFormat="1" ht="14.25" customHeight="1" thickBot="1">
      <c r="A232" s="1061" t="s">
        <v>1403</v>
      </c>
      <c r="B232" s="1055" t="s">
        <v>1314</v>
      </c>
      <c r="C232" s="1055">
        <v>5670</v>
      </c>
      <c r="D232" s="1055">
        <v>5600</v>
      </c>
      <c r="E232" s="1055">
        <v>5890</v>
      </c>
      <c r="F232" s="1073">
        <v>1150</v>
      </c>
      <c r="H232" s="1080"/>
    </row>
    <row r="233" spans="1:8" s="1049" customFormat="1" ht="14.25" customHeight="1" thickBot="1">
      <c r="A233" s="1061" t="s">
        <v>1403</v>
      </c>
      <c r="B233" s="1055" t="s">
        <v>1321</v>
      </c>
      <c r="C233" s="1055">
        <v>4590</v>
      </c>
      <c r="D233" s="1055">
        <v>4500</v>
      </c>
      <c r="E233" s="1055">
        <v>4600</v>
      </c>
      <c r="F233" s="1082"/>
      <c r="H233" s="1080"/>
    </row>
    <row r="234" spans="1:8" s="1049" customFormat="1" ht="14.25" customHeight="1" thickBot="1">
      <c r="A234" s="1061" t="s">
        <v>1403</v>
      </c>
      <c r="B234" s="1055" t="s">
        <v>2406</v>
      </c>
      <c r="C234" s="1055">
        <v>3990</v>
      </c>
      <c r="D234" s="1055">
        <v>3950</v>
      </c>
      <c r="E234" s="1055">
        <v>4180</v>
      </c>
      <c r="F234" s="1082"/>
      <c r="H234" s="1080"/>
    </row>
    <row r="235" spans="1:8" s="1049" customFormat="1" ht="14.25" customHeight="1" thickBot="1">
      <c r="A235" s="1061" t="s">
        <v>1403</v>
      </c>
      <c r="B235" s="1055" t="s">
        <v>1330</v>
      </c>
      <c r="C235" s="1055">
        <v>5590</v>
      </c>
      <c r="D235" s="1055">
        <v>5540</v>
      </c>
      <c r="E235" s="1055">
        <v>5810</v>
      </c>
      <c r="F235" s="1073">
        <v>970</v>
      </c>
      <c r="H235" s="1080"/>
    </row>
    <row r="236" spans="1:8" s="1049" customFormat="1" ht="14.25" customHeight="1" thickBot="1">
      <c r="A236" s="1061" t="s">
        <v>1403</v>
      </c>
      <c r="B236" s="1055" t="s">
        <v>1335</v>
      </c>
      <c r="C236" s="1055"/>
      <c r="D236" s="1055"/>
      <c r="E236" s="1055"/>
      <c r="F236" s="1073">
        <v>1020</v>
      </c>
      <c r="H236" s="1080"/>
    </row>
    <row r="237" spans="1:8" s="1049" customFormat="1" ht="14.25" customHeight="1" thickBot="1">
      <c r="A237" s="1061" t="s">
        <v>1403</v>
      </c>
      <c r="B237" s="1055" t="s">
        <v>1340</v>
      </c>
      <c r="C237" s="1055"/>
      <c r="D237" s="1055"/>
      <c r="E237" s="1055"/>
      <c r="F237" s="1073">
        <v>960</v>
      </c>
      <c r="H237" s="1080"/>
    </row>
    <row r="238" spans="1:8" s="1049" customFormat="1" ht="14.25" customHeight="1" thickBot="1">
      <c r="A238" s="1061" t="s">
        <v>1403</v>
      </c>
      <c r="B238" s="1055" t="s">
        <v>1345</v>
      </c>
      <c r="C238" s="1055"/>
      <c r="D238" s="1055"/>
      <c r="E238" s="1055"/>
      <c r="F238" s="1073">
        <v>960</v>
      </c>
      <c r="H238" s="1080"/>
    </row>
    <row r="239" spans="1:8" s="1049" customFormat="1" ht="14.25" customHeight="1" thickBot="1">
      <c r="A239" s="1061" t="s">
        <v>1403</v>
      </c>
      <c r="B239" s="1055" t="s">
        <v>1350</v>
      </c>
      <c r="C239" s="1055"/>
      <c r="D239" s="1055"/>
      <c r="E239" s="1055"/>
      <c r="F239" s="1073">
        <v>960</v>
      </c>
      <c r="H239" s="1080"/>
    </row>
    <row r="240" spans="1:8" s="1049" customFormat="1" ht="14.25" customHeight="1" thickBot="1">
      <c r="A240" s="1061" t="s">
        <v>1403</v>
      </c>
      <c r="B240" s="1055" t="s">
        <v>1354</v>
      </c>
      <c r="C240" s="1055"/>
      <c r="D240" s="1055"/>
      <c r="E240" s="1055"/>
      <c r="F240" s="1073">
        <v>990</v>
      </c>
      <c r="H240" s="1080"/>
    </row>
    <row r="241" spans="1:8" s="1049" customFormat="1" ht="14.25" customHeight="1" thickBot="1">
      <c r="A241" s="1061" t="s">
        <v>1403</v>
      </c>
      <c r="B241" s="1055" t="s">
        <v>1358</v>
      </c>
      <c r="C241" s="1055"/>
      <c r="D241" s="1055"/>
      <c r="E241" s="1055"/>
      <c r="F241" s="1073">
        <v>1000</v>
      </c>
      <c r="H241" s="1080"/>
    </row>
    <row r="242" spans="1:8" s="1049" customFormat="1" ht="14.25" customHeight="1" thickBot="1">
      <c r="A242" s="1061" t="s">
        <v>1403</v>
      </c>
      <c r="B242" s="1055" t="s">
        <v>1362</v>
      </c>
      <c r="C242" s="1055"/>
      <c r="D242" s="1055"/>
      <c r="E242" s="1055"/>
      <c r="F242" s="1073">
        <v>980</v>
      </c>
      <c r="H242" s="1080"/>
    </row>
    <row r="243" spans="1:8" s="1049" customFormat="1" ht="14.25" customHeight="1" thickBot="1">
      <c r="A243" s="1061" t="s">
        <v>1403</v>
      </c>
      <c r="B243" s="1055" t="s">
        <v>1366</v>
      </c>
      <c r="C243" s="1055"/>
      <c r="D243" s="1055"/>
      <c r="E243" s="1055"/>
      <c r="F243" s="1073">
        <v>970</v>
      </c>
      <c r="H243" s="1080"/>
    </row>
    <row r="244" spans="1:8" s="1049" customFormat="1" ht="14.25" customHeight="1" thickBot="1">
      <c r="A244" s="1061" t="s">
        <v>1403</v>
      </c>
      <c r="B244" s="1071" t="s">
        <v>1370</v>
      </c>
      <c r="C244" s="1071"/>
      <c r="D244" s="1071"/>
      <c r="E244" s="1071"/>
      <c r="F244" s="1081">
        <v>970</v>
      </c>
      <c r="H244" s="1080"/>
    </row>
    <row r="245" spans="1:8" s="1049" customFormat="1" ht="14.25" customHeight="1" thickBot="1">
      <c r="A245" s="1061" t="s">
        <v>1405</v>
      </c>
      <c r="B245" s="1062" t="s">
        <v>1406</v>
      </c>
      <c r="C245" s="1062">
        <v>4050</v>
      </c>
      <c r="D245" s="1062">
        <v>4020</v>
      </c>
      <c r="E245" s="1062">
        <v>4160</v>
      </c>
      <c r="F245" s="1063">
        <v>840</v>
      </c>
      <c r="H245" s="1080"/>
    </row>
    <row r="246" spans="1:8" s="1049" customFormat="1" ht="14.25" customHeight="1" thickBot="1">
      <c r="A246" s="1061" t="s">
        <v>1405</v>
      </c>
      <c r="B246" s="1055" t="s">
        <v>1068</v>
      </c>
      <c r="C246" s="1055">
        <v>4010</v>
      </c>
      <c r="D246" s="1055">
        <v>3960</v>
      </c>
      <c r="E246" s="1055">
        <v>4130</v>
      </c>
      <c r="F246" s="1073">
        <v>840</v>
      </c>
      <c r="H246" s="1080"/>
    </row>
    <row r="247" spans="1:8" s="1049" customFormat="1" ht="14.25" customHeight="1" thickBot="1">
      <c r="A247" s="1061" t="s">
        <v>1405</v>
      </c>
      <c r="B247" s="1055" t="s">
        <v>1407</v>
      </c>
      <c r="C247" s="1055">
        <v>3170</v>
      </c>
      <c r="D247" s="1055">
        <v>3140</v>
      </c>
      <c r="E247" s="1055">
        <v>3270</v>
      </c>
      <c r="F247" s="1073">
        <v>640</v>
      </c>
      <c r="H247" s="1080"/>
    </row>
    <row r="248" spans="1:8" s="1049" customFormat="1" ht="14.25" customHeight="1" thickBot="1">
      <c r="A248" s="1061" t="s">
        <v>1405</v>
      </c>
      <c r="B248" s="1055" t="s">
        <v>1408</v>
      </c>
      <c r="C248" s="1055">
        <v>3140</v>
      </c>
      <c r="D248" s="1055">
        <v>3120</v>
      </c>
      <c r="E248" s="1055">
        <v>3240</v>
      </c>
      <c r="F248" s="1073">
        <v>620</v>
      </c>
      <c r="H248" s="1080"/>
    </row>
    <row r="249" spans="1:8" s="1049" customFormat="1" ht="14.25" customHeight="1" thickBot="1">
      <c r="A249" s="1061" t="s">
        <v>1405</v>
      </c>
      <c r="B249" s="1055" t="s">
        <v>1109</v>
      </c>
      <c r="C249" s="1055">
        <v>3200</v>
      </c>
      <c r="D249" s="1055">
        <v>3100</v>
      </c>
      <c r="E249" s="1055">
        <v>3230</v>
      </c>
      <c r="F249" s="1073">
        <v>750</v>
      </c>
      <c r="H249" s="1080"/>
    </row>
    <row r="250" spans="1:8" s="1049" customFormat="1" ht="14.25" customHeight="1" thickBot="1">
      <c r="A250" s="1061" t="s">
        <v>1405</v>
      </c>
      <c r="B250" s="1055" t="s">
        <v>1120</v>
      </c>
      <c r="C250" s="1055">
        <v>4060</v>
      </c>
      <c r="D250" s="1055">
        <v>4000</v>
      </c>
      <c r="E250" s="1055">
        <v>4140</v>
      </c>
      <c r="F250" s="1073">
        <v>790</v>
      </c>
      <c r="H250" s="1080"/>
    </row>
    <row r="251" spans="1:8" s="1049" customFormat="1" ht="14.25" customHeight="1" thickBot="1">
      <c r="A251" s="1061" t="s">
        <v>1405</v>
      </c>
      <c r="B251" s="1055" t="s">
        <v>1131</v>
      </c>
      <c r="C251" s="1055">
        <v>3990</v>
      </c>
      <c r="D251" s="1055">
        <v>3970</v>
      </c>
      <c r="E251" s="1055">
        <v>4110</v>
      </c>
      <c r="F251" s="1073">
        <v>730</v>
      </c>
      <c r="H251" s="1080"/>
    </row>
    <row r="252" spans="1:8" s="1049" customFormat="1" ht="14.25" customHeight="1" thickBot="1">
      <c r="A252" s="1061" t="s">
        <v>1405</v>
      </c>
      <c r="B252" s="1055" t="s">
        <v>1142</v>
      </c>
      <c r="C252" s="1055">
        <v>3560</v>
      </c>
      <c r="D252" s="1055">
        <v>3530</v>
      </c>
      <c r="E252" s="1055">
        <v>3650</v>
      </c>
      <c r="F252" s="1073">
        <v>750</v>
      </c>
      <c r="H252" s="1080"/>
    </row>
    <row r="253" spans="1:8" s="1049" customFormat="1" ht="14.25" customHeight="1" thickBot="1">
      <c r="A253" s="1061" t="s">
        <v>1405</v>
      </c>
      <c r="B253" s="1055" t="s">
        <v>1154</v>
      </c>
      <c r="C253" s="1055">
        <v>3780</v>
      </c>
      <c r="D253" s="1055">
        <v>3750</v>
      </c>
      <c r="E253" s="1055">
        <v>3870</v>
      </c>
      <c r="F253" s="1073">
        <v>770</v>
      </c>
      <c r="H253" s="1080"/>
    </row>
    <row r="254" spans="1:8" s="1049" customFormat="1" ht="14.25" customHeight="1" thickBot="1">
      <c r="A254" s="1061" t="s">
        <v>1405</v>
      </c>
      <c r="B254" s="1055" t="s">
        <v>1164</v>
      </c>
      <c r="C254" s="1083"/>
      <c r="D254" s="1083"/>
      <c r="E254" s="1083"/>
      <c r="F254" s="1073">
        <v>740</v>
      </c>
      <c r="H254" s="1080"/>
    </row>
    <row r="255" spans="1:8" s="1049" customFormat="1" ht="14.25" customHeight="1" thickBot="1">
      <c r="A255" s="1061" t="s">
        <v>1405</v>
      </c>
      <c r="B255" s="1055" t="s">
        <v>1174</v>
      </c>
      <c r="C255" s="1083"/>
      <c r="D255" s="1083"/>
      <c r="E255" s="1083"/>
      <c r="F255" s="1073">
        <v>760</v>
      </c>
      <c r="H255" s="1080"/>
    </row>
    <row r="256" spans="1:8" s="1049" customFormat="1" ht="14.25" customHeight="1" thickBot="1">
      <c r="A256" s="1061" t="s">
        <v>1405</v>
      </c>
      <c r="B256" s="1055" t="s">
        <v>1184</v>
      </c>
      <c r="C256" s="1055">
        <v>3760</v>
      </c>
      <c r="D256" s="1055">
        <v>3730</v>
      </c>
      <c r="E256" s="1055">
        <v>3870</v>
      </c>
      <c r="F256" s="1073">
        <v>830</v>
      </c>
      <c r="H256" s="1080"/>
    </row>
    <row r="257" spans="1:8" s="1049" customFormat="1" ht="14.25" customHeight="1" thickBot="1">
      <c r="A257" s="1061" t="s">
        <v>1405</v>
      </c>
      <c r="B257" s="1055" t="s">
        <v>1194</v>
      </c>
      <c r="C257" s="1055">
        <v>3570</v>
      </c>
      <c r="D257" s="1055">
        <v>3540</v>
      </c>
      <c r="E257" s="1055">
        <v>3650</v>
      </c>
      <c r="F257" s="1073">
        <v>790</v>
      </c>
      <c r="H257" s="1080"/>
    </row>
    <row r="258" spans="1:8" s="1049" customFormat="1" ht="14.25" customHeight="1" thickBot="1">
      <c r="A258" s="1061" t="s">
        <v>1405</v>
      </c>
      <c r="B258" s="1055" t="s">
        <v>1204</v>
      </c>
      <c r="C258" s="1055">
        <v>3410</v>
      </c>
      <c r="D258" s="1055">
        <v>3380</v>
      </c>
      <c r="E258" s="1055">
        <v>3500</v>
      </c>
      <c r="F258" s="1073">
        <v>830</v>
      </c>
      <c r="H258" s="1080"/>
    </row>
    <row r="259" spans="1:8" s="1049" customFormat="1" ht="14.25" customHeight="1" thickBot="1">
      <c r="A259" s="1061" t="s">
        <v>1405</v>
      </c>
      <c r="B259" s="1055" t="s">
        <v>1214</v>
      </c>
      <c r="C259" s="1055">
        <v>3870</v>
      </c>
      <c r="D259" s="1055">
        <v>3840</v>
      </c>
      <c r="E259" s="1055">
        <v>3970</v>
      </c>
      <c r="F259" s="1073">
        <v>830</v>
      </c>
      <c r="H259" s="1080"/>
    </row>
    <row r="260" spans="1:8" s="1049" customFormat="1" ht="14.25" customHeight="1" thickBot="1">
      <c r="A260" s="1061" t="s">
        <v>1405</v>
      </c>
      <c r="B260" s="1055" t="s">
        <v>1224</v>
      </c>
      <c r="C260" s="1055">
        <v>3700</v>
      </c>
      <c r="D260" s="1055">
        <v>3660</v>
      </c>
      <c r="E260" s="1055">
        <v>3810</v>
      </c>
      <c r="F260" s="1073">
        <v>790</v>
      </c>
      <c r="H260" s="1080"/>
    </row>
    <row r="261" spans="1:8" s="1049" customFormat="1" ht="14.25" customHeight="1" thickBot="1">
      <c r="A261" s="1061" t="s">
        <v>1405</v>
      </c>
      <c r="B261" s="1055" t="s">
        <v>1234</v>
      </c>
      <c r="C261" s="1055">
        <v>3470</v>
      </c>
      <c r="D261" s="1055">
        <v>3430</v>
      </c>
      <c r="E261" s="1055">
        <v>3640</v>
      </c>
      <c r="F261" s="1073">
        <v>760</v>
      </c>
      <c r="H261" s="1080"/>
    </row>
    <row r="262" spans="1:8" s="1049" customFormat="1" ht="14.25" customHeight="1" thickBot="1">
      <c r="A262" s="1061" t="s">
        <v>1405</v>
      </c>
      <c r="B262" s="1055" t="s">
        <v>1244</v>
      </c>
      <c r="C262" s="1055">
        <v>3510</v>
      </c>
      <c r="D262" s="1055">
        <v>3470</v>
      </c>
      <c r="E262" s="1055">
        <v>3680</v>
      </c>
      <c r="F262" s="1082"/>
      <c r="H262" s="1080"/>
    </row>
    <row r="263" spans="1:8" s="1049" customFormat="1" ht="14.25" customHeight="1" thickBot="1">
      <c r="A263" s="1061" t="s">
        <v>1405</v>
      </c>
      <c r="B263" s="1055" t="s">
        <v>1254</v>
      </c>
      <c r="C263" s="1055">
        <v>3960</v>
      </c>
      <c r="D263" s="1055">
        <v>3930</v>
      </c>
      <c r="E263" s="1055">
        <v>4070</v>
      </c>
      <c r="F263" s="1073">
        <v>830</v>
      </c>
      <c r="H263" s="1080"/>
    </row>
    <row r="264" spans="1:8" s="1049" customFormat="1" ht="14.25" customHeight="1" thickBot="1">
      <c r="A264" s="1061" t="s">
        <v>1405</v>
      </c>
      <c r="B264" s="1055" t="s">
        <v>1263</v>
      </c>
      <c r="C264" s="1055">
        <v>4010</v>
      </c>
      <c r="D264" s="1055">
        <v>3980</v>
      </c>
      <c r="E264" s="1055">
        <v>4150</v>
      </c>
      <c r="F264" s="1073">
        <v>760</v>
      </c>
      <c r="H264" s="1080"/>
    </row>
    <row r="265" spans="1:8" s="1049" customFormat="1" ht="14.25" customHeight="1" thickBot="1">
      <c r="A265" s="1061" t="s">
        <v>1405</v>
      </c>
      <c r="B265" s="1055" t="s">
        <v>1272</v>
      </c>
      <c r="C265" s="1055">
        <v>3910</v>
      </c>
      <c r="D265" s="1055">
        <v>3890</v>
      </c>
      <c r="E265" s="1055">
        <v>4040</v>
      </c>
      <c r="F265" s="1073">
        <v>780</v>
      </c>
      <c r="H265" s="1080"/>
    </row>
    <row r="266" spans="1:8" s="1049" customFormat="1" ht="14.25" customHeight="1" thickBot="1">
      <c r="A266" s="1061" t="s">
        <v>1405</v>
      </c>
      <c r="B266" s="1055" t="s">
        <v>1280</v>
      </c>
      <c r="C266" s="1055">
        <v>3930</v>
      </c>
      <c r="D266" s="1055">
        <v>3900</v>
      </c>
      <c r="E266" s="1055">
        <v>4080</v>
      </c>
      <c r="F266" s="1073">
        <v>770</v>
      </c>
      <c r="H266" s="1080"/>
    </row>
    <row r="267" spans="1:8" s="1049" customFormat="1" ht="14.25" customHeight="1" thickBot="1">
      <c r="A267" s="1061" t="s">
        <v>1405</v>
      </c>
      <c r="B267" s="1055" t="s">
        <v>1287</v>
      </c>
      <c r="C267" s="1055">
        <v>3800</v>
      </c>
      <c r="D267" s="1055">
        <v>3780</v>
      </c>
      <c r="E267" s="1055">
        <v>3930</v>
      </c>
      <c r="F267" s="1082"/>
      <c r="H267" s="1080"/>
    </row>
    <row r="268" spans="1:8" s="1049" customFormat="1" ht="14.25" customHeight="1" thickBot="1">
      <c r="A268" s="1061" t="s">
        <v>1405</v>
      </c>
      <c r="B268" s="1055" t="s">
        <v>1294</v>
      </c>
      <c r="C268" s="1055">
        <v>3460</v>
      </c>
      <c r="D268" s="1055">
        <v>3430</v>
      </c>
      <c r="E268" s="1055">
        <v>3560</v>
      </c>
      <c r="F268" s="1073">
        <v>840</v>
      </c>
      <c r="H268" s="1080"/>
    </row>
    <row r="269" spans="1:8" s="1049" customFormat="1" ht="14.25" customHeight="1" thickBot="1">
      <c r="A269" s="1061" t="s">
        <v>1405</v>
      </c>
      <c r="B269" s="1055" t="s">
        <v>1301</v>
      </c>
      <c r="C269" s="1055">
        <v>3210</v>
      </c>
      <c r="D269" s="1055">
        <v>3190</v>
      </c>
      <c r="E269" s="1055">
        <v>3310</v>
      </c>
      <c r="F269" s="1073">
        <v>730</v>
      </c>
      <c r="H269" s="1080"/>
    </row>
    <row r="270" spans="1:8" s="1049" customFormat="1" ht="14.25" customHeight="1" thickBot="1">
      <c r="A270" s="1061" t="s">
        <v>1405</v>
      </c>
      <c r="B270" s="1055" t="s">
        <v>1308</v>
      </c>
      <c r="C270" s="1055">
        <v>3240</v>
      </c>
      <c r="D270" s="1055">
        <v>3210</v>
      </c>
      <c r="E270" s="1055">
        <v>3390</v>
      </c>
      <c r="F270" s="1073">
        <v>820</v>
      </c>
      <c r="H270" s="1080"/>
    </row>
    <row r="271" spans="1:8" s="1049" customFormat="1" ht="14.25" customHeight="1" thickBot="1">
      <c r="A271" s="1061" t="s">
        <v>1405</v>
      </c>
      <c r="B271" s="1055" t="s">
        <v>1315</v>
      </c>
      <c r="C271" s="1055">
        <v>3300</v>
      </c>
      <c r="D271" s="1055">
        <v>3270</v>
      </c>
      <c r="E271" s="1055">
        <v>3380</v>
      </c>
      <c r="F271" s="1073">
        <v>750</v>
      </c>
      <c r="H271" s="1080"/>
    </row>
    <row r="272" spans="1:8" s="1049" customFormat="1" ht="14.25" customHeight="1" thickBot="1">
      <c r="A272" s="1061" t="s">
        <v>1405</v>
      </c>
      <c r="B272" s="1055" t="s">
        <v>1322</v>
      </c>
      <c r="C272" s="1083"/>
      <c r="D272" s="1083"/>
      <c r="E272" s="1083"/>
      <c r="F272" s="1073">
        <v>740</v>
      </c>
      <c r="H272" s="1080"/>
    </row>
    <row r="273" spans="1:8" s="1049" customFormat="1" ht="14.25" customHeight="1" thickBot="1">
      <c r="A273" s="1061" t="s">
        <v>1405</v>
      </c>
      <c r="B273" s="1055" t="s">
        <v>1326</v>
      </c>
      <c r="C273" s="1055">
        <v>3130</v>
      </c>
      <c r="D273" s="1055">
        <v>3100</v>
      </c>
      <c r="E273" s="1055">
        <v>3230</v>
      </c>
      <c r="F273" s="1073">
        <v>700</v>
      </c>
      <c r="H273" s="1080"/>
    </row>
    <row r="274" spans="1:8" s="1049" customFormat="1" ht="14.25" customHeight="1" thickBot="1">
      <c r="A274" s="1061" t="s">
        <v>1405</v>
      </c>
      <c r="B274" s="1055" t="s">
        <v>1331</v>
      </c>
      <c r="C274" s="1055">
        <v>3460</v>
      </c>
      <c r="D274" s="1055">
        <v>3430</v>
      </c>
      <c r="E274" s="1055">
        <v>3560</v>
      </c>
      <c r="F274" s="1073">
        <v>690</v>
      </c>
      <c r="H274" s="1080"/>
    </row>
    <row r="275" spans="1:8" s="1049" customFormat="1" ht="14.25" customHeight="1" thickBot="1">
      <c r="A275" s="1061" t="s">
        <v>1405</v>
      </c>
      <c r="B275" s="1055" t="s">
        <v>1336</v>
      </c>
      <c r="C275" s="1055">
        <v>4040</v>
      </c>
      <c r="D275" s="1055">
        <v>4020</v>
      </c>
      <c r="E275" s="1055">
        <v>4160</v>
      </c>
      <c r="F275" s="1073">
        <v>820</v>
      </c>
      <c r="H275" s="1080"/>
    </row>
    <row r="276" spans="1:8" s="1049" customFormat="1" ht="14.25" customHeight="1" thickBot="1">
      <c r="A276" s="1061" t="s">
        <v>1405</v>
      </c>
      <c r="B276" s="1055" t="s">
        <v>1341</v>
      </c>
      <c r="C276" s="1055">
        <v>3270</v>
      </c>
      <c r="D276" s="1055">
        <v>3240</v>
      </c>
      <c r="E276" s="1055">
        <v>3350</v>
      </c>
      <c r="F276" s="1073">
        <v>680</v>
      </c>
      <c r="H276" s="1080"/>
    </row>
    <row r="277" spans="1:8" s="1049" customFormat="1" ht="14.25" customHeight="1" thickBot="1">
      <c r="A277" s="1061" t="s">
        <v>1405</v>
      </c>
      <c r="B277" s="1055" t="s">
        <v>1346</v>
      </c>
      <c r="C277" s="1055">
        <v>2930</v>
      </c>
      <c r="D277" s="1055">
        <v>2900</v>
      </c>
      <c r="E277" s="1055">
        <v>3000</v>
      </c>
      <c r="F277" s="1073">
        <v>640</v>
      </c>
      <c r="H277" s="1080"/>
    </row>
    <row r="278" spans="1:8" s="1049" customFormat="1" ht="14.25" customHeight="1" thickBot="1">
      <c r="A278" s="1061" t="s">
        <v>1405</v>
      </c>
      <c r="B278" s="1055" t="s">
        <v>1351</v>
      </c>
      <c r="C278" s="1055">
        <v>4080</v>
      </c>
      <c r="D278" s="1055">
        <v>4030</v>
      </c>
      <c r="E278" s="1055">
        <v>4140</v>
      </c>
      <c r="F278" s="1073">
        <v>850</v>
      </c>
      <c r="H278" s="1080"/>
    </row>
    <row r="279" spans="1:8" s="1049" customFormat="1" ht="14.25" customHeight="1" thickBot="1">
      <c r="A279" s="1061" t="s">
        <v>1405</v>
      </c>
      <c r="B279" s="1055" t="s">
        <v>1355</v>
      </c>
      <c r="C279" s="1055"/>
      <c r="D279" s="1055"/>
      <c r="E279" s="1055"/>
      <c r="F279" s="1073">
        <v>760</v>
      </c>
      <c r="H279" s="1080"/>
    </row>
    <row r="280" spans="1:8" s="1049" customFormat="1" ht="14.25" customHeight="1" thickBot="1">
      <c r="A280" s="1061" t="s">
        <v>1405</v>
      </c>
      <c r="B280" s="1055" t="s">
        <v>1359</v>
      </c>
      <c r="C280" s="1055"/>
      <c r="D280" s="1055"/>
      <c r="E280" s="1055"/>
      <c r="F280" s="1073">
        <v>760</v>
      </c>
      <c r="H280" s="1080"/>
    </row>
    <row r="281" spans="1:8" s="1049" customFormat="1" ht="14.25" customHeight="1" thickBot="1">
      <c r="A281" s="1061" t="s">
        <v>1405</v>
      </c>
      <c r="B281" s="1055" t="s">
        <v>1363</v>
      </c>
      <c r="C281" s="1055"/>
      <c r="D281" s="1055"/>
      <c r="E281" s="1055"/>
      <c r="F281" s="1073">
        <v>780</v>
      </c>
      <c r="H281" s="1080"/>
    </row>
    <row r="282" spans="1:8" s="1049" customFormat="1" ht="14.25" customHeight="1" thickBot="1">
      <c r="A282" s="1061" t="s">
        <v>1405</v>
      </c>
      <c r="B282" s="1055" t="s">
        <v>1367</v>
      </c>
      <c r="C282" s="1055"/>
      <c r="D282" s="1055"/>
      <c r="E282" s="1055"/>
      <c r="F282" s="1073">
        <v>730</v>
      </c>
      <c r="H282" s="1080"/>
    </row>
    <row r="283" spans="1:8" s="1049" customFormat="1" ht="14.25" customHeight="1" thickBot="1">
      <c r="A283" s="1061" t="s">
        <v>1405</v>
      </c>
      <c r="B283" s="1055" t="s">
        <v>1371</v>
      </c>
      <c r="C283" s="1055"/>
      <c r="D283" s="1055"/>
      <c r="E283" s="1055"/>
      <c r="F283" s="1073">
        <v>770</v>
      </c>
      <c r="H283" s="1080"/>
    </row>
    <row r="284" spans="1:8" s="1049" customFormat="1" ht="14.25" customHeight="1" thickBot="1">
      <c r="A284" s="1061" t="s">
        <v>1405</v>
      </c>
      <c r="B284" s="1055" t="s">
        <v>1374</v>
      </c>
      <c r="C284" s="1055"/>
      <c r="D284" s="1055"/>
      <c r="E284" s="1055"/>
      <c r="F284" s="1073">
        <v>640</v>
      </c>
      <c r="H284" s="1080"/>
    </row>
    <row r="285" spans="1:8" s="1049" customFormat="1" ht="14.25" customHeight="1" thickBot="1">
      <c r="A285" s="1061" t="s">
        <v>1405</v>
      </c>
      <c r="B285" s="1055" t="s">
        <v>1377</v>
      </c>
      <c r="C285" s="1055"/>
      <c r="D285" s="1055"/>
      <c r="E285" s="1055"/>
      <c r="F285" s="1073">
        <v>640</v>
      </c>
      <c r="H285" s="1080"/>
    </row>
    <row r="286" spans="1:8" s="1049" customFormat="1" ht="14.25" customHeight="1" thickBot="1">
      <c r="A286" s="1061" t="s">
        <v>1405</v>
      </c>
      <c r="B286" s="1055" t="s">
        <v>1380</v>
      </c>
      <c r="C286" s="1055"/>
      <c r="D286" s="1055"/>
      <c r="E286" s="1055"/>
      <c r="F286" s="1073">
        <v>850</v>
      </c>
      <c r="H286" s="1080"/>
    </row>
    <row r="287" spans="1:8" s="1049" customFormat="1" ht="14.25" customHeight="1" thickBot="1">
      <c r="A287" s="1061" t="s">
        <v>1405</v>
      </c>
      <c r="B287" s="1055" t="s">
        <v>1383</v>
      </c>
      <c r="C287" s="1055"/>
      <c r="D287" s="1055"/>
      <c r="E287" s="1055"/>
      <c r="F287" s="1073">
        <v>760</v>
      </c>
      <c r="H287" s="1080"/>
    </row>
    <row r="288" spans="1:8" s="1049" customFormat="1" ht="14.25" customHeight="1" thickBot="1">
      <c r="A288" s="1061" t="s">
        <v>1405</v>
      </c>
      <c r="B288" s="1055" t="s">
        <v>1386</v>
      </c>
      <c r="C288" s="1055"/>
      <c r="D288" s="1055"/>
      <c r="E288" s="1055"/>
      <c r="F288" s="1073">
        <v>830</v>
      </c>
      <c r="H288" s="1080"/>
    </row>
    <row r="289" spans="1:8" s="1049" customFormat="1" ht="14.25" customHeight="1" thickBot="1">
      <c r="A289" s="1061" t="s">
        <v>1405</v>
      </c>
      <c r="B289" s="1071" t="s">
        <v>1389</v>
      </c>
      <c r="C289" s="1071"/>
      <c r="D289" s="1071"/>
      <c r="E289" s="1071"/>
      <c r="F289" s="1081">
        <v>680</v>
      </c>
      <c r="H289" s="1080"/>
    </row>
    <row r="290" spans="1:8" s="1049" customFormat="1" ht="14.25" customHeight="1" thickBot="1">
      <c r="A290" s="1061" t="s">
        <v>1409</v>
      </c>
      <c r="B290" s="1062" t="s">
        <v>1410</v>
      </c>
      <c r="C290" s="1062">
        <v>2770</v>
      </c>
      <c r="D290" s="1062">
        <v>2740</v>
      </c>
      <c r="E290" s="1062">
        <v>2720</v>
      </c>
      <c r="F290" s="1084"/>
      <c r="H290" s="1080"/>
    </row>
    <row r="291" spans="1:8" s="1049" customFormat="1" ht="14.25" customHeight="1" thickBot="1">
      <c r="A291" s="1061" t="s">
        <v>1409</v>
      </c>
      <c r="B291" s="1055" t="s">
        <v>1069</v>
      </c>
      <c r="C291" s="1055">
        <v>2670</v>
      </c>
      <c r="D291" s="1055">
        <v>2640</v>
      </c>
      <c r="E291" s="1055">
        <v>2620</v>
      </c>
      <c r="F291" s="1082"/>
      <c r="H291" s="1080"/>
    </row>
    <row r="292" spans="1:8" s="1049" customFormat="1" ht="14.25" customHeight="1" thickBot="1">
      <c r="A292" s="1061" t="s">
        <v>1409</v>
      </c>
      <c r="B292" s="1055" t="s">
        <v>1411</v>
      </c>
      <c r="C292" s="1055">
        <v>2180</v>
      </c>
      <c r="D292" s="1055">
        <v>2140</v>
      </c>
      <c r="E292" s="1055">
        <v>2120</v>
      </c>
      <c r="F292" s="1073">
        <v>490</v>
      </c>
      <c r="H292" s="1080"/>
    </row>
    <row r="293" spans="1:8" s="1049" customFormat="1" ht="14.25" customHeight="1" thickBot="1">
      <c r="A293" s="1061" t="s">
        <v>1409</v>
      </c>
      <c r="B293" s="1055" t="s">
        <v>1412</v>
      </c>
      <c r="C293" s="1055"/>
      <c r="D293" s="1055"/>
      <c r="E293" s="1055"/>
      <c r="F293" s="1073">
        <v>470</v>
      </c>
      <c r="H293" s="1080"/>
    </row>
    <row r="294" spans="1:8" s="1049" customFormat="1" ht="14.25" customHeight="1" thickBot="1">
      <c r="A294" s="1061" t="s">
        <v>1409</v>
      </c>
      <c r="B294" s="1055" t="s">
        <v>1413</v>
      </c>
      <c r="C294" s="1055">
        <v>2730</v>
      </c>
      <c r="D294" s="1055">
        <v>2700</v>
      </c>
      <c r="E294" s="1055">
        <v>2680</v>
      </c>
      <c r="F294" s="1073">
        <v>490</v>
      </c>
      <c r="H294" s="1080"/>
    </row>
    <row r="295" spans="1:8" s="1049" customFormat="1" ht="14.25" customHeight="1" thickBot="1">
      <c r="A295" s="1061" t="s">
        <v>1409</v>
      </c>
      <c r="B295" s="1055" t="s">
        <v>1110</v>
      </c>
      <c r="C295" s="1055">
        <v>2380</v>
      </c>
      <c r="D295" s="1055">
        <v>2350</v>
      </c>
      <c r="E295" s="1055">
        <v>2330</v>
      </c>
      <c r="F295" s="1073">
        <v>530</v>
      </c>
      <c r="H295" s="1080"/>
    </row>
    <row r="296" spans="1:8" s="1049" customFormat="1" ht="14.25" customHeight="1" thickBot="1">
      <c r="A296" s="1061" t="s">
        <v>1409</v>
      </c>
      <c r="B296" s="1055" t="s">
        <v>1121</v>
      </c>
      <c r="C296" s="1055">
        <v>2650</v>
      </c>
      <c r="D296" s="1055">
        <v>2620</v>
      </c>
      <c r="E296" s="1055">
        <v>2590</v>
      </c>
      <c r="F296" s="1073">
        <v>590</v>
      </c>
      <c r="H296" s="1080"/>
    </row>
    <row r="297" spans="1:8" s="1049" customFormat="1" ht="14.25" customHeight="1" thickBot="1">
      <c r="A297" s="1061" t="s">
        <v>1409</v>
      </c>
      <c r="B297" s="1055" t="s">
        <v>1132</v>
      </c>
      <c r="C297" s="1055">
        <v>2700</v>
      </c>
      <c r="D297" s="1055">
        <v>2670</v>
      </c>
      <c r="E297" s="1055">
        <v>2650</v>
      </c>
      <c r="F297" s="1073">
        <v>630</v>
      </c>
      <c r="H297" s="1080"/>
    </row>
    <row r="298" spans="1:8" s="1049" customFormat="1" ht="14.25" customHeight="1" thickBot="1">
      <c r="A298" s="1061" t="s">
        <v>1409</v>
      </c>
      <c r="B298" s="1055" t="s">
        <v>1143</v>
      </c>
      <c r="C298" s="1055">
        <v>2650</v>
      </c>
      <c r="D298" s="1055">
        <v>2620</v>
      </c>
      <c r="E298" s="1055">
        <v>2590</v>
      </c>
      <c r="F298" s="1073">
        <v>640</v>
      </c>
      <c r="H298" s="1080"/>
    </row>
    <row r="299" spans="1:8" s="1049" customFormat="1" ht="14.25" customHeight="1" thickBot="1">
      <c r="A299" s="1061" t="s">
        <v>1409</v>
      </c>
      <c r="B299" s="1055" t="s">
        <v>1155</v>
      </c>
      <c r="C299" s="1055">
        <v>2500</v>
      </c>
      <c r="D299" s="1055">
        <v>2480</v>
      </c>
      <c r="E299" s="1055">
        <v>2460</v>
      </c>
      <c r="F299" s="1082"/>
      <c r="H299" s="1080"/>
    </row>
    <row r="300" spans="1:8" s="1049" customFormat="1" ht="14.25" customHeight="1" thickBot="1">
      <c r="A300" s="1061" t="s">
        <v>1409</v>
      </c>
      <c r="B300" s="1055" t="s">
        <v>1165</v>
      </c>
      <c r="C300" s="1055">
        <v>2760</v>
      </c>
      <c r="D300" s="1055">
        <v>2730</v>
      </c>
      <c r="E300" s="1055">
        <v>2700</v>
      </c>
      <c r="F300" s="1073">
        <v>630</v>
      </c>
      <c r="H300" s="1080"/>
    </row>
    <row r="301" spans="1:8" s="1049" customFormat="1" ht="14.25" customHeight="1" thickBot="1">
      <c r="A301" s="1061" t="s">
        <v>1409</v>
      </c>
      <c r="B301" s="1055" t="s">
        <v>1175</v>
      </c>
      <c r="C301" s="1055">
        <v>2510</v>
      </c>
      <c r="D301" s="1055">
        <v>2480</v>
      </c>
      <c r="E301" s="1055">
        <v>2460</v>
      </c>
      <c r="F301" s="1082"/>
      <c r="H301" s="1080"/>
    </row>
    <row r="302" spans="1:8" s="1049" customFormat="1" ht="14.25" customHeight="1" thickBot="1">
      <c r="A302" s="1061" t="s">
        <v>1409</v>
      </c>
      <c r="B302" s="1055" t="s">
        <v>1185</v>
      </c>
      <c r="C302" s="1055">
        <v>2480</v>
      </c>
      <c r="D302" s="1055">
        <v>2450</v>
      </c>
      <c r="E302" s="1055">
        <v>2420</v>
      </c>
      <c r="F302" s="1073">
        <v>600</v>
      </c>
      <c r="H302" s="1080"/>
    </row>
    <row r="303" spans="1:8" s="1049" customFormat="1" ht="14.25" customHeight="1" thickBot="1">
      <c r="A303" s="1061" t="s">
        <v>1409</v>
      </c>
      <c r="B303" s="1055" t="s">
        <v>1195</v>
      </c>
      <c r="C303" s="1055">
        <v>2270</v>
      </c>
      <c r="D303" s="1055">
        <v>2240</v>
      </c>
      <c r="E303" s="1055">
        <v>2210</v>
      </c>
      <c r="F303" s="1073">
        <v>540</v>
      </c>
      <c r="H303" s="1080"/>
    </row>
    <row r="304" spans="1:8" s="1049" customFormat="1" ht="14.25" customHeight="1" thickBot="1">
      <c r="A304" s="1061" t="s">
        <v>1409</v>
      </c>
      <c r="B304" s="1055" t="s">
        <v>1205</v>
      </c>
      <c r="C304" s="1055">
        <v>2310</v>
      </c>
      <c r="D304" s="1055">
        <v>2290</v>
      </c>
      <c r="E304" s="1055">
        <v>2270</v>
      </c>
      <c r="F304" s="1082"/>
      <c r="H304" s="1080"/>
    </row>
    <row r="305" spans="1:8" s="1049" customFormat="1" ht="14.25" customHeight="1" thickBot="1">
      <c r="A305" s="1061" t="s">
        <v>1409</v>
      </c>
      <c r="B305" s="1055" t="s">
        <v>1215</v>
      </c>
      <c r="C305" s="1055">
        <v>2490</v>
      </c>
      <c r="D305" s="1055">
        <v>2470</v>
      </c>
      <c r="E305" s="1055">
        <v>2440</v>
      </c>
      <c r="F305" s="1073">
        <v>560</v>
      </c>
      <c r="H305" s="1080"/>
    </row>
    <row r="306" spans="1:8" s="1049" customFormat="1" ht="14.25" customHeight="1" thickBot="1">
      <c r="A306" s="1061" t="s">
        <v>1409</v>
      </c>
      <c r="B306" s="1055" t="s">
        <v>1225</v>
      </c>
      <c r="C306" s="1055">
        <v>2420</v>
      </c>
      <c r="D306" s="1055">
        <v>2400</v>
      </c>
      <c r="E306" s="1055">
        <v>2380</v>
      </c>
      <c r="F306" s="1082"/>
      <c r="H306" s="1080"/>
    </row>
    <row r="307" spans="1:8" s="1049" customFormat="1" ht="14.25" customHeight="1" thickBot="1">
      <c r="A307" s="1061" t="s">
        <v>1409</v>
      </c>
      <c r="B307" s="1055" t="s">
        <v>1235</v>
      </c>
      <c r="C307" s="1055">
        <v>2770</v>
      </c>
      <c r="D307" s="1055">
        <v>2740</v>
      </c>
      <c r="E307" s="1055">
        <v>2710</v>
      </c>
      <c r="F307" s="1073">
        <v>650</v>
      </c>
      <c r="H307" s="1080"/>
    </row>
    <row r="308" spans="1:8" s="1049" customFormat="1" ht="14.25" customHeight="1" thickBot="1">
      <c r="A308" s="1061" t="s">
        <v>1409</v>
      </c>
      <c r="B308" s="1055" t="s">
        <v>1245</v>
      </c>
      <c r="C308" s="1055">
        <v>2610</v>
      </c>
      <c r="D308" s="1055">
        <v>2580</v>
      </c>
      <c r="E308" s="1055">
        <v>2550</v>
      </c>
      <c r="F308" s="1073">
        <v>580</v>
      </c>
      <c r="H308" s="1080"/>
    </row>
    <row r="309" spans="1:8" s="1049" customFormat="1" ht="14.25" customHeight="1" thickBot="1">
      <c r="A309" s="1061" t="s">
        <v>1409</v>
      </c>
      <c r="B309" s="1055" t="s">
        <v>1255</v>
      </c>
      <c r="C309" s="1055">
        <v>2690</v>
      </c>
      <c r="D309" s="1055">
        <v>2670</v>
      </c>
      <c r="E309" s="1055">
        <v>2650</v>
      </c>
      <c r="F309" s="1082"/>
      <c r="H309" s="1080"/>
    </row>
    <row r="310" spans="1:8" s="1049" customFormat="1" ht="14.25" customHeight="1" thickBot="1">
      <c r="A310" s="1061" t="s">
        <v>1409</v>
      </c>
      <c r="B310" s="1055" t="s">
        <v>1264</v>
      </c>
      <c r="C310" s="1055">
        <v>2360</v>
      </c>
      <c r="D310" s="1055">
        <v>2330</v>
      </c>
      <c r="E310" s="1055">
        <v>2310</v>
      </c>
      <c r="F310" s="1073">
        <v>560</v>
      </c>
      <c r="H310" s="1080"/>
    </row>
    <row r="311" spans="1:8" s="1049" customFormat="1" ht="14.25" customHeight="1" thickBot="1">
      <c r="A311" s="1061" t="s">
        <v>1409</v>
      </c>
      <c r="B311" s="1055" t="s">
        <v>1273</v>
      </c>
      <c r="C311" s="1055">
        <v>1970</v>
      </c>
      <c r="D311" s="1055">
        <v>1950</v>
      </c>
      <c r="E311" s="1055">
        <v>1920</v>
      </c>
      <c r="F311" s="1073">
        <v>470</v>
      </c>
      <c r="H311" s="1080"/>
    </row>
    <row r="312" spans="1:8" s="1049" customFormat="1" ht="14.25" customHeight="1" thickBot="1">
      <c r="A312" s="1061" t="s">
        <v>1409</v>
      </c>
      <c r="B312" s="1055" t="s">
        <v>1281</v>
      </c>
      <c r="C312" s="1055">
        <v>2230</v>
      </c>
      <c r="D312" s="1055">
        <v>2200</v>
      </c>
      <c r="E312" s="1055">
        <v>2170</v>
      </c>
      <c r="F312" s="1073">
        <v>460</v>
      </c>
      <c r="H312" s="1080"/>
    </row>
    <row r="313" spans="1:8" s="1049" customFormat="1" ht="14.25" customHeight="1" thickBot="1">
      <c r="A313" s="1061" t="s">
        <v>1409</v>
      </c>
      <c r="B313" s="1055" t="s">
        <v>1288</v>
      </c>
      <c r="C313" s="1055">
        <v>2770</v>
      </c>
      <c r="D313" s="1055">
        <v>2740</v>
      </c>
      <c r="E313" s="1055">
        <v>2710</v>
      </c>
      <c r="F313" s="1073">
        <v>610</v>
      </c>
      <c r="H313" s="1080"/>
    </row>
    <row r="314" spans="1:8" s="1049" customFormat="1" ht="14.25" customHeight="1" thickBot="1">
      <c r="A314" s="1061" t="s">
        <v>1409</v>
      </c>
      <c r="B314" s="1055" t="s">
        <v>1295</v>
      </c>
      <c r="C314" s="1055"/>
      <c r="D314" s="1055"/>
      <c r="E314" s="1055"/>
      <c r="F314" s="1073">
        <v>490</v>
      </c>
      <c r="H314" s="1080"/>
    </row>
    <row r="315" spans="1:8" s="1049" customFormat="1" ht="14.25" customHeight="1" thickBot="1">
      <c r="A315" s="1061" t="s">
        <v>1409</v>
      </c>
      <c r="B315" s="1055" t="s">
        <v>1302</v>
      </c>
      <c r="C315" s="1055"/>
      <c r="D315" s="1055"/>
      <c r="E315" s="1055"/>
      <c r="F315" s="1073">
        <v>520</v>
      </c>
      <c r="H315" s="1080"/>
    </row>
    <row r="316" spans="1:8" s="1049" customFormat="1" ht="14.25" customHeight="1" thickBot="1">
      <c r="A316" s="1061" t="s">
        <v>1409</v>
      </c>
      <c r="B316" s="1071" t="s">
        <v>1309</v>
      </c>
      <c r="C316" s="1071"/>
      <c r="D316" s="1071"/>
      <c r="E316" s="1071"/>
      <c r="F316" s="1081">
        <v>460</v>
      </c>
      <c r="H316" s="1080"/>
    </row>
    <row r="317" spans="1:8" s="1049" customFormat="1" ht="14.25" customHeight="1" thickBot="1">
      <c r="A317" s="1061" t="s">
        <v>907</v>
      </c>
      <c r="B317" s="1062" t="s">
        <v>1414</v>
      </c>
      <c r="C317" s="1062">
        <v>1200</v>
      </c>
      <c r="D317" s="1062">
        <v>1180</v>
      </c>
      <c r="E317" s="1062">
        <v>1160</v>
      </c>
      <c r="F317" s="1063">
        <v>370</v>
      </c>
      <c r="H317" s="1046"/>
    </row>
    <row r="318" spans="1:8" s="1049" customFormat="1" ht="14.25" customHeight="1" thickBot="1">
      <c r="A318" s="1061" t="s">
        <v>907</v>
      </c>
      <c r="B318" s="1055" t="s">
        <v>1415</v>
      </c>
      <c r="C318" s="1055">
        <v>1090</v>
      </c>
      <c r="D318" s="1055">
        <v>1060</v>
      </c>
      <c r="E318" s="1055">
        <v>1040</v>
      </c>
      <c r="F318" s="1082"/>
      <c r="H318" s="1046"/>
    </row>
    <row r="319" spans="1:8" s="1049" customFormat="1" ht="14.25" customHeight="1" thickBot="1">
      <c r="A319" s="1061" t="s">
        <v>907</v>
      </c>
      <c r="B319" s="1055" t="s">
        <v>1416</v>
      </c>
      <c r="C319" s="1055">
        <v>1520</v>
      </c>
      <c r="D319" s="1055">
        <v>1470</v>
      </c>
      <c r="E319" s="1055">
        <v>1440</v>
      </c>
      <c r="F319" s="1073">
        <v>370</v>
      </c>
      <c r="H319" s="1046"/>
    </row>
    <row r="320" spans="1:8" s="1049" customFormat="1" ht="14.25" customHeight="1" thickBot="1">
      <c r="A320" s="1061" t="s">
        <v>907</v>
      </c>
      <c r="B320" s="1055" t="s">
        <v>1097</v>
      </c>
      <c r="C320" s="1055">
        <v>1360</v>
      </c>
      <c r="D320" s="1055">
        <v>1300</v>
      </c>
      <c r="E320" s="1055">
        <v>1270</v>
      </c>
      <c r="F320" s="1082"/>
      <c r="H320" s="1046"/>
    </row>
    <row r="321" spans="1:8" s="1049" customFormat="1" ht="14.25" customHeight="1" thickBot="1">
      <c r="A321" s="1061" t="s">
        <v>907</v>
      </c>
      <c r="B321" s="1055" t="s">
        <v>1111</v>
      </c>
      <c r="C321" s="1055">
        <v>1750</v>
      </c>
      <c r="D321" s="1055">
        <v>1690</v>
      </c>
      <c r="E321" s="1055">
        <v>1660</v>
      </c>
      <c r="F321" s="1082"/>
      <c r="H321" s="1046"/>
    </row>
    <row r="322" spans="1:8" s="1049" customFormat="1" ht="14.25" customHeight="1" thickBot="1">
      <c r="A322" s="1061" t="s">
        <v>907</v>
      </c>
      <c r="B322" s="1055" t="s">
        <v>1122</v>
      </c>
      <c r="C322" s="1055">
        <v>1650</v>
      </c>
      <c r="D322" s="1055">
        <v>1610</v>
      </c>
      <c r="E322" s="1055">
        <v>1580</v>
      </c>
      <c r="F322" s="1073">
        <v>500</v>
      </c>
      <c r="H322" s="1046"/>
    </row>
    <row r="323" spans="1:8" s="1049" customFormat="1" ht="14.25" customHeight="1" thickBot="1">
      <c r="A323" s="1061" t="s">
        <v>907</v>
      </c>
      <c r="B323" s="1055" t="s">
        <v>1133</v>
      </c>
      <c r="C323" s="1055">
        <v>1780</v>
      </c>
      <c r="D323" s="1055">
        <v>1740</v>
      </c>
      <c r="E323" s="1055">
        <v>1720</v>
      </c>
      <c r="F323" s="1082"/>
      <c r="H323" s="1046"/>
    </row>
    <row r="324" spans="1:8" s="1049" customFormat="1" ht="14.25" customHeight="1" thickBot="1">
      <c r="A324" s="1061" t="s">
        <v>907</v>
      </c>
      <c r="B324" s="1055" t="s">
        <v>1144</v>
      </c>
      <c r="C324" s="1055">
        <v>1650</v>
      </c>
      <c r="D324" s="1055">
        <v>1610</v>
      </c>
      <c r="E324" s="1055">
        <v>1580</v>
      </c>
      <c r="F324" s="1082"/>
      <c r="H324" s="1046"/>
    </row>
    <row r="325" spans="1:8" s="1049" customFormat="1" ht="14.25" customHeight="1" thickBot="1">
      <c r="A325" s="1061" t="s">
        <v>907</v>
      </c>
      <c r="B325" s="1055" t="s">
        <v>1156</v>
      </c>
      <c r="C325" s="1055">
        <v>1330</v>
      </c>
      <c r="D325" s="1055">
        <v>1270</v>
      </c>
      <c r="E325" s="1055">
        <v>1240</v>
      </c>
      <c r="F325" s="1073">
        <v>430</v>
      </c>
      <c r="H325" s="1046"/>
    </row>
    <row r="326" spans="1:8" s="1049" customFormat="1" ht="14.25" customHeight="1" thickBot="1">
      <c r="A326" s="1061" t="s">
        <v>907</v>
      </c>
      <c r="B326" s="1055" t="s">
        <v>1166</v>
      </c>
      <c r="C326" s="1055">
        <v>1470</v>
      </c>
      <c r="D326" s="1055">
        <v>1430</v>
      </c>
      <c r="E326" s="1055">
        <v>1400</v>
      </c>
      <c r="F326" s="1082"/>
      <c r="H326" s="1046"/>
    </row>
    <row r="327" spans="1:8" s="1049" customFormat="1" ht="14.25" customHeight="1" thickBot="1">
      <c r="A327" s="1061" t="s">
        <v>907</v>
      </c>
      <c r="B327" s="1055" t="s">
        <v>1176</v>
      </c>
      <c r="C327" s="1055">
        <v>1420</v>
      </c>
      <c r="D327" s="1055">
        <v>1380</v>
      </c>
      <c r="E327" s="1055">
        <v>1360</v>
      </c>
      <c r="F327" s="1073">
        <v>420</v>
      </c>
      <c r="H327" s="1046"/>
    </row>
    <row r="328" spans="1:8" s="1049" customFormat="1" ht="14.25" customHeight="1" thickBot="1">
      <c r="A328" s="1061" t="s">
        <v>907</v>
      </c>
      <c r="B328" s="1055" t="s">
        <v>1186</v>
      </c>
      <c r="C328" s="1055">
        <v>1400</v>
      </c>
      <c r="D328" s="1055">
        <v>1360</v>
      </c>
      <c r="E328" s="1055">
        <v>1330</v>
      </c>
      <c r="F328" s="1073">
        <v>460</v>
      </c>
      <c r="H328" s="1046"/>
    </row>
    <row r="329" spans="1:8" s="1049" customFormat="1" ht="14.25" customHeight="1" thickBot="1">
      <c r="A329" s="1061" t="s">
        <v>907</v>
      </c>
      <c r="B329" s="1055" t="s">
        <v>1196</v>
      </c>
      <c r="C329" s="1055">
        <v>1640</v>
      </c>
      <c r="D329" s="1055">
        <v>1610</v>
      </c>
      <c r="E329" s="1055">
        <v>1580</v>
      </c>
      <c r="F329" s="1073">
        <v>410</v>
      </c>
      <c r="H329" s="1046"/>
    </row>
    <row r="330" spans="1:8" s="1049" customFormat="1" ht="14.25" customHeight="1" thickBot="1">
      <c r="A330" s="1061" t="s">
        <v>907</v>
      </c>
      <c r="B330" s="1055" t="s">
        <v>1206</v>
      </c>
      <c r="C330" s="1055">
        <v>1260</v>
      </c>
      <c r="D330" s="1055">
        <v>1220</v>
      </c>
      <c r="E330" s="1055">
        <v>1200</v>
      </c>
      <c r="F330" s="1082"/>
      <c r="H330" s="1046"/>
    </row>
    <row r="331" spans="1:8" s="1049" customFormat="1" ht="14.25" customHeight="1" thickBot="1">
      <c r="A331" s="1061" t="s">
        <v>907</v>
      </c>
      <c r="B331" s="1055" t="s">
        <v>1216</v>
      </c>
      <c r="C331" s="1055">
        <v>1620</v>
      </c>
      <c r="D331" s="1055">
        <v>1560</v>
      </c>
      <c r="E331" s="1055">
        <v>1530</v>
      </c>
      <c r="F331" s="1073">
        <v>490</v>
      </c>
      <c r="H331" s="1046"/>
    </row>
    <row r="332" spans="1:8" s="1049" customFormat="1" ht="14.25" customHeight="1" thickBot="1">
      <c r="A332" s="1061" t="s">
        <v>907</v>
      </c>
      <c r="B332" s="1055" t="s">
        <v>1226</v>
      </c>
      <c r="C332" s="1055">
        <v>1520</v>
      </c>
      <c r="D332" s="1055">
        <v>1470</v>
      </c>
      <c r="E332" s="1055">
        <v>1440</v>
      </c>
      <c r="F332" s="1073">
        <v>440</v>
      </c>
      <c r="H332" s="1046"/>
    </row>
    <row r="333" spans="1:8" s="1049" customFormat="1" ht="14.25" customHeight="1" thickBot="1">
      <c r="A333" s="1061" t="s">
        <v>907</v>
      </c>
      <c r="B333" s="1055" t="s">
        <v>1236</v>
      </c>
      <c r="C333" s="1055">
        <v>1370</v>
      </c>
      <c r="D333" s="1055">
        <v>1320</v>
      </c>
      <c r="E333" s="1055">
        <v>1300</v>
      </c>
      <c r="F333" s="1073">
        <v>460</v>
      </c>
      <c r="H333" s="1046"/>
    </row>
    <row r="334" spans="1:8" s="1049" customFormat="1" ht="14.25" customHeight="1" thickBot="1">
      <c r="A334" s="1061" t="s">
        <v>907</v>
      </c>
      <c r="B334" s="1055" t="s">
        <v>1246</v>
      </c>
      <c r="C334" s="1055">
        <v>1410</v>
      </c>
      <c r="D334" s="1055">
        <v>1340</v>
      </c>
      <c r="E334" s="1055">
        <v>1310</v>
      </c>
      <c r="F334" s="1073">
        <v>410</v>
      </c>
      <c r="H334" s="1046"/>
    </row>
    <row r="335" spans="1:8" s="1049" customFormat="1" ht="14.25" customHeight="1" thickBot="1">
      <c r="A335" s="1061" t="s">
        <v>907</v>
      </c>
      <c r="B335" s="1055" t="s">
        <v>1256</v>
      </c>
      <c r="C335" s="1055">
        <v>1260</v>
      </c>
      <c r="D335" s="1055">
        <v>1220</v>
      </c>
      <c r="E335" s="1055">
        <v>1200</v>
      </c>
      <c r="F335" s="1082"/>
      <c r="H335" s="1046"/>
    </row>
    <row r="336" spans="1:8" s="1049" customFormat="1" ht="14.25" customHeight="1" thickBot="1">
      <c r="A336" s="1061" t="s">
        <v>907</v>
      </c>
      <c r="B336" s="1055" t="s">
        <v>1265</v>
      </c>
      <c r="C336" s="1055">
        <v>1160</v>
      </c>
      <c r="D336" s="1055">
        <v>1140</v>
      </c>
      <c r="E336" s="1055">
        <v>1120</v>
      </c>
      <c r="F336" s="1073">
        <v>430</v>
      </c>
      <c r="H336" s="1046"/>
    </row>
    <row r="337" spans="1:8" s="1049" customFormat="1" ht="14.25" customHeight="1" thickBot="1">
      <c r="A337" s="1061" t="s">
        <v>907</v>
      </c>
      <c r="B337" s="1071" t="s">
        <v>1274</v>
      </c>
      <c r="C337" s="1071"/>
      <c r="D337" s="1071"/>
      <c r="E337" s="1071"/>
      <c r="F337" s="1081">
        <v>380</v>
      </c>
      <c r="H337" s="1046"/>
    </row>
    <row r="338" spans="1:8" s="1049" customFormat="1" ht="14.25" customHeight="1" thickBot="1">
      <c r="A338" s="1061" t="s">
        <v>908</v>
      </c>
      <c r="B338" s="1062" t="s">
        <v>1417</v>
      </c>
      <c r="C338" s="1062">
        <v>880</v>
      </c>
      <c r="D338" s="1062">
        <v>850</v>
      </c>
      <c r="E338" s="1062">
        <v>830</v>
      </c>
      <c r="F338" s="1084"/>
      <c r="H338" s="1046"/>
    </row>
    <row r="339" spans="1:8" s="1049" customFormat="1" ht="14.25" customHeight="1" thickBot="1">
      <c r="A339" s="1061" t="s">
        <v>908</v>
      </c>
      <c r="B339" s="1055" t="s">
        <v>1418</v>
      </c>
      <c r="C339" s="1055">
        <v>830</v>
      </c>
      <c r="D339" s="1055">
        <v>800</v>
      </c>
      <c r="E339" s="1055">
        <v>780</v>
      </c>
      <c r="F339" s="1082"/>
      <c r="H339" s="1046"/>
    </row>
    <row r="340" spans="1:8" s="1049" customFormat="1" ht="14.25" customHeight="1" thickBot="1">
      <c r="A340" s="1061" t="s">
        <v>908</v>
      </c>
      <c r="B340" s="1055" t="s">
        <v>1419</v>
      </c>
      <c r="C340" s="1055">
        <v>980</v>
      </c>
      <c r="D340" s="1055">
        <v>950</v>
      </c>
      <c r="E340" s="1055">
        <v>920</v>
      </c>
      <c r="F340" s="1082"/>
      <c r="H340" s="1046"/>
    </row>
    <row r="341" spans="1:8" s="1049" customFormat="1" ht="14.25" customHeight="1" thickBot="1">
      <c r="A341" s="1061" t="s">
        <v>908</v>
      </c>
      <c r="B341" s="1055" t="s">
        <v>1420</v>
      </c>
      <c r="C341" s="1055">
        <v>760</v>
      </c>
      <c r="D341" s="1055">
        <v>720</v>
      </c>
      <c r="E341" s="1055">
        <v>690</v>
      </c>
      <c r="F341" s="1073">
        <v>350</v>
      </c>
      <c r="H341" s="1046"/>
    </row>
    <row r="342" spans="1:8" s="1049" customFormat="1" ht="14.25" customHeight="1" thickBot="1">
      <c r="A342" s="1061" t="s">
        <v>908</v>
      </c>
      <c r="B342" s="1055" t="s">
        <v>1112</v>
      </c>
      <c r="C342" s="1055">
        <v>910</v>
      </c>
      <c r="D342" s="1055">
        <v>870</v>
      </c>
      <c r="E342" s="1055">
        <v>850</v>
      </c>
      <c r="F342" s="1073">
        <v>370</v>
      </c>
      <c r="H342" s="1046"/>
    </row>
    <row r="343" spans="1:8" s="1049" customFormat="1" ht="14.25" customHeight="1" thickBot="1">
      <c r="A343" s="1061" t="s">
        <v>908</v>
      </c>
      <c r="B343" s="1055" t="s">
        <v>1123</v>
      </c>
      <c r="C343" s="1055">
        <v>800</v>
      </c>
      <c r="D343" s="1055">
        <v>760</v>
      </c>
      <c r="E343" s="1055">
        <v>730</v>
      </c>
      <c r="F343" s="1073">
        <v>340</v>
      </c>
      <c r="H343" s="1046"/>
    </row>
    <row r="344" spans="1:8" s="1049" customFormat="1" ht="14.25" customHeight="1" thickBot="1">
      <c r="A344" s="1061" t="s">
        <v>908</v>
      </c>
      <c r="B344" s="1071" t="s">
        <v>1134</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872</v>
      </c>
      <c r="B1" s="994"/>
      <c r="C1" s="994"/>
      <c r="D1" s="994"/>
      <c r="E1" s="994"/>
      <c r="F1" s="994"/>
      <c r="G1" s="994"/>
      <c r="H1" s="994"/>
      <c r="I1" s="994"/>
      <c r="J1" s="994"/>
      <c r="K1" s="994"/>
      <c r="L1" s="994"/>
      <c r="M1" s="994"/>
      <c r="N1" s="994"/>
    </row>
    <row r="2" spans="1:14">
      <c r="A2" s="996" t="s">
        <v>873</v>
      </c>
      <c r="B2" s="997" t="s">
        <v>874</v>
      </c>
      <c r="C2" s="997" t="s">
        <v>875</v>
      </c>
      <c r="D2" s="997" t="s">
        <v>876</v>
      </c>
      <c r="E2" s="997" t="s">
        <v>877</v>
      </c>
      <c r="F2" s="997" t="s">
        <v>878</v>
      </c>
      <c r="G2" s="997" t="s">
        <v>879</v>
      </c>
      <c r="H2" s="998" t="s">
        <v>880</v>
      </c>
      <c r="I2" s="998" t="s">
        <v>881</v>
      </c>
      <c r="J2" s="999" t="s">
        <v>882</v>
      </c>
      <c r="K2" s="999" t="s">
        <v>883</v>
      </c>
      <c r="L2" s="999" t="s">
        <v>884</v>
      </c>
      <c r="M2" s="999" t="s">
        <v>885</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894</v>
      </c>
      <c r="B103" s="994"/>
      <c r="C103" s="994"/>
      <c r="D103" s="994"/>
      <c r="E103" s="994"/>
      <c r="F103" s="994"/>
      <c r="G103" s="994"/>
      <c r="H103" s="994"/>
      <c r="I103" s="994"/>
      <c r="J103" s="994"/>
      <c r="K103" s="994"/>
      <c r="L103" s="994"/>
      <c r="M103" s="994"/>
      <c r="N103" s="994"/>
    </row>
    <row r="104" spans="1:14" ht="14.25">
      <c r="A104" s="996" t="s">
        <v>873</v>
      </c>
      <c r="B104" s="997" t="s">
        <v>874</v>
      </c>
      <c r="C104" s="997" t="s">
        <v>875</v>
      </c>
      <c r="D104" s="997" t="s">
        <v>876</v>
      </c>
      <c r="E104" s="997" t="s">
        <v>877</v>
      </c>
      <c r="F104" s="997" t="s">
        <v>878</v>
      </c>
      <c r="G104" s="997" t="s">
        <v>879</v>
      </c>
      <c r="H104" s="998" t="s">
        <v>880</v>
      </c>
      <c r="I104" s="998" t="s">
        <v>881</v>
      </c>
      <c r="J104" s="999" t="s">
        <v>882</v>
      </c>
      <c r="K104" s="999" t="s">
        <v>883</v>
      </c>
      <c r="L104" s="999" t="s">
        <v>884</v>
      </c>
      <c r="M104" s="999" t="s">
        <v>885</v>
      </c>
      <c r="N104" s="994">
        <f>SUMPRODUCT((A105:A204=ROUNDDOWN(基准地价!G3,1))*(B104:M104=基准地价!G2)*(B105:M204))</f>
        <v>1.0345</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895</v>
      </c>
      <c r="B205" s="994"/>
      <c r="C205" s="994"/>
      <c r="D205" s="994"/>
      <c r="E205" s="994"/>
      <c r="F205" s="994"/>
      <c r="G205" s="994"/>
      <c r="H205" s="994"/>
      <c r="I205" s="994"/>
      <c r="J205" s="994"/>
      <c r="K205" s="994"/>
      <c r="L205" s="994"/>
      <c r="M205" s="994"/>
    </row>
    <row r="206" spans="1:13">
      <c r="A206" s="996" t="s">
        <v>896</v>
      </c>
      <c r="B206" s="997" t="s">
        <v>897</v>
      </c>
      <c r="C206" s="997" t="s">
        <v>898</v>
      </c>
      <c r="D206" s="997" t="s">
        <v>899</v>
      </c>
      <c r="E206" s="997" t="s">
        <v>900</v>
      </c>
      <c r="F206" s="997" t="s">
        <v>901</v>
      </c>
      <c r="G206" s="997" t="s">
        <v>902</v>
      </c>
      <c r="H206" s="998" t="s">
        <v>903</v>
      </c>
      <c r="I206" s="998" t="s">
        <v>904</v>
      </c>
      <c r="J206" s="999" t="s">
        <v>905</v>
      </c>
      <c r="K206" s="999" t="s">
        <v>906</v>
      </c>
      <c r="L206" s="999" t="s">
        <v>907</v>
      </c>
      <c r="M206" s="999" t="s">
        <v>908</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909</v>
      </c>
      <c r="B307" s="994"/>
      <c r="C307" s="994"/>
      <c r="D307" s="994"/>
      <c r="E307" s="994"/>
      <c r="F307" s="994"/>
      <c r="G307" s="994"/>
      <c r="H307" s="994"/>
      <c r="I307" s="994"/>
      <c r="J307" s="994"/>
      <c r="K307" s="994"/>
      <c r="L307" s="994"/>
      <c r="M307" s="994"/>
    </row>
    <row r="308" spans="1:13">
      <c r="A308" s="996" t="s">
        <v>896</v>
      </c>
      <c r="B308" s="997" t="s">
        <v>897</v>
      </c>
      <c r="C308" s="997" t="s">
        <v>898</v>
      </c>
      <c r="D308" s="997" t="s">
        <v>899</v>
      </c>
      <c r="E308" s="997" t="s">
        <v>900</v>
      </c>
      <c r="F308" s="997" t="s">
        <v>901</v>
      </c>
      <c r="G308" s="997" t="s">
        <v>902</v>
      </c>
      <c r="H308" s="998" t="s">
        <v>903</v>
      </c>
      <c r="I308" s="998" t="s">
        <v>904</v>
      </c>
      <c r="J308" s="999" t="s">
        <v>905</v>
      </c>
      <c r="K308" s="999" t="s">
        <v>906</v>
      </c>
      <c r="L308" s="999" t="s">
        <v>907</v>
      </c>
      <c r="M308" s="999" t="s">
        <v>908</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17" t="s">
        <v>2066</v>
      </c>
      <c r="B1" s="3717"/>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Q29" sqref="Q29"/>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3725" t="s">
        <v>2554</v>
      </c>
      <c r="C1" s="3725"/>
      <c r="D1" s="3725"/>
      <c r="E1" s="3725"/>
      <c r="F1" s="3725"/>
      <c r="G1" s="3724" t="s">
        <v>2555</v>
      </c>
      <c r="H1" s="3724"/>
      <c r="I1" s="3724"/>
      <c r="J1" s="3724"/>
      <c r="K1" s="3724"/>
      <c r="L1" s="3724"/>
      <c r="N1" s="3724" t="s">
        <v>2556</v>
      </c>
      <c r="O1" s="3724"/>
      <c r="P1" s="3724"/>
      <c r="Q1" s="3724"/>
      <c r="S1" s="3724" t="s">
        <v>2557</v>
      </c>
      <c r="T1" s="3724"/>
      <c r="U1" s="3724"/>
      <c r="V1" s="3724"/>
      <c r="X1" s="3723" t="s">
        <v>2617</v>
      </c>
      <c r="Y1" s="3724"/>
      <c r="Z1" s="3724"/>
      <c r="AA1" s="3724"/>
      <c r="AB1" s="3724"/>
      <c r="AD1" s="3723" t="s">
        <v>2621</v>
      </c>
      <c r="AE1" s="3724"/>
      <c r="AF1" s="3724"/>
      <c r="AG1" s="3724"/>
      <c r="AH1" s="3724"/>
    </row>
    <row r="2" spans="1:34" s="2860" customFormat="1" ht="14.25" thickBot="1">
      <c r="B2" s="2861" t="s">
        <v>2558</v>
      </c>
      <c r="C2" s="2861" t="s">
        <v>2619</v>
      </c>
      <c r="D2" s="2862" t="s">
        <v>1634</v>
      </c>
      <c r="E2" s="2862" t="s">
        <v>1937</v>
      </c>
      <c r="F2" s="2861" t="s">
        <v>2620</v>
      </c>
      <c r="G2" s="2863"/>
      <c r="I2" s="2861" t="s">
        <v>2900</v>
      </c>
      <c r="J2" s="2862" t="s">
        <v>2902</v>
      </c>
      <c r="K2" s="2862" t="s">
        <v>2903</v>
      </c>
      <c r="L2" s="2861" t="s">
        <v>2904</v>
      </c>
      <c r="N2" s="2861" t="s">
        <v>2558</v>
      </c>
      <c r="O2" s="2862" t="s">
        <v>2901</v>
      </c>
      <c r="P2" s="2862" t="s">
        <v>1937</v>
      </c>
      <c r="Q2" s="2861" t="s">
        <v>2620</v>
      </c>
      <c r="S2" s="2861" t="s">
        <v>2558</v>
      </c>
      <c r="T2" s="2862" t="s">
        <v>2901</v>
      </c>
      <c r="U2" s="2862" t="s">
        <v>1937</v>
      </c>
      <c r="V2" s="2861" t="s">
        <v>2620</v>
      </c>
      <c r="X2" s="2861" t="s">
        <v>2558</v>
      </c>
      <c r="Y2" s="2861" t="s">
        <v>2619</v>
      </c>
      <c r="Z2" s="2862" t="s">
        <v>1634</v>
      </c>
      <c r="AA2" s="2862" t="s">
        <v>1937</v>
      </c>
      <c r="AB2" s="2861" t="s">
        <v>2620</v>
      </c>
      <c r="AD2" s="2861" t="s">
        <v>2558</v>
      </c>
      <c r="AE2" s="2861" t="s">
        <v>2619</v>
      </c>
      <c r="AF2" s="2862" t="s">
        <v>1634</v>
      </c>
      <c r="AG2" s="2862" t="s">
        <v>1937</v>
      </c>
      <c r="AH2" s="2861" t="s">
        <v>2620</v>
      </c>
    </row>
    <row r="3" spans="1:34" s="2870" customFormat="1" ht="14.25">
      <c r="A3" s="2864" t="s">
        <v>2911</v>
      </c>
      <c r="B3" s="2865"/>
      <c r="C3" s="2865"/>
      <c r="D3" s="2866"/>
      <c r="E3" s="2866"/>
      <c r="F3" s="2865"/>
      <c r="G3" s="2867"/>
      <c r="H3" s="2868"/>
      <c r="I3" s="2869">
        <f>ROUND(AVERAGE($I4:$I35),2)</f>
        <v>1.7</v>
      </c>
      <c r="J3" s="2869">
        <f>ROUND(AVERAGE($J4:$J35),2)</f>
        <v>1.07</v>
      </c>
      <c r="K3" s="2869">
        <f>ROUND(AVERAGE($K4:$K35),2)</f>
        <v>1.87</v>
      </c>
      <c r="L3" s="2869">
        <f>ROUND(AVERAGE($L4:$L35),2)</f>
        <v>1.24</v>
      </c>
      <c r="N3" s="2867"/>
      <c r="S3" s="2867"/>
      <c r="W3" s="2871"/>
      <c r="X3" s="2872">
        <f>ROUND(SUMPRODUCT(PRODUCT(1+N3:N$34)),4)</f>
        <v>1.6338999999999999</v>
      </c>
      <c r="Y3" s="2872">
        <f>ROUND(SUMPRODUCT(PRODUCT(1+O3:O$34)),4)</f>
        <v>1.3588</v>
      </c>
      <c r="Z3" s="2872">
        <f t="shared" ref="Z3:Z32" si="0">Y3</f>
        <v>1.3588</v>
      </c>
      <c r="AA3" s="2872">
        <f>ROUND(SUMPRODUCT(PRODUCT(1+P3:P$34)),4)</f>
        <v>1.7150000000000001</v>
      </c>
      <c r="AB3" s="2872">
        <f>ROUND(SUMPRODUCT(PRODUCT(1+Q3:Q$34)),4)</f>
        <v>1.446</v>
      </c>
      <c r="AD3" s="2873">
        <f>ROUND(AVERAGE(I3:I$35)/100,4)</f>
        <v>1.7000000000000001E-2</v>
      </c>
      <c r="AE3" s="2873">
        <f>ROUND(AVERAGE(J3:J$35)/100,4)</f>
        <v>1.0699999999999999E-2</v>
      </c>
      <c r="AF3" s="2873">
        <f t="shared" ref="AF3:AF33" si="1">AE3</f>
        <v>1.0699999999999999E-2</v>
      </c>
      <c r="AG3" s="2873">
        <f>ROUND(AVERAGE(K3:K$35)/100,4)</f>
        <v>1.8700000000000001E-2</v>
      </c>
      <c r="AH3" s="2873">
        <f>ROUND(AVERAGE(L3:L$35)/100,4)</f>
        <v>1.24E-2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2982</v>
      </c>
      <c r="B5" s="2884">
        <f t="shared" ref="B5" si="2">B6*(1+N5)</f>
        <v>502.50893609650217</v>
      </c>
      <c r="C5" s="2884">
        <f t="shared" ref="C5" si="3">C6*(1+O5)</f>
        <v>350.27569313914915</v>
      </c>
      <c r="D5" s="2884">
        <f t="shared" ref="D5" si="4">C5</f>
        <v>350.27569313914915</v>
      </c>
      <c r="E5" s="2884">
        <f t="shared" ref="E5" si="5">E6*(1+P5)</f>
        <v>725.27220201394141</v>
      </c>
      <c r="F5" s="2884">
        <f t="shared" ref="F5" si="6">F6*(1+Q5)</f>
        <v>332.45017846012797</v>
      </c>
      <c r="G5" s="2877">
        <v>2021</v>
      </c>
      <c r="H5" s="2885">
        <v>3</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2912</v>
      </c>
      <c r="X5" s="2891">
        <f>ROUND(IF(项目基本情况!B3="出让",SUMPRODUCT(PRODUCT(1+N5:N$35)),SUMPRODUCT(PRODUCT(1+N5:N$34))),4)</f>
        <v>1.6338999999999999</v>
      </c>
      <c r="Y5" s="2891">
        <f>ROUND(IF(项目基本情况!B3="出让",SUMPRODUCT(PRODUCT(1+O5:O$35)),SUMPRODUCT(PRODUCT(1+O5:O$34))),4)</f>
        <v>1.3588</v>
      </c>
      <c r="Z5" s="2891">
        <f t="shared" ref="Z5" si="11">Y5</f>
        <v>1.3588</v>
      </c>
      <c r="AA5" s="2891">
        <f>ROUND(IF(项目基本情况!B3="出让",SUMPRODUCT(PRODUCT(1+P5:P$35)),SUMPRODUCT(PRODUCT(1+P5:P$34))),4)</f>
        <v>1.7150000000000001</v>
      </c>
      <c r="AB5" s="2891">
        <f>ROUND(IF(项目基本情况!B3="出让",SUMPRODUCT(PRODUCT(1+Q5:Q$35)),SUMPRODUCT(PRODUCT(1+Q5:Q$34))),4)</f>
        <v>1.446</v>
      </c>
      <c r="AD5" s="2892">
        <f>ROUND(AVERAGE(I5:I$35)/100,4)</f>
        <v>1.7000000000000001E-2</v>
      </c>
      <c r="AE5" s="2892">
        <f>ROUND(AVERAGE(J5:J$35)/100,4)</f>
        <v>1.0699999999999999E-2</v>
      </c>
      <c r="AF5" s="2892">
        <f t="shared" ref="AF5" si="12">AE5</f>
        <v>1.0699999999999999E-2</v>
      </c>
      <c r="AG5" s="2892">
        <f>ROUND(AVERAGE(K5:K$35)/100,4)</f>
        <v>1.8700000000000001E-2</v>
      </c>
      <c r="AH5" s="2892">
        <f>ROUND(AVERAGE(L5:L$35)/100,4)</f>
        <v>1.24E-2</v>
      </c>
    </row>
    <row r="6" spans="1:34" s="2900" customFormat="1">
      <c r="A6" s="2893" t="s">
        <v>2981</v>
      </c>
      <c r="B6" s="2894">
        <f t="shared" ref="B6" si="13">B7*(1+N6)</f>
        <v>502.50893609650217</v>
      </c>
      <c r="C6" s="2894">
        <f t="shared" ref="C6" si="14">C7*(1+O6)</f>
        <v>350.27569313914915</v>
      </c>
      <c r="D6" s="2894">
        <f t="shared" ref="D6" si="15">C6</f>
        <v>350.27569313914915</v>
      </c>
      <c r="E6" s="2894">
        <f t="shared" ref="E6" si="16">E7*(1+P6)</f>
        <v>725.27220201394141</v>
      </c>
      <c r="F6" s="2894">
        <f t="shared" ref="F6" si="17">F7*(1+Q6)</f>
        <v>332.45017846012797</v>
      </c>
      <c r="G6" s="2877">
        <v>2021</v>
      </c>
      <c r="H6" s="2895">
        <v>2</v>
      </c>
      <c r="I6" s="2857">
        <v>0.92</v>
      </c>
      <c r="J6" s="2857">
        <v>0.72</v>
      </c>
      <c r="K6" s="2857">
        <v>0.95</v>
      </c>
      <c r="L6" s="2858">
        <v>1.01</v>
      </c>
      <c r="M6" s="2881"/>
      <c r="N6" s="2896">
        <f t="shared" ref="N6" si="18">I6/100</f>
        <v>9.1999999999999998E-3</v>
      </c>
      <c r="O6" s="2882">
        <f t="shared" ref="O6" si="19">J6/100</f>
        <v>7.1999999999999998E-3</v>
      </c>
      <c r="P6" s="2882">
        <f t="shared" ref="P6" si="20">K6/100</f>
        <v>9.4999999999999998E-3</v>
      </c>
      <c r="Q6" s="2882">
        <f t="shared" ref="Q6" si="21">L6/100</f>
        <v>1.01E-2</v>
      </c>
      <c r="R6" s="2897"/>
      <c r="S6" s="2898"/>
      <c r="T6" s="2899"/>
      <c r="U6" s="2899"/>
      <c r="V6" s="2899"/>
      <c r="W6" s="2881"/>
      <c r="X6" s="2881">
        <f>ROUND(IF(项目基本情况!B4="出让",SUMPRODUCT(PRODUCT(1+N6:N$35)),SUMPRODUCT(PRODUCT(1+N6:N$34))),4)</f>
        <v>1.6338999999999999</v>
      </c>
      <c r="Y6" s="2881">
        <f>ROUND(IF(项目基本情况!B4="出让",SUMPRODUCT(PRODUCT(1+O6:O$35)),SUMPRODUCT(PRODUCT(1+O6:O$34))),4)</f>
        <v>1.3588</v>
      </c>
      <c r="Z6" s="2881">
        <f t="shared" ref="Z6" si="22">Y6</f>
        <v>1.3588</v>
      </c>
      <c r="AA6" s="2881">
        <f>ROUND(IF(项目基本情况!B4="出让",SUMPRODUCT(PRODUCT(1+P6:P$35)),SUMPRODUCT(PRODUCT(1+P6:P$34))),4)</f>
        <v>1.7150000000000001</v>
      </c>
      <c r="AB6" s="2881">
        <f>ROUND(IF(项目基本情况!B4="出让",SUMPRODUCT(PRODUCT(1+Q6:Q$35)),SUMPRODUCT(PRODUCT(1+Q6:Q$34))),4)</f>
        <v>1.446</v>
      </c>
      <c r="AC6" s="2881"/>
      <c r="AD6" s="2882">
        <f>ROUND(AVERAGE(I6:I$35)/100,4)</f>
        <v>1.7600000000000001E-2</v>
      </c>
      <c r="AE6" s="2882">
        <f>ROUND(AVERAGE(J6:J$35)/100,4)</f>
        <v>1.11E-2</v>
      </c>
      <c r="AF6" s="2882">
        <f t="shared" ref="AF6" si="23">AE6</f>
        <v>1.11E-2</v>
      </c>
      <c r="AG6" s="2882">
        <f>ROUND(AVERAGE(K6:K$35)/100,4)</f>
        <v>1.9400000000000001E-2</v>
      </c>
      <c r="AH6" s="2882">
        <f>ROUND(AVERAGE(L6:L$35)/100,4)</f>
        <v>1.2800000000000001E-2</v>
      </c>
    </row>
    <row r="7" spans="1:34" s="2900" customFormat="1">
      <c r="A7" s="2893" t="s">
        <v>2980</v>
      </c>
      <c r="B7" s="2894">
        <f t="shared" ref="B7" si="24">B8*(1+N7)</f>
        <v>497.92799851020823</v>
      </c>
      <c r="C7" s="2894">
        <f t="shared" ref="C7" si="25">C8*(1+O7)</f>
        <v>347.77173663537445</v>
      </c>
      <c r="D7" s="2894">
        <f t="shared" ref="D7" si="26">C7</f>
        <v>347.77173663537445</v>
      </c>
      <c r="E7" s="2894">
        <f t="shared" ref="E7" si="27">E8*(1+P7)</f>
        <v>718.44695593258189</v>
      </c>
      <c r="F7" s="2894">
        <f t="shared" ref="F7" si="28">F8*(1+Q7)</f>
        <v>329.12600580153247</v>
      </c>
      <c r="G7" s="2877">
        <v>2021</v>
      </c>
      <c r="H7" s="2895">
        <v>1</v>
      </c>
      <c r="I7" s="2857">
        <v>0.97</v>
      </c>
      <c r="J7" s="2857">
        <v>0.16</v>
      </c>
      <c r="K7" s="2857">
        <v>1.1100000000000001</v>
      </c>
      <c r="L7" s="2858">
        <v>0.36</v>
      </c>
      <c r="M7" s="2881"/>
      <c r="N7" s="2896">
        <f t="shared" ref="N7" si="29">I7/100</f>
        <v>9.7000000000000003E-3</v>
      </c>
      <c r="O7" s="2882">
        <f t="shared" ref="O7" si="30">J7/100</f>
        <v>1.6000000000000001E-3</v>
      </c>
      <c r="P7" s="2882">
        <f t="shared" ref="P7" si="31">K7/100</f>
        <v>1.11E-2</v>
      </c>
      <c r="Q7" s="2882">
        <f t="shared" ref="Q7" si="32">L7/100</f>
        <v>3.5999999999999999E-3</v>
      </c>
      <c r="R7" s="2897"/>
      <c r="S7" s="2898">
        <f>B7/B8-1</f>
        <v>9.7000000000000419E-3</v>
      </c>
      <c r="T7" s="2899">
        <f>C7/C8-1</f>
        <v>1.6000000000000458E-3</v>
      </c>
      <c r="U7" s="2899">
        <f>E7/E8-1</f>
        <v>1.110000000000011E-2</v>
      </c>
      <c r="V7" s="2899">
        <f>F7/F8-1</f>
        <v>3.6000000000000476E-3</v>
      </c>
      <c r="W7" s="2881"/>
      <c r="X7" s="2881">
        <f>ROUND(IF(项目基本情况!B5="出让",SUMPRODUCT(PRODUCT(1+N7:N$35)),SUMPRODUCT(PRODUCT(1+N7:N$34))),4)</f>
        <v>1.619</v>
      </c>
      <c r="Y7" s="2881">
        <f>ROUND(IF(项目基本情况!B5="出让",SUMPRODUCT(PRODUCT(1+O7:O$35)),SUMPRODUCT(PRODUCT(1+O7:O$34))),4)</f>
        <v>1.3491</v>
      </c>
      <c r="Z7" s="2881">
        <f t="shared" ref="Z7" si="33">Y7</f>
        <v>1.3491</v>
      </c>
      <c r="AA7" s="2881">
        <f>ROUND(IF(项目基本情况!B5="出让",SUMPRODUCT(PRODUCT(1+P7:P$35)),SUMPRODUCT(PRODUCT(1+P7:P$34))),4)</f>
        <v>1.6988000000000001</v>
      </c>
      <c r="AB7" s="2881">
        <f>ROUND(IF(项目基本情况!B5="出让",SUMPRODUCT(PRODUCT(1+Q7:Q$35)),SUMPRODUCT(PRODUCT(1+Q7:Q$34))),4)</f>
        <v>1.4315</v>
      </c>
      <c r="AC7" s="2881"/>
      <c r="AD7" s="2882">
        <f>ROUND(AVERAGE(I7:I$35)/100,4)</f>
        <v>1.7899999999999999E-2</v>
      </c>
      <c r="AE7" s="2882">
        <f>ROUND(AVERAGE(J7:J$35)/100,4)</f>
        <v>1.12E-2</v>
      </c>
      <c r="AF7" s="2882">
        <f t="shared" ref="AF7" si="34">AE7</f>
        <v>1.12E-2</v>
      </c>
      <c r="AG7" s="2882">
        <f>ROUND(AVERAGE(K7:K$35)/100,4)</f>
        <v>1.9699999999999999E-2</v>
      </c>
      <c r="AH7" s="2882">
        <f>ROUND(AVERAGE(L7:L$35)/100,4)</f>
        <v>1.29E-2</v>
      </c>
    </row>
    <row r="8" spans="1:34" s="2900" customFormat="1">
      <c r="A8" s="2893" t="s">
        <v>2978</v>
      </c>
      <c r="B8" s="2894">
        <f t="shared" ref="B8" si="35">B9*(1+N8)</f>
        <v>493.14449689037161</v>
      </c>
      <c r="C8" s="2894">
        <f t="shared" ref="C8" si="36">C9*(1+O8)</f>
        <v>347.21619073020611</v>
      </c>
      <c r="D8" s="2894">
        <f t="shared" ref="D8" si="37">C8</f>
        <v>347.21619073020611</v>
      </c>
      <c r="E8" s="2894">
        <f t="shared" ref="E8" si="38">E9*(1+P8)</f>
        <v>710.55974278763904</v>
      </c>
      <c r="F8" s="2894">
        <f t="shared" ref="F8" si="39">F9*(1+Q8)</f>
        <v>327.94540235306141</v>
      </c>
      <c r="G8" s="2877">
        <v>2020</v>
      </c>
      <c r="H8" s="2895">
        <v>4</v>
      </c>
      <c r="I8" s="2857">
        <v>2.0699999999999998</v>
      </c>
      <c r="J8" s="2857">
        <v>0.37</v>
      </c>
      <c r="K8" s="2857">
        <v>2.35</v>
      </c>
      <c r="L8" s="2858">
        <v>2.69</v>
      </c>
      <c r="M8" s="2881"/>
      <c r="N8" s="2896">
        <f t="shared" ref="N8" si="40">I8/100</f>
        <v>2.07E-2</v>
      </c>
      <c r="O8" s="2882">
        <f t="shared" ref="O8" si="41">J8/100</f>
        <v>3.7000000000000002E-3</v>
      </c>
      <c r="P8" s="2882">
        <f t="shared" ref="P8" si="42">K8/100</f>
        <v>2.35E-2</v>
      </c>
      <c r="Q8" s="2882">
        <f t="shared" ref="Q8" si="43">L8/100</f>
        <v>2.69E-2</v>
      </c>
      <c r="R8" s="2897"/>
      <c r="S8" s="2898"/>
      <c r="T8" s="2899"/>
      <c r="U8" s="2899"/>
      <c r="V8" s="2899"/>
      <c r="W8" s="2881"/>
      <c r="X8" s="2881">
        <f>ROUND(IF(项目基本情况!B6="出让",SUMPRODUCT(PRODUCT(1+N8:N$35)),SUMPRODUCT(PRODUCT(1+N8:N$34))),4)</f>
        <v>1.6034999999999999</v>
      </c>
      <c r="Y8" s="2881">
        <f>ROUND(IF(项目基本情况!B6="出让",SUMPRODUCT(PRODUCT(1+O8:O$35)),SUMPRODUCT(PRODUCT(1+O8:O$34))),4)</f>
        <v>1.3469</v>
      </c>
      <c r="Z8" s="2881">
        <f t="shared" ref="Z8" si="44">Y8</f>
        <v>1.3469</v>
      </c>
      <c r="AA8" s="2881">
        <f>ROUND(IF(项目基本情况!B6="出让",SUMPRODUCT(PRODUCT(1+P8:P$35)),SUMPRODUCT(PRODUCT(1+P8:P$34))),4)</f>
        <v>1.6801999999999999</v>
      </c>
      <c r="AB8" s="2881">
        <f>ROUND(IF(项目基本情况!B6="出让",SUMPRODUCT(PRODUCT(1+Q8:Q$35)),SUMPRODUCT(PRODUCT(1+Q8:Q$34))),4)</f>
        <v>1.4263999999999999</v>
      </c>
      <c r="AC8" s="2881"/>
      <c r="AD8" s="2882">
        <f>ROUND(AVERAGE(I8:I$35)/100,4)</f>
        <v>1.8200000000000001E-2</v>
      </c>
      <c r="AE8" s="2882">
        <f>ROUND(AVERAGE(J8:J$35)/100,4)</f>
        <v>1.1599999999999999E-2</v>
      </c>
      <c r="AF8" s="2882">
        <f t="shared" ref="AF8" si="45">AE8</f>
        <v>1.1599999999999999E-2</v>
      </c>
      <c r="AG8" s="2882">
        <f>ROUND(AVERAGE(K8:K$35)/100,4)</f>
        <v>0.02</v>
      </c>
      <c r="AH8" s="2882">
        <f>ROUND(AVERAGE(L8:L$35)/100,4)</f>
        <v>1.3299999999999999E-2</v>
      </c>
    </row>
    <row r="9" spans="1:34" s="2900" customFormat="1">
      <c r="A9" s="2893" t="s">
        <v>2977</v>
      </c>
      <c r="B9" s="2894">
        <f t="shared" ref="B9" si="46">B10*(1+N9)</f>
        <v>483.1434279321756</v>
      </c>
      <c r="C9" s="2894">
        <f t="shared" ref="C9" si="47">C10*(1+O9)</f>
        <v>345.93622669144776</v>
      </c>
      <c r="D9" s="2894">
        <f t="shared" ref="D9" si="48">C9</f>
        <v>345.93622669144776</v>
      </c>
      <c r="E9" s="2894">
        <f t="shared" ref="E9" si="49">E10*(1+P9)</f>
        <v>694.24498562544113</v>
      </c>
      <c r="F9" s="2894">
        <f t="shared" ref="F9" si="50">F10*(1+Q9)</f>
        <v>319.35475932716082</v>
      </c>
      <c r="G9" s="2877">
        <v>2020</v>
      </c>
      <c r="H9" s="2895">
        <v>3</v>
      </c>
      <c r="I9" s="2857">
        <v>0.36</v>
      </c>
      <c r="J9" s="2857">
        <v>-0.39</v>
      </c>
      <c r="K9" s="2857">
        <v>0.49</v>
      </c>
      <c r="L9" s="2858">
        <v>7.0000000000000007E-2</v>
      </c>
      <c r="M9" s="2881"/>
      <c r="N9" s="2896">
        <f t="shared" ref="N9" si="51">I9/100</f>
        <v>3.5999999999999999E-3</v>
      </c>
      <c r="O9" s="2882">
        <f t="shared" ref="O9" si="52">J9/100</f>
        <v>-3.9000000000000003E-3</v>
      </c>
      <c r="P9" s="2882">
        <f t="shared" ref="P9" si="53">K9/100</f>
        <v>4.8999999999999998E-3</v>
      </c>
      <c r="Q9" s="2882">
        <f t="shared" ref="Q9" si="54">L9/100</f>
        <v>7.000000000000001E-4</v>
      </c>
      <c r="R9" s="2897"/>
      <c r="S9" s="2898"/>
      <c r="T9" s="2899"/>
      <c r="U9" s="2899"/>
      <c r="V9" s="2899"/>
      <c r="W9" s="2881"/>
      <c r="X9" s="2881">
        <f>ROUND(IF(项目基本情况!B7="出让",SUMPRODUCT(PRODUCT(1+N9:N$35)),SUMPRODUCT(PRODUCT(1+N9:N$34))),4)</f>
        <v>1.571</v>
      </c>
      <c r="Y9" s="2881">
        <f>ROUND(IF(项目基本情况!B7="出让",SUMPRODUCT(PRODUCT(1+O9:O$35)),SUMPRODUCT(PRODUCT(1+O9:O$34))),4)</f>
        <v>1.3420000000000001</v>
      </c>
      <c r="Z9" s="2881">
        <f t="shared" ref="Z9" si="55">Y9</f>
        <v>1.3420000000000001</v>
      </c>
      <c r="AA9" s="2881">
        <f>ROUND(IF(项目基本情况!B7="出让",SUMPRODUCT(PRODUCT(1+P9:P$35)),SUMPRODUCT(PRODUCT(1+P9:P$34))),4)</f>
        <v>1.6415999999999999</v>
      </c>
      <c r="AB9" s="2881">
        <f>ROUND(IF(项目基本情况!B7="出让",SUMPRODUCT(PRODUCT(1+Q9:Q$35)),SUMPRODUCT(PRODUCT(1+Q9:Q$34))),4)</f>
        <v>1.389</v>
      </c>
      <c r="AC9" s="2881"/>
      <c r="AD9" s="2882">
        <f>ROUND(AVERAGE(I9:I$35)/100,4)</f>
        <v>1.8100000000000002E-2</v>
      </c>
      <c r="AE9" s="2882">
        <f>ROUND(AVERAGE(J9:J$35)/100,4)</f>
        <v>1.1900000000000001E-2</v>
      </c>
      <c r="AF9" s="2882">
        <f t="shared" ref="AF9" si="56">AE9</f>
        <v>1.1900000000000001E-2</v>
      </c>
      <c r="AG9" s="2882">
        <f>ROUND(AVERAGE(K9:K$35)/100,4)</f>
        <v>1.9900000000000001E-2</v>
      </c>
      <c r="AH9" s="2882">
        <f>ROUND(AVERAGE(L9:L$35)/100,4)</f>
        <v>1.2800000000000001E-2</v>
      </c>
    </row>
    <row r="10" spans="1:34" s="2900" customFormat="1">
      <c r="A10" s="2893" t="s">
        <v>2941</v>
      </c>
      <c r="B10" s="2894">
        <f t="shared" ref="B10" si="57">B11*(1+N10)</f>
        <v>481.4103506697644</v>
      </c>
      <c r="C10" s="2894">
        <f t="shared" ref="C10" si="58">C11*(1+O10)</f>
        <v>347.29066026648707</v>
      </c>
      <c r="D10" s="2894">
        <f t="shared" ref="D10" si="59">C10</f>
        <v>347.29066026648707</v>
      </c>
      <c r="E10" s="2894">
        <f t="shared" ref="E10" si="60">E11*(1+P10)</f>
        <v>690.85977273901995</v>
      </c>
      <c r="F10" s="2894">
        <f t="shared" ref="F10" si="61">F11*(1+Q10)</f>
        <v>319.13136737000184</v>
      </c>
      <c r="G10" s="2877">
        <v>2020</v>
      </c>
      <c r="H10" s="2895">
        <v>2</v>
      </c>
      <c r="I10" s="2857">
        <v>0.31</v>
      </c>
      <c r="J10" s="2857">
        <v>-0.78</v>
      </c>
      <c r="K10" s="2857">
        <v>0.5</v>
      </c>
      <c r="L10" s="2858">
        <v>0.47</v>
      </c>
      <c r="M10" s="2881"/>
      <c r="N10" s="2896">
        <f t="shared" ref="N10" si="62">I10/100</f>
        <v>3.0999999999999999E-3</v>
      </c>
      <c r="O10" s="2882">
        <f t="shared" ref="O10" si="63">J10/100</f>
        <v>-7.8000000000000005E-3</v>
      </c>
      <c r="P10" s="2882">
        <f t="shared" ref="P10" si="64">K10/100</f>
        <v>5.0000000000000001E-3</v>
      </c>
      <c r="Q10" s="2882">
        <f t="shared" ref="Q10" si="65">L10/100</f>
        <v>4.6999999999999993E-3</v>
      </c>
      <c r="R10" s="2897"/>
      <c r="S10" s="2898"/>
      <c r="T10" s="2899"/>
      <c r="U10" s="2899"/>
      <c r="V10" s="2899"/>
      <c r="W10" s="2881"/>
      <c r="X10" s="2881">
        <f>ROUND(IF(项目基本情况!B8="出让",SUMPRODUCT(PRODUCT(1+N10:N$35)),SUMPRODUCT(PRODUCT(1+N10:N$34))),4)</f>
        <v>1.5652999999999999</v>
      </c>
      <c r="Y10" s="2881">
        <f>ROUND(IF(项目基本情况!B8="出让",SUMPRODUCT(PRODUCT(1+O10:O$35)),SUMPRODUCT(PRODUCT(1+O10:O$34))),4)</f>
        <v>1.3472</v>
      </c>
      <c r="Z10" s="2881">
        <f t="shared" ref="Z10" si="66">Y10</f>
        <v>1.3472</v>
      </c>
      <c r="AA10" s="2881">
        <f>ROUND(IF(项目基本情况!B8="出让",SUMPRODUCT(PRODUCT(1+P10:P$35)),SUMPRODUCT(PRODUCT(1+P10:P$34))),4)</f>
        <v>1.6335999999999999</v>
      </c>
      <c r="AB10" s="2881">
        <f>ROUND(IF(项目基本情况!B8="出让",SUMPRODUCT(PRODUCT(1+Q10:Q$35)),SUMPRODUCT(PRODUCT(1+Q10:Q$34))),4)</f>
        <v>1.3880999999999999</v>
      </c>
      <c r="AC10" s="2881"/>
      <c r="AD10" s="2882">
        <f>ROUND(AVERAGE(I10:I$35)/100,4)</f>
        <v>1.8599999999999998E-2</v>
      </c>
      <c r="AE10" s="2882">
        <f>ROUND(AVERAGE(J10:J$35)/100,4)</f>
        <v>1.2500000000000001E-2</v>
      </c>
      <c r="AF10" s="2882">
        <f t="shared" ref="AF10" si="67">AE10</f>
        <v>1.2500000000000001E-2</v>
      </c>
      <c r="AG10" s="2882">
        <f>ROUND(AVERAGE(K10:K$35)/100,4)</f>
        <v>2.0400000000000001E-2</v>
      </c>
      <c r="AH10" s="2882">
        <f>ROUND(AVERAGE(L10:L$35)/100,4)</f>
        <v>1.32E-2</v>
      </c>
    </row>
    <row r="11" spans="1:34" s="2900" customFormat="1">
      <c r="A11" s="2893" t="s">
        <v>2939</v>
      </c>
      <c r="B11" s="2894">
        <f t="shared" ref="B11" si="68">B12*(1+N11)</f>
        <v>479.92259063878413</v>
      </c>
      <c r="C11" s="2894">
        <f t="shared" ref="C11" si="69">C12*(1+O11)</f>
        <v>350.02082268341775</v>
      </c>
      <c r="D11" s="2894">
        <f t="shared" ref="D11" si="70">C11</f>
        <v>350.02082268341775</v>
      </c>
      <c r="E11" s="2894">
        <f t="shared" ref="E11" si="71">E12*(1+P11)</f>
        <v>687.42265944181099</v>
      </c>
      <c r="F11" s="2894">
        <f t="shared" ref="F11" si="72">F12*(1+Q11)</f>
        <v>317.63846657708956</v>
      </c>
      <c r="G11" s="2877">
        <v>2020</v>
      </c>
      <c r="H11" s="2895">
        <v>1</v>
      </c>
      <c r="I11" s="2857">
        <v>0.12</v>
      </c>
      <c r="J11" s="2857">
        <v>-0.4</v>
      </c>
      <c r="K11" s="2857">
        <v>0.21</v>
      </c>
      <c r="L11" s="2858">
        <v>0.27</v>
      </c>
      <c r="M11" s="2881"/>
      <c r="N11" s="2896">
        <f t="shared" ref="N11" si="73">I11/100</f>
        <v>1.1999999999999999E-3</v>
      </c>
      <c r="O11" s="2882">
        <f t="shared" ref="O11" si="74">J11/100</f>
        <v>-4.0000000000000001E-3</v>
      </c>
      <c r="P11" s="2882">
        <f t="shared" ref="P11" si="75">K11/100</f>
        <v>2.0999999999999999E-3</v>
      </c>
      <c r="Q11" s="2882">
        <f t="shared" ref="Q11" si="76">L11/100</f>
        <v>2.7000000000000001E-3</v>
      </c>
      <c r="R11" s="2897"/>
      <c r="S11" s="2898">
        <f>B11/B12-1</f>
        <v>1.2000000000000899E-3</v>
      </c>
      <c r="T11" s="2899">
        <f>C11/C12-1</f>
        <v>-4.0000000000000036E-3</v>
      </c>
      <c r="U11" s="2899">
        <f>E11/E12-1</f>
        <v>2.0999999999999908E-3</v>
      </c>
      <c r="V11" s="2899">
        <f>F11/F12-1</f>
        <v>2.6999999999999247E-3</v>
      </c>
      <c r="W11" s="2881"/>
      <c r="X11" s="2881">
        <f>ROUND(IF(项目基本情况!B8="出让",SUMPRODUCT(PRODUCT(1+N11:N$35)),SUMPRODUCT(PRODUCT(1+N11:N$34))),4)</f>
        <v>1.5605</v>
      </c>
      <c r="Y11" s="2881">
        <f>ROUND(IF(项目基本情况!B8="出让",SUMPRODUCT(PRODUCT(1+O11:O$35)),SUMPRODUCT(PRODUCT(1+O11:O$34))),4)</f>
        <v>1.3577999999999999</v>
      </c>
      <c r="Z11" s="2881">
        <f t="shared" ref="Z11" si="77">Y11</f>
        <v>1.3577999999999999</v>
      </c>
      <c r="AA11" s="2881">
        <f>ROUND(IF(项目基本情况!B8="出让",SUMPRODUCT(PRODUCT(1+P11:P$35)),SUMPRODUCT(PRODUCT(1+P11:P$34))),4)</f>
        <v>1.6254999999999999</v>
      </c>
      <c r="AB11" s="2881">
        <f>ROUND(IF(项目基本情况!B8="出让",SUMPRODUCT(PRODUCT(1+Q11:Q$35)),SUMPRODUCT(PRODUCT(1+Q11:Q$34))),4)</f>
        <v>1.3815999999999999</v>
      </c>
      <c r="AC11" s="2881"/>
      <c r="AD11" s="2882">
        <f>ROUND(AVERAGE(I11:I$35)/100,4)</f>
        <v>1.9199999999999998E-2</v>
      </c>
      <c r="AE11" s="2882">
        <f>ROUND(AVERAGE(J11:J$35)/100,4)</f>
        <v>1.3299999999999999E-2</v>
      </c>
      <c r="AF11" s="2882">
        <f t="shared" ref="AF11" si="78">AE11</f>
        <v>1.3299999999999999E-2</v>
      </c>
      <c r="AG11" s="2882">
        <f>ROUND(AVERAGE(K11:K$35)/100,4)</f>
        <v>2.1100000000000001E-2</v>
      </c>
      <c r="AH11" s="2882">
        <f>ROUND(AVERAGE(L11:L$35)/100,4)</f>
        <v>1.3599999999999999E-2</v>
      </c>
    </row>
    <row r="12" spans="1:34" s="2900" customFormat="1">
      <c r="A12" s="2893" t="s">
        <v>2936</v>
      </c>
      <c r="B12" s="2894">
        <f t="shared" ref="B12" si="79">B13*(1+N12)</f>
        <v>479.34737379023579</v>
      </c>
      <c r="C12" s="2894">
        <f t="shared" ref="C12" si="80">C13*(1+O12)</f>
        <v>351.4265287986122</v>
      </c>
      <c r="D12" s="2894">
        <f t="shared" ref="D12" si="81">C12</f>
        <v>351.4265287986122</v>
      </c>
      <c r="E12" s="2894">
        <f t="shared" ref="E12" si="82">E13*(1+P12)</f>
        <v>685.98209703803116</v>
      </c>
      <c r="F12" s="2894">
        <f t="shared" ref="F12" si="83">F13*(1+Q12)</f>
        <v>316.78315206651001</v>
      </c>
      <c r="G12" s="2877">
        <v>2019</v>
      </c>
      <c r="H12" s="2895">
        <v>4</v>
      </c>
      <c r="I12" s="2895">
        <v>0.45</v>
      </c>
      <c r="J12" s="2895">
        <v>-0.12</v>
      </c>
      <c r="K12" s="2895">
        <v>0.54</v>
      </c>
      <c r="L12" s="2901">
        <v>0.48</v>
      </c>
      <c r="M12" s="2881"/>
      <c r="N12" s="2896">
        <f t="shared" ref="N12" si="84">I12/100</f>
        <v>4.5000000000000005E-3</v>
      </c>
      <c r="O12" s="2882">
        <f t="shared" ref="O12" si="85">J12/100</f>
        <v>-1.1999999999999999E-3</v>
      </c>
      <c r="P12" s="2882">
        <f t="shared" ref="P12" si="86">K12/100</f>
        <v>5.4000000000000003E-3</v>
      </c>
      <c r="Q12" s="2882">
        <f t="shared" ref="Q12" si="87">L12/100</f>
        <v>4.7999999999999996E-3</v>
      </c>
      <c r="R12" s="2897"/>
      <c r="S12" s="2898"/>
      <c r="T12" s="2899"/>
      <c r="U12" s="2899"/>
      <c r="V12" s="2899"/>
      <c r="W12" s="2881"/>
      <c r="X12" s="2881">
        <f>ROUND(IF(项目基本情况!B8="出让",SUMPRODUCT(PRODUCT(1+N12:N$35)),SUMPRODUCT(PRODUCT(1+N12:N$34))),4)</f>
        <v>1.5586</v>
      </c>
      <c r="Y12" s="2881">
        <f>ROUND(IF(项目基本情况!B8="出让",SUMPRODUCT(PRODUCT(1+O12:O$35)),SUMPRODUCT(PRODUCT(1+O12:O$34))),4)</f>
        <v>1.3633</v>
      </c>
      <c r="Z12" s="2881">
        <f t="shared" ref="Z12" si="88">Y12</f>
        <v>1.3633</v>
      </c>
      <c r="AA12" s="2881">
        <f>ROUND(IF(项目基本情况!B8="出让",SUMPRODUCT(PRODUCT(1+P12:P$35)),SUMPRODUCT(PRODUCT(1+P12:P$34))),4)</f>
        <v>1.6221000000000001</v>
      </c>
      <c r="AB12" s="2881">
        <f>ROUND(IF(项目基本情况!B8="出让",SUMPRODUCT(PRODUCT(1+Q12:Q$35)),SUMPRODUCT(PRODUCT(1+Q12:Q$34))),4)</f>
        <v>1.3777999999999999</v>
      </c>
      <c r="AC12" s="2881"/>
      <c r="AD12" s="2882">
        <f>ROUND(AVERAGE(I12:I$35)/100,4)</f>
        <v>0.02</v>
      </c>
      <c r="AE12" s="2882">
        <f>ROUND(AVERAGE(J12:J$35)/100,4)</f>
        <v>1.4E-2</v>
      </c>
      <c r="AF12" s="2882">
        <f t="shared" ref="AF12" si="89">AE12</f>
        <v>1.4E-2</v>
      </c>
      <c r="AG12" s="2882">
        <f>ROUND(AVERAGE(K12:K$35)/100,4)</f>
        <v>2.1899999999999999E-2</v>
      </c>
      <c r="AH12" s="2882">
        <f>ROUND(AVERAGE(L12:L$35)/100,4)</f>
        <v>1.4E-2</v>
      </c>
    </row>
    <row r="13" spans="1:34" s="2900" customFormat="1" ht="13.5" thickBot="1">
      <c r="A13" s="2893" t="s">
        <v>2935</v>
      </c>
      <c r="B13" s="2894">
        <f t="shared" ref="B13" si="90">B14*(1+N13)</f>
        <v>477.19997390765138</v>
      </c>
      <c r="C13" s="2894">
        <f t="shared" ref="C13" si="91">C14*(1+O13)</f>
        <v>351.84874729536665</v>
      </c>
      <c r="D13" s="2894">
        <f t="shared" ref="D13" si="92">C13</f>
        <v>351.84874729536665</v>
      </c>
      <c r="E13" s="2894">
        <f t="shared" ref="E13" si="93">E14*(1+P13)</f>
        <v>682.29768951465201</v>
      </c>
      <c r="F13" s="2894">
        <f t="shared" ref="F13" si="94">F14*(1+Q13)</f>
        <v>315.26985675409043</v>
      </c>
      <c r="G13" s="2877">
        <v>2019</v>
      </c>
      <c r="H13" s="2895">
        <v>3</v>
      </c>
      <c r="I13" s="2895">
        <v>0.61</v>
      </c>
      <c r="J13" s="2895">
        <v>0.67</v>
      </c>
      <c r="K13" s="2895">
        <v>0.6</v>
      </c>
      <c r="L13" s="2901">
        <v>1.03</v>
      </c>
      <c r="M13" s="2881"/>
      <c r="N13" s="2896">
        <f t="shared" ref="N13" si="95">I13/100</f>
        <v>6.0999999999999995E-3</v>
      </c>
      <c r="O13" s="2882">
        <f t="shared" ref="O13" si="96">J13/100</f>
        <v>6.7000000000000002E-3</v>
      </c>
      <c r="P13" s="2882">
        <f t="shared" ref="P13" si="97">K13/100</f>
        <v>6.0000000000000001E-3</v>
      </c>
      <c r="Q13" s="2882">
        <f t="shared" ref="Q13" si="98">L13/100</f>
        <v>1.03E-2</v>
      </c>
      <c r="R13" s="2897"/>
      <c r="S13" s="2898"/>
      <c r="T13" s="2899"/>
      <c r="U13" s="2899"/>
      <c r="V13" s="2899"/>
      <c r="W13" s="2881"/>
      <c r="X13" s="2881">
        <f>ROUND(IF(项目基本情况!B8="出让",SUMPRODUCT(PRODUCT(1+N13:N$35)),SUMPRODUCT(PRODUCT(1+N13:N$34))),4)</f>
        <v>1.5516000000000001</v>
      </c>
      <c r="Y13" s="2881">
        <f>ROUND(IF(项目基本情况!B8="出让",SUMPRODUCT(PRODUCT(1+O13:O$35)),SUMPRODUCT(PRODUCT(1+O13:O$34))),4)</f>
        <v>1.3649</v>
      </c>
      <c r="Z13" s="2881">
        <f t="shared" ref="Z13" si="99">Y13</f>
        <v>1.3649</v>
      </c>
      <c r="AA13" s="2881">
        <f>ROUND(IF(项目基本情况!B8="出让",SUMPRODUCT(PRODUCT(1+P13:P$35)),SUMPRODUCT(PRODUCT(1+P13:P$34))),4)</f>
        <v>1.6133999999999999</v>
      </c>
      <c r="AB13" s="2881">
        <f>ROUND(IF(项目基本情况!B8="出让",SUMPRODUCT(PRODUCT(1+Q13:Q$35)),SUMPRODUCT(PRODUCT(1+Q13:Q$34))),4)</f>
        <v>1.3713</v>
      </c>
      <c r="AC13" s="2881"/>
      <c r="AD13" s="2882">
        <f>ROUND(AVERAGE(I13:I$35)/100,4)</f>
        <v>2.07E-2</v>
      </c>
      <c r="AE13" s="2882">
        <f>ROUND(AVERAGE(J13:J$35)/100,4)</f>
        <v>1.47E-2</v>
      </c>
      <c r="AF13" s="2882">
        <f t="shared" ref="AF13" si="100">AE13</f>
        <v>1.47E-2</v>
      </c>
      <c r="AG13" s="2882">
        <f>ROUND(AVERAGE(K13:K$35)/100,4)</f>
        <v>2.2599999999999999E-2</v>
      </c>
      <c r="AH13" s="2882">
        <f>ROUND(AVERAGE(L13:L$35)/100,4)</f>
        <v>1.44E-2</v>
      </c>
    </row>
    <row r="14" spans="1:34" s="2900" customFormat="1">
      <c r="A14" s="2893" t="s">
        <v>2932</v>
      </c>
      <c r="B14" s="2894">
        <f t="shared" ref="B14:B19" si="101">B15*(1+N14)</f>
        <v>474.30670301923408</v>
      </c>
      <c r="C14" s="2894">
        <f t="shared" ref="C14" si="102">C15*(1+O14)</f>
        <v>349.50705005996491</v>
      </c>
      <c r="D14" s="2894">
        <f t="shared" ref="D14" si="103">C14</f>
        <v>349.50705005996491</v>
      </c>
      <c r="E14" s="2894">
        <f t="shared" ref="E14" si="104">E15*(1+P14)</f>
        <v>678.22831959706957</v>
      </c>
      <c r="F14" s="2894">
        <f t="shared" ref="F14" si="105">F15*(1+Q14)</f>
        <v>312.0556832169558</v>
      </c>
      <c r="G14" s="2877">
        <v>2019</v>
      </c>
      <c r="H14" s="2902">
        <v>2</v>
      </c>
      <c r="I14" s="2902">
        <v>1.53</v>
      </c>
      <c r="J14" s="2902">
        <v>1.01</v>
      </c>
      <c r="K14" s="2902">
        <v>1.62</v>
      </c>
      <c r="L14" s="2903">
        <v>1.25</v>
      </c>
      <c r="M14" s="2881"/>
      <c r="N14" s="2896">
        <f t="shared" ref="N14" si="106">I14/100</f>
        <v>1.5300000000000001E-2</v>
      </c>
      <c r="O14" s="2882">
        <f t="shared" ref="O14" si="107">J14/100</f>
        <v>1.01E-2</v>
      </c>
      <c r="P14" s="2882">
        <f t="shared" ref="P14" si="108">K14/100</f>
        <v>1.6200000000000003E-2</v>
      </c>
      <c r="Q14" s="2882">
        <f t="shared" ref="Q14" si="109">L14/100</f>
        <v>1.2500000000000001E-2</v>
      </c>
      <c r="R14" s="2897"/>
      <c r="S14" s="2898"/>
      <c r="T14" s="2899"/>
      <c r="U14" s="2899"/>
      <c r="V14" s="2899"/>
      <c r="W14" s="2881"/>
      <c r="X14" s="2881">
        <f>ROUND(IF(项目基本情况!B8="出让",SUMPRODUCT(PRODUCT(1+N14:N$35)),SUMPRODUCT(PRODUCT(1+N14:N$34))),4)</f>
        <v>1.5422</v>
      </c>
      <c r="Y14" s="2881">
        <f>ROUND(IF(项目基本情况!B8="出让",SUMPRODUCT(PRODUCT(1+O14:O$35)),SUMPRODUCT(PRODUCT(1+O14:O$34))),4)</f>
        <v>1.3557999999999999</v>
      </c>
      <c r="Z14" s="2881">
        <f t="shared" ref="Z14" si="110">Y14</f>
        <v>1.3557999999999999</v>
      </c>
      <c r="AA14" s="2881">
        <f>ROUND(IF(项目基本情况!B8="出让",SUMPRODUCT(PRODUCT(1+P14:P$35)),SUMPRODUCT(PRODUCT(1+P14:P$34))),4)</f>
        <v>1.6036999999999999</v>
      </c>
      <c r="AB14" s="2881">
        <f>ROUND(IF(项目基本情况!B8="出让",SUMPRODUCT(PRODUCT(1+Q14:Q$35)),SUMPRODUCT(PRODUCT(1+Q14:Q$34))),4)</f>
        <v>1.3573</v>
      </c>
      <c r="AC14" s="2881"/>
      <c r="AD14" s="2882">
        <f>ROUND(AVERAGE(I14:I$35)/100,4)</f>
        <v>2.1299999999999999E-2</v>
      </c>
      <c r="AE14" s="2882">
        <f>ROUND(AVERAGE(J14:J$35)/100,4)</f>
        <v>1.4999999999999999E-2</v>
      </c>
      <c r="AF14" s="2882">
        <f t="shared" ref="AF14" si="111">AE14</f>
        <v>1.4999999999999999E-2</v>
      </c>
      <c r="AG14" s="2882">
        <f>ROUND(AVERAGE(K14:K$35)/100,4)</f>
        <v>2.3300000000000001E-2</v>
      </c>
      <c r="AH14" s="2882">
        <f>ROUND(AVERAGE(L14:L$35)/100,4)</f>
        <v>1.46E-2</v>
      </c>
    </row>
    <row r="15" spans="1:34" s="2900" customFormat="1" ht="13.5" thickBot="1">
      <c r="A15" s="2893" t="s">
        <v>2931</v>
      </c>
      <c r="B15" s="2894">
        <f t="shared" si="101"/>
        <v>467.15916775261894</v>
      </c>
      <c r="C15" s="2894">
        <f t="shared" ref="C15" si="112">C16*(1+O15)</f>
        <v>346.01232557169084</v>
      </c>
      <c r="D15" s="2894">
        <f t="shared" ref="D15" si="113">C15</f>
        <v>346.01232557169084</v>
      </c>
      <c r="E15" s="2894">
        <f t="shared" ref="E15" si="114">E16*(1+P15)</f>
        <v>667.41617752122568</v>
      </c>
      <c r="F15" s="2894">
        <f t="shared" ref="F15" si="115">F16*(1+Q15)</f>
        <v>308.20314391798104</v>
      </c>
      <c r="G15" s="2877">
        <v>2019</v>
      </c>
      <c r="H15" s="2895">
        <v>1</v>
      </c>
      <c r="I15" s="2895">
        <v>0.6</v>
      </c>
      <c r="J15" s="2895">
        <v>0.37</v>
      </c>
      <c r="K15" s="2895">
        <v>0.63</v>
      </c>
      <c r="L15" s="2901">
        <v>1.1299999999999999</v>
      </c>
      <c r="M15" s="2881"/>
      <c r="N15" s="2896">
        <f t="shared" ref="N15" si="116">I15/100</f>
        <v>6.0000000000000001E-3</v>
      </c>
      <c r="O15" s="2882">
        <f t="shared" ref="O15" si="117">J15/100</f>
        <v>3.7000000000000002E-3</v>
      </c>
      <c r="P15" s="2882">
        <f t="shared" ref="P15" si="118">K15/100</f>
        <v>6.3E-3</v>
      </c>
      <c r="Q15" s="2882">
        <f t="shared" ref="Q15" si="119">L15/100</f>
        <v>1.1299999999999999E-2</v>
      </c>
      <c r="R15" s="2897"/>
      <c r="S15" s="2898">
        <f>B15/B16-1</f>
        <v>6.0000000000000053E-3</v>
      </c>
      <c r="T15" s="2899">
        <f>C15/C16-1</f>
        <v>3.7000000000000366E-3</v>
      </c>
      <c r="U15" s="2899">
        <f>E15/E16-1</f>
        <v>6.2999999999999723E-3</v>
      </c>
      <c r="V15" s="2899">
        <f>F15/F16-1</f>
        <v>1.1300000000000088E-2</v>
      </c>
      <c r="W15" s="2881"/>
      <c r="X15" s="2881">
        <f>ROUND(IF(项目基本情况!B8="出让",SUMPRODUCT(PRODUCT(1+N15:N$35)),SUMPRODUCT(PRODUCT(1+N15:N$34))),4)</f>
        <v>1.5189999999999999</v>
      </c>
      <c r="Y15" s="2881">
        <f>ROUND(IF(项目基本情况!B8="出让",SUMPRODUCT(PRODUCT(1+O15:O$35)),SUMPRODUCT(PRODUCT(1+O15:O$34))),4)</f>
        <v>1.3423</v>
      </c>
      <c r="Z15" s="2881">
        <f t="shared" ref="Z15" si="120">Y15</f>
        <v>1.3423</v>
      </c>
      <c r="AA15" s="2881">
        <f>ROUND(IF(项目基本情况!B8="出让",SUMPRODUCT(PRODUCT(1+P15:P$35)),SUMPRODUCT(PRODUCT(1+P15:P$34))),4)</f>
        <v>1.5782</v>
      </c>
      <c r="AB15" s="2881">
        <f>ROUND(IF(项目基本情况!B8="出让",SUMPRODUCT(PRODUCT(1+Q15:Q$35)),SUMPRODUCT(PRODUCT(1+Q15:Q$34))),4)</f>
        <v>1.3405</v>
      </c>
      <c r="AC15" s="2881"/>
      <c r="AD15" s="2882">
        <f>ROUND(AVERAGE(I15:I$35)/100,4)</f>
        <v>2.1600000000000001E-2</v>
      </c>
      <c r="AE15" s="2882">
        <f>ROUND(AVERAGE(J15:J$35)/100,4)</f>
        <v>1.5299999999999999E-2</v>
      </c>
      <c r="AF15" s="2882">
        <f t="shared" ref="AF15" si="121">AE15</f>
        <v>1.5299999999999999E-2</v>
      </c>
      <c r="AG15" s="2882">
        <f>ROUND(AVERAGE(K15:K$35)/100,4)</f>
        <v>2.3699999999999999E-2</v>
      </c>
      <c r="AH15" s="2882">
        <f>ROUND(AVERAGE(L15:L$35)/100,4)</f>
        <v>1.47E-2</v>
      </c>
    </row>
    <row r="16" spans="1:34" s="2900" customFormat="1">
      <c r="A16" s="2893" t="s">
        <v>2928</v>
      </c>
      <c r="B16" s="2904">
        <f t="shared" si="101"/>
        <v>464.37293017158942</v>
      </c>
      <c r="C16" s="2904">
        <f t="shared" ref="C16" si="122">C17*(1+O16)</f>
        <v>344.73679941385956</v>
      </c>
      <c r="D16" s="2904">
        <f t="shared" ref="D16" si="123">C16</f>
        <v>344.73679941385956</v>
      </c>
      <c r="E16" s="2904">
        <f t="shared" ref="E16" si="124">E17*(1+P16)</f>
        <v>663.2377795103107</v>
      </c>
      <c r="F16" s="2905">
        <f t="shared" ref="F16" si="125">F17*(1+Q16)</f>
        <v>304.75936311478398</v>
      </c>
      <c r="G16" s="3719">
        <v>2018</v>
      </c>
      <c r="H16" s="2902">
        <v>4</v>
      </c>
      <c r="I16" s="2902">
        <v>0.96</v>
      </c>
      <c r="J16" s="2902">
        <v>1.03</v>
      </c>
      <c r="K16" s="2902">
        <v>0.92</v>
      </c>
      <c r="L16" s="2903">
        <v>1.29</v>
      </c>
      <c r="M16" s="2881"/>
      <c r="N16" s="2896">
        <f t="shared" ref="N16" si="126">I16/100</f>
        <v>9.5999999999999992E-3</v>
      </c>
      <c r="O16" s="2882">
        <f t="shared" ref="O16" si="127">J16/100</f>
        <v>1.03E-2</v>
      </c>
      <c r="P16" s="2882">
        <f t="shared" ref="P16" si="128">K16/100</f>
        <v>9.1999999999999998E-3</v>
      </c>
      <c r="Q16" s="2882">
        <f t="shared" ref="Q16" si="129">L16/100</f>
        <v>1.29E-2</v>
      </c>
      <c r="R16" s="2897"/>
      <c r="S16" s="2906"/>
      <c r="T16" s="2907"/>
      <c r="U16" s="2907"/>
      <c r="V16" s="2907"/>
      <c r="W16" s="2881"/>
      <c r="X16" s="2881">
        <f>ROUND(SUMPRODUCT(PRODUCT(1+N16:N$34)),4)</f>
        <v>1.5099</v>
      </c>
      <c r="Y16" s="2881">
        <f>ROUND(SUMPRODUCT(PRODUCT(1+O16:O$34)),4)</f>
        <v>1.3372999999999999</v>
      </c>
      <c r="Z16" s="2881">
        <f t="shared" ref="Z16" si="130">Y16</f>
        <v>1.3372999999999999</v>
      </c>
      <c r="AA16" s="2881">
        <f>ROUND(SUMPRODUCT(PRODUCT(1+P16:P$34)),4)</f>
        <v>1.5683</v>
      </c>
      <c r="AB16" s="2881">
        <f>ROUND(SUMPRODUCT(PRODUCT(1+Q16:Q$34)),4)</f>
        <v>1.3255999999999999</v>
      </c>
      <c r="AC16" s="2881"/>
      <c r="AD16" s="2882">
        <f>ROUND(AVERAGE(I16:I$35)/100,4)</f>
        <v>2.24E-2</v>
      </c>
      <c r="AE16" s="2882">
        <f>ROUND(AVERAGE(J16:J$35)/100,4)</f>
        <v>1.5800000000000002E-2</v>
      </c>
      <c r="AF16" s="2882">
        <f t="shared" ref="AF16" si="131">AE16</f>
        <v>1.5800000000000002E-2</v>
      </c>
      <c r="AG16" s="2882">
        <f>ROUND(AVERAGE(K16:K$35)/100,4)</f>
        <v>2.4500000000000001E-2</v>
      </c>
      <c r="AH16" s="2882">
        <f>ROUND(AVERAGE(L16:L$35)/100,4)</f>
        <v>1.49E-2</v>
      </c>
    </row>
    <row r="17" spans="1:34" s="2900" customFormat="1" ht="14.45" customHeight="1">
      <c r="A17" s="2893" t="s">
        <v>2921</v>
      </c>
      <c r="B17" s="2894">
        <f t="shared" si="101"/>
        <v>459.95733971036987</v>
      </c>
      <c r="C17" s="2894">
        <f t="shared" ref="C17" si="132">C18*(1+O17)</f>
        <v>341.22221064422405</v>
      </c>
      <c r="D17" s="2894">
        <f t="shared" ref="D17" si="133">C17</f>
        <v>341.22221064422405</v>
      </c>
      <c r="E17" s="2894">
        <f t="shared" ref="E17" si="134">E18*(1+P17)</f>
        <v>657.19161663724799</v>
      </c>
      <c r="F17" s="2894">
        <f t="shared" ref="F17" si="135">F18*(1+Q17)</f>
        <v>300.87803644464805</v>
      </c>
      <c r="G17" s="3719"/>
      <c r="H17" s="2895">
        <v>3</v>
      </c>
      <c r="I17" s="2895">
        <v>1.51</v>
      </c>
      <c r="J17" s="2895">
        <v>1.41</v>
      </c>
      <c r="K17" s="2895">
        <v>1.52</v>
      </c>
      <c r="L17" s="2901">
        <v>1.74</v>
      </c>
      <c r="M17" s="2881"/>
      <c r="N17" s="2896">
        <f t="shared" ref="N17" si="136">I17/100</f>
        <v>1.5100000000000001E-2</v>
      </c>
      <c r="O17" s="2882">
        <f t="shared" ref="O17" si="137">J17/100</f>
        <v>1.41E-2</v>
      </c>
      <c r="P17" s="2882">
        <f t="shared" ref="P17" si="138">K17/100</f>
        <v>1.52E-2</v>
      </c>
      <c r="Q17" s="2882">
        <f t="shared" ref="Q17" si="139">L17/100</f>
        <v>1.7399999999999999E-2</v>
      </c>
      <c r="R17" s="2897"/>
      <c r="S17" s="2896"/>
      <c r="T17" s="2882"/>
      <c r="U17" s="2882"/>
      <c r="V17" s="2882"/>
      <c r="W17" s="2881"/>
      <c r="X17" s="2881">
        <f>ROUND(SUMPRODUCT(PRODUCT(1+N17:N$34)),4)</f>
        <v>1.4956</v>
      </c>
      <c r="Y17" s="2881">
        <f>ROUND(SUMPRODUCT(PRODUCT(1+O17:O$34)),4)</f>
        <v>1.3237000000000001</v>
      </c>
      <c r="Z17" s="2881">
        <f t="shared" ref="Z17" si="140">Y17</f>
        <v>1.3237000000000001</v>
      </c>
      <c r="AA17" s="2881">
        <f>ROUND(SUMPRODUCT(PRODUCT(1+P17:P$34)),4)</f>
        <v>1.554</v>
      </c>
      <c r="AB17" s="2881">
        <f>ROUND(SUMPRODUCT(PRODUCT(1+Q17:Q$34)),4)</f>
        <v>1.3087</v>
      </c>
      <c r="AC17" s="2881"/>
      <c r="AD17" s="2882">
        <f>ROUND(AVERAGE(I17:I$35)/100,4)</f>
        <v>2.3099999999999999E-2</v>
      </c>
      <c r="AE17" s="2882">
        <f>ROUND(AVERAGE(J17:J$35)/100,4)</f>
        <v>1.61E-2</v>
      </c>
      <c r="AF17" s="2882">
        <f t="shared" ref="AF17" si="141">AE17</f>
        <v>1.61E-2</v>
      </c>
      <c r="AG17" s="2882">
        <f>ROUND(AVERAGE(K17:K$35)/100,4)</f>
        <v>2.53E-2</v>
      </c>
      <c r="AH17" s="2882">
        <f>ROUND(AVERAGE(L17:L$35)/100,4)</f>
        <v>1.4999999999999999E-2</v>
      </c>
    </row>
    <row r="18" spans="1:34" s="2900" customFormat="1" ht="14.45" customHeight="1">
      <c r="A18" s="2893" t="s">
        <v>2922</v>
      </c>
      <c r="B18" s="2894">
        <f t="shared" si="101"/>
        <v>453.11529869999993</v>
      </c>
      <c r="C18" s="2894">
        <f t="shared" ref="C18" si="142">C19*(1+O18)</f>
        <v>336.47787264000004</v>
      </c>
      <c r="D18" s="2894">
        <f t="shared" ref="D18" si="143">C18</f>
        <v>336.47787264000004</v>
      </c>
      <c r="E18" s="2894">
        <f t="shared" ref="E18" si="144">E19*(1+P18)</f>
        <v>647.35186823999993</v>
      </c>
      <c r="F18" s="2894">
        <f t="shared" ref="F18" si="145">F19*(1+Q18)</f>
        <v>295.73229452000004</v>
      </c>
      <c r="G18" s="3719"/>
      <c r="H18" s="2908">
        <v>2</v>
      </c>
      <c r="I18" s="2908">
        <v>1.49</v>
      </c>
      <c r="J18" s="2908">
        <v>0.96</v>
      </c>
      <c r="K18" s="2908">
        <v>1.58</v>
      </c>
      <c r="L18" s="2909">
        <v>2.44</v>
      </c>
      <c r="M18" s="2881"/>
      <c r="N18" s="2896">
        <f t="shared" ref="N18" si="146">I18/100</f>
        <v>1.49E-2</v>
      </c>
      <c r="O18" s="2882">
        <f t="shared" ref="O18" si="147">J18/100</f>
        <v>9.5999999999999992E-3</v>
      </c>
      <c r="P18" s="2882">
        <f t="shared" ref="P18" si="148">K18/100</f>
        <v>1.5800000000000002E-2</v>
      </c>
      <c r="Q18" s="2882">
        <f t="shared" ref="Q18" si="149">L18/100</f>
        <v>2.4399999999999998E-2</v>
      </c>
      <c r="R18" s="2897"/>
      <c r="S18" s="2896"/>
      <c r="T18" s="2882"/>
      <c r="U18" s="2882"/>
      <c r="V18" s="2882"/>
      <c r="W18" s="2881"/>
      <c r="X18" s="2881">
        <f>ROUND(SUMPRODUCT(PRODUCT(1+N18:N$34)),4)</f>
        <v>1.4733000000000001</v>
      </c>
      <c r="Y18" s="2881">
        <f>ROUND(SUMPRODUCT(PRODUCT(1+O18:O$34)),4)</f>
        <v>1.3052999999999999</v>
      </c>
      <c r="Z18" s="2881">
        <f t="shared" ref="Z18" si="150">Y18</f>
        <v>1.3052999999999999</v>
      </c>
      <c r="AA18" s="2881">
        <f>ROUND(SUMPRODUCT(PRODUCT(1+P18:P$34)),4)</f>
        <v>1.5306999999999999</v>
      </c>
      <c r="AB18" s="2881">
        <f>ROUND(SUMPRODUCT(PRODUCT(1+Q18:Q$34)),4)</f>
        <v>1.2863</v>
      </c>
      <c r="AC18" s="2881"/>
      <c r="AD18" s="2882">
        <f>ROUND(AVERAGE(I18:I$35)/100,4)</f>
        <v>2.35E-2</v>
      </c>
      <c r="AE18" s="2882">
        <f>ROUND(AVERAGE(J18:J$35)/100,4)</f>
        <v>1.6199999999999999E-2</v>
      </c>
      <c r="AF18" s="2882">
        <f t="shared" ref="AF18" si="151">AE18</f>
        <v>1.6199999999999999E-2</v>
      </c>
      <c r="AG18" s="2882">
        <f>ROUND(AVERAGE(K18:K$35)/100,4)</f>
        <v>2.5899999999999999E-2</v>
      </c>
      <c r="AH18" s="2882">
        <f>ROUND(AVERAGE(L18:L$35)/100,4)</f>
        <v>1.49E-2</v>
      </c>
    </row>
    <row r="19" spans="1:34" s="2900" customFormat="1" ht="15" customHeight="1" thickBot="1">
      <c r="A19" s="2893" t="s">
        <v>2918</v>
      </c>
      <c r="B19" s="2894">
        <f t="shared" si="101"/>
        <v>446.46299999999997</v>
      </c>
      <c r="C19" s="2894">
        <f t="shared" ref="C19" si="152">C20*(1+O19)</f>
        <v>333.27840000000003</v>
      </c>
      <c r="D19" s="2894">
        <f t="shared" ref="D19:D24" si="153">C19</f>
        <v>333.27840000000003</v>
      </c>
      <c r="E19" s="2894">
        <f t="shared" ref="E19" si="154">E20*(1+P19)</f>
        <v>637.28279999999995</v>
      </c>
      <c r="F19" s="2894">
        <f t="shared" ref="F19" si="155">F20*(1+Q19)</f>
        <v>288.68830000000003</v>
      </c>
      <c r="G19" s="3720"/>
      <c r="H19" s="2895">
        <v>1</v>
      </c>
      <c r="I19" s="2895">
        <v>1.7</v>
      </c>
      <c r="J19" s="2895">
        <v>1.92</v>
      </c>
      <c r="K19" s="2895">
        <v>1.64</v>
      </c>
      <c r="L19" s="2901">
        <v>2.0099999999999998</v>
      </c>
      <c r="M19" s="2881"/>
      <c r="N19" s="2896">
        <f t="shared" ref="N19:N24" si="156">I19/100</f>
        <v>1.7000000000000001E-2</v>
      </c>
      <c r="O19" s="2882">
        <f t="shared" ref="O19" si="157">J19/100</f>
        <v>1.9199999999999998E-2</v>
      </c>
      <c r="P19" s="2882">
        <f t="shared" ref="P19" si="158">K19/100</f>
        <v>1.6399999999999998E-2</v>
      </c>
      <c r="Q19" s="2882">
        <f t="shared" ref="Q19" si="159">L19/100</f>
        <v>2.0099999999999996E-2</v>
      </c>
      <c r="R19" s="2897"/>
      <c r="S19" s="2898">
        <f>B19/B20-1</f>
        <v>1.6999999999999904E-2</v>
      </c>
      <c r="T19" s="2899">
        <f>C19/C20-1</f>
        <v>1.9200000000000106E-2</v>
      </c>
      <c r="U19" s="2899">
        <f>E19/E20-1</f>
        <v>1.639999999999997E-2</v>
      </c>
      <c r="V19" s="2899">
        <f>F19/F20-1</f>
        <v>2.0100000000000007E-2</v>
      </c>
      <c r="W19" s="2881"/>
      <c r="X19" s="2881">
        <f>ROUND(SUMPRODUCT(PRODUCT(1+N19:N$34)),4)</f>
        <v>1.4517</v>
      </c>
      <c r="Y19" s="2881">
        <f>ROUND(SUMPRODUCT(PRODUCT(1+O19:O$34)),4)</f>
        <v>1.2928999999999999</v>
      </c>
      <c r="Z19" s="2881">
        <f t="shared" ref="Z19" si="160">Y19</f>
        <v>1.2928999999999999</v>
      </c>
      <c r="AA19" s="2881">
        <f>ROUND(SUMPRODUCT(PRODUCT(1+P19:P$34)),4)</f>
        <v>1.5068999999999999</v>
      </c>
      <c r="AB19" s="2881">
        <f>ROUND(SUMPRODUCT(PRODUCT(1+Q19:Q$34)),4)</f>
        <v>1.2557</v>
      </c>
      <c r="AC19" s="2881"/>
      <c r="AD19" s="2882">
        <f>ROUND(AVERAGE(I19:I$35)/100,4)</f>
        <v>2.4E-2</v>
      </c>
      <c r="AE19" s="2882">
        <f>ROUND(AVERAGE(J19:J$35)/100,4)</f>
        <v>1.66E-2</v>
      </c>
      <c r="AF19" s="2882">
        <f t="shared" ref="AF19" si="161">AE19</f>
        <v>1.66E-2</v>
      </c>
      <c r="AG19" s="2882">
        <f>ROUND(AVERAGE(K19:K$35)/100,4)</f>
        <v>2.6499999999999999E-2</v>
      </c>
      <c r="AH19" s="2882">
        <f>ROUND(AVERAGE(L19:L$35)/100,4)</f>
        <v>1.43E-2</v>
      </c>
    </row>
    <row r="20" spans="1:34">
      <c r="A20" s="2893" t="s">
        <v>2910</v>
      </c>
      <c r="B20" s="2910">
        <v>439</v>
      </c>
      <c r="C20" s="2910">
        <v>327</v>
      </c>
      <c r="D20" s="2910">
        <f t="shared" si="153"/>
        <v>327</v>
      </c>
      <c r="E20" s="2910">
        <v>627</v>
      </c>
      <c r="F20" s="2911">
        <v>283</v>
      </c>
      <c r="G20" s="3718">
        <v>2017</v>
      </c>
      <c r="H20" s="2902">
        <v>4</v>
      </c>
      <c r="I20" s="2902">
        <v>1.71</v>
      </c>
      <c r="J20" s="2902">
        <v>1.78</v>
      </c>
      <c r="K20" s="2902">
        <v>1.71</v>
      </c>
      <c r="L20" s="2903">
        <v>1.43</v>
      </c>
      <c r="N20" s="2912">
        <f t="shared" si="156"/>
        <v>1.7100000000000001E-2</v>
      </c>
      <c r="O20" s="2913">
        <f t="shared" ref="O20" si="162">J20/100</f>
        <v>1.78E-2</v>
      </c>
      <c r="P20" s="2913">
        <f t="shared" ref="P20" si="163">K20/100</f>
        <v>1.7100000000000001E-2</v>
      </c>
      <c r="Q20" s="2913">
        <f t="shared" ref="Q20" si="164">L20/100</f>
        <v>1.43E-2</v>
      </c>
      <c r="R20" s="2897"/>
      <c r="S20" s="2906"/>
      <c r="T20" s="2907"/>
      <c r="U20" s="2907"/>
      <c r="V20" s="2907"/>
      <c r="X20" s="2881">
        <f>ROUND(SUMPRODUCT(PRODUCT(1+N20:N$34)),4)</f>
        <v>1.4274</v>
      </c>
      <c r="Y20" s="2881">
        <f>ROUND(SUMPRODUCT(PRODUCT(1+O20:O$34)),4)</f>
        <v>1.2685</v>
      </c>
      <c r="Z20" s="2881">
        <f t="shared" si="0"/>
        <v>1.2685</v>
      </c>
      <c r="AA20" s="2881">
        <f>ROUND(SUMPRODUCT(PRODUCT(1+P20:P$34)),4)</f>
        <v>1.4825999999999999</v>
      </c>
      <c r="AB20" s="2881">
        <f>ROUND(SUMPRODUCT(PRODUCT(1+Q20:Q$34)),4)</f>
        <v>1.2309000000000001</v>
      </c>
      <c r="AD20" s="2882">
        <f>ROUND(AVERAGE(I20:I$35)/100,4)</f>
        <v>2.4500000000000001E-2</v>
      </c>
      <c r="AE20" s="2882">
        <f>ROUND(AVERAGE(J20:J$35)/100,4)</f>
        <v>1.6500000000000001E-2</v>
      </c>
      <c r="AF20" s="2882">
        <f t="shared" si="1"/>
        <v>1.6500000000000001E-2</v>
      </c>
      <c r="AG20" s="2882">
        <f>ROUND(AVERAGE(K20:K$35)/100,4)</f>
        <v>2.7099999999999999E-2</v>
      </c>
      <c r="AH20" s="2882">
        <f>ROUND(AVERAGE(L20:L$35)/100,4)</f>
        <v>1.3899999999999999E-2</v>
      </c>
    </row>
    <row r="21" spans="1:34" s="2900" customFormat="1" ht="14.45" customHeight="1">
      <c r="A21" s="2893" t="s">
        <v>2913</v>
      </c>
      <c r="B21" s="2894">
        <f t="shared" ref="B21:C23" si="165">B22*(1+N21)</f>
        <v>431.80730811680002</v>
      </c>
      <c r="C21" s="2894">
        <f t="shared" si="165"/>
        <v>320.57880516480003</v>
      </c>
      <c r="D21" s="2894">
        <f t="shared" si="153"/>
        <v>320.57880516480003</v>
      </c>
      <c r="E21" s="2894">
        <f t="shared" ref="E21:F23" si="166">E22*(1+P21)</f>
        <v>615.96110553196797</v>
      </c>
      <c r="F21" s="2894">
        <f t="shared" si="166"/>
        <v>279.46777300108801</v>
      </c>
      <c r="G21" s="3719"/>
      <c r="H21" s="2895">
        <v>3</v>
      </c>
      <c r="I21" s="2895">
        <v>2.98</v>
      </c>
      <c r="J21" s="2895">
        <v>2.11</v>
      </c>
      <c r="K21" s="2895">
        <v>3.24</v>
      </c>
      <c r="L21" s="2901">
        <v>1.72</v>
      </c>
      <c r="M21" s="2881"/>
      <c r="N21" s="2896">
        <f t="shared" si="156"/>
        <v>2.98E-2</v>
      </c>
      <c r="O21" s="2914">
        <f t="shared" ref="O21:O22" si="167">J21/100</f>
        <v>2.1099999999999997E-2</v>
      </c>
      <c r="P21" s="2914">
        <f t="shared" ref="P21:P22" si="168">K21/100</f>
        <v>3.2400000000000005E-2</v>
      </c>
      <c r="Q21" s="2914">
        <f t="shared" ref="Q21:Q22" si="169">L21/100</f>
        <v>1.72E-2</v>
      </c>
      <c r="R21" s="2897"/>
      <c r="S21" s="2896"/>
      <c r="T21" s="2882"/>
      <c r="U21" s="2882"/>
      <c r="V21" s="2882"/>
      <c r="W21" s="2881"/>
      <c r="X21" s="2881">
        <f>ROUND(SUMPRODUCT(PRODUCT(1+N21:N$34)),4)</f>
        <v>1.4034</v>
      </c>
      <c r="Y21" s="2881">
        <f>ROUND(SUMPRODUCT(PRODUCT(1+O21:O$34)),4)</f>
        <v>1.2463</v>
      </c>
      <c r="Z21" s="2881">
        <f t="shared" si="0"/>
        <v>1.2463</v>
      </c>
      <c r="AA21" s="2881">
        <f>ROUND(SUMPRODUCT(PRODUCT(1+P21:P$34)),4)</f>
        <v>1.4577</v>
      </c>
      <c r="AB21" s="2881">
        <f>ROUND(SUMPRODUCT(PRODUCT(1+Q21:Q$34)),4)</f>
        <v>1.2136</v>
      </c>
      <c r="AC21" s="2881"/>
      <c r="AD21" s="2882">
        <f>ROUND(AVERAGE(I21:I$35)/100,4)</f>
        <v>2.4899999999999999E-2</v>
      </c>
      <c r="AE21" s="2882">
        <f>ROUND(AVERAGE(J21:J$35)/100,4)</f>
        <v>1.6400000000000001E-2</v>
      </c>
      <c r="AF21" s="2882">
        <f t="shared" si="1"/>
        <v>1.6400000000000001E-2</v>
      </c>
      <c r="AG21" s="2882">
        <f>ROUND(AVERAGE(K21:K$35)/100,4)</f>
        <v>2.7799999999999998E-2</v>
      </c>
      <c r="AH21" s="2882">
        <f>ROUND(AVERAGE(L21:L$35)/100,4)</f>
        <v>1.3899999999999999E-2</v>
      </c>
    </row>
    <row r="22" spans="1:34" s="2859" customFormat="1" ht="14.45" customHeight="1">
      <c r="A22" s="2893" t="s">
        <v>2559</v>
      </c>
      <c r="B22" s="2894">
        <f t="shared" si="165"/>
        <v>419.31181600000002</v>
      </c>
      <c r="C22" s="2894">
        <f t="shared" si="165"/>
        <v>313.95436800000004</v>
      </c>
      <c r="D22" s="2894">
        <f t="shared" si="153"/>
        <v>313.95436800000004</v>
      </c>
      <c r="E22" s="2894">
        <f t="shared" si="166"/>
        <v>596.63028431999999</v>
      </c>
      <c r="F22" s="2894">
        <f t="shared" si="166"/>
        <v>274.74220703999998</v>
      </c>
      <c r="G22" s="3719"/>
      <c r="H22" s="2908">
        <v>2</v>
      </c>
      <c r="I22" s="2908">
        <v>3.4</v>
      </c>
      <c r="J22" s="2908">
        <v>2</v>
      </c>
      <c r="K22" s="2908">
        <v>3.82</v>
      </c>
      <c r="L22" s="2909">
        <v>1.68</v>
      </c>
      <c r="N22" s="2896">
        <f t="shared" si="156"/>
        <v>3.4000000000000002E-2</v>
      </c>
      <c r="O22" s="2914">
        <f t="shared" si="167"/>
        <v>0.02</v>
      </c>
      <c r="P22" s="2914">
        <f t="shared" si="168"/>
        <v>3.8199999999999998E-2</v>
      </c>
      <c r="Q22" s="2914">
        <f t="shared" si="169"/>
        <v>1.6799999999999999E-2</v>
      </c>
      <c r="S22" s="2896"/>
      <c r="T22" s="2882"/>
      <c r="U22" s="2882"/>
      <c r="V22" s="2882"/>
      <c r="X22" s="2881">
        <f>ROUND(SUMPRODUCT(PRODUCT(1+N22:N$34)),4)</f>
        <v>1.3628</v>
      </c>
      <c r="Y22" s="2881">
        <f>ROUND(SUMPRODUCT(PRODUCT(1+O22:O$34)),4)</f>
        <v>1.2205999999999999</v>
      </c>
      <c r="Z22" s="2881">
        <f t="shared" si="0"/>
        <v>1.2205999999999999</v>
      </c>
      <c r="AA22" s="2881">
        <f>ROUND(SUMPRODUCT(PRODUCT(1+P22:P$34)),4)</f>
        <v>1.4118999999999999</v>
      </c>
      <c r="AB22" s="2881">
        <f>ROUND(SUMPRODUCT(PRODUCT(1+Q22:Q$34)),4)</f>
        <v>1.1930000000000001</v>
      </c>
      <c r="AD22" s="2882">
        <f>ROUND(AVERAGE(I22:I$35)/100,4)</f>
        <v>2.46E-2</v>
      </c>
      <c r="AE22" s="2882">
        <f>ROUND(AVERAGE(J22:J$35)/100,4)</f>
        <v>1.6E-2</v>
      </c>
      <c r="AF22" s="2882">
        <f t="shared" si="1"/>
        <v>1.6E-2</v>
      </c>
      <c r="AG22" s="2882">
        <f>ROUND(AVERAGE(K22:K$35)/100,4)</f>
        <v>2.75E-2</v>
      </c>
      <c r="AH22" s="2882">
        <f>ROUND(AVERAGE(L22:L$35)/100,4)</f>
        <v>1.37E-2</v>
      </c>
    </row>
    <row r="23" spans="1:34" s="2900" customFormat="1" ht="15" customHeight="1" thickBot="1">
      <c r="A23" s="2893" t="s">
        <v>2560</v>
      </c>
      <c r="B23" s="2894">
        <f t="shared" si="165"/>
        <v>405.524</v>
      </c>
      <c r="C23" s="2894">
        <f t="shared" si="165"/>
        <v>307.79840000000002</v>
      </c>
      <c r="D23" s="2894">
        <f t="shared" si="153"/>
        <v>307.79840000000002</v>
      </c>
      <c r="E23" s="2894">
        <f t="shared" si="166"/>
        <v>574.67759999999998</v>
      </c>
      <c r="F23" s="2894">
        <f t="shared" si="166"/>
        <v>270.20280000000002</v>
      </c>
      <c r="G23" s="3720"/>
      <c r="H23" s="2895">
        <v>1</v>
      </c>
      <c r="I23" s="2895">
        <v>3.45</v>
      </c>
      <c r="J23" s="2895">
        <v>1.92</v>
      </c>
      <c r="K23" s="2895">
        <v>3.92</v>
      </c>
      <c r="L23" s="2901">
        <v>1.58</v>
      </c>
      <c r="M23" s="2881"/>
      <c r="N23" s="2898">
        <f t="shared" si="156"/>
        <v>3.4500000000000003E-2</v>
      </c>
      <c r="O23" s="2899">
        <f t="shared" ref="O23" si="170">J23/100</f>
        <v>1.9199999999999998E-2</v>
      </c>
      <c r="P23" s="2899">
        <f t="shared" ref="P23" si="171">K23/100</f>
        <v>3.9199999999999999E-2</v>
      </c>
      <c r="Q23" s="2899">
        <f t="shared" ref="Q23" si="172">L23/100</f>
        <v>1.5800000000000002E-2</v>
      </c>
      <c r="R23" s="2897"/>
      <c r="S23" s="2898">
        <f>B23/B24-1</f>
        <v>3.4499999999999975E-2</v>
      </c>
      <c r="T23" s="2899">
        <f>C23/C24-1</f>
        <v>1.9200000000000106E-2</v>
      </c>
      <c r="U23" s="2899">
        <f>E23/E24-1</f>
        <v>3.9199999999999902E-2</v>
      </c>
      <c r="V23" s="2899">
        <f>F23/F24-1</f>
        <v>1.5800000000000036E-2</v>
      </c>
      <c r="W23" s="2881"/>
      <c r="X23" s="2881">
        <f>ROUND(SUMPRODUCT(PRODUCT(1+N23:N$34)),4)</f>
        <v>1.3180000000000001</v>
      </c>
      <c r="Y23" s="2881">
        <f>ROUND(SUMPRODUCT(PRODUCT(1+O23:O$34)),4)</f>
        <v>1.1966000000000001</v>
      </c>
      <c r="Z23" s="2881">
        <f t="shared" si="0"/>
        <v>1.1966000000000001</v>
      </c>
      <c r="AA23" s="2881">
        <f>ROUND(SUMPRODUCT(PRODUCT(1+P23:P$34)),4)</f>
        <v>1.36</v>
      </c>
      <c r="AB23" s="2881">
        <f>ROUND(SUMPRODUCT(PRODUCT(1+Q23:Q$34)),4)</f>
        <v>1.1733</v>
      </c>
      <c r="AC23" s="2881"/>
      <c r="AD23" s="2882">
        <f>ROUND(AVERAGE(I23:I$35)/100,4)</f>
        <v>2.3900000000000001E-2</v>
      </c>
      <c r="AE23" s="2882">
        <f>ROUND(AVERAGE(J23:J$35)/100,4)</f>
        <v>1.5699999999999999E-2</v>
      </c>
      <c r="AF23" s="2882">
        <f t="shared" si="1"/>
        <v>1.5699999999999999E-2</v>
      </c>
      <c r="AG23" s="2882">
        <f>ROUND(AVERAGE(K23:K$35)/100,4)</f>
        <v>2.6599999999999999E-2</v>
      </c>
      <c r="AH23" s="2882">
        <f>ROUND(AVERAGE(L23:L$35)/100,4)</f>
        <v>1.34E-2</v>
      </c>
    </row>
    <row r="24" spans="1:34">
      <c r="A24" s="2893" t="s">
        <v>960</v>
      </c>
      <c r="B24" s="2915">
        <v>392</v>
      </c>
      <c r="C24" s="2915">
        <v>302</v>
      </c>
      <c r="D24" s="2915">
        <f t="shared" si="153"/>
        <v>302</v>
      </c>
      <c r="E24" s="2915">
        <v>553</v>
      </c>
      <c r="F24" s="2916">
        <v>266</v>
      </c>
      <c r="G24" s="3718">
        <v>2016</v>
      </c>
      <c r="H24" s="2902">
        <v>4</v>
      </c>
      <c r="I24" s="2902">
        <v>4.5599999999999996</v>
      </c>
      <c r="J24" s="2902">
        <v>2.15</v>
      </c>
      <c r="K24" s="2902">
        <v>5.32</v>
      </c>
      <c r="L24" s="2903">
        <v>1.57</v>
      </c>
      <c r="N24" s="2896">
        <f t="shared" si="156"/>
        <v>4.5599999999999995E-2</v>
      </c>
      <c r="O24" s="2882">
        <f t="shared" ref="O24:Q39" si="173">J24/100</f>
        <v>2.1499999999999998E-2</v>
      </c>
      <c r="P24" s="2882">
        <f t="shared" si="173"/>
        <v>5.3200000000000004E-2</v>
      </c>
      <c r="Q24" s="2882">
        <f t="shared" si="173"/>
        <v>1.5700000000000002E-2</v>
      </c>
      <c r="R24" s="2897"/>
      <c r="S24" s="2906"/>
      <c r="T24" s="2907"/>
      <c r="U24" s="2907"/>
      <c r="V24" s="2907"/>
      <c r="X24" s="2881">
        <f>ROUND(SUMPRODUCT(PRODUCT(1+N24:N$34)),4)</f>
        <v>1.274</v>
      </c>
      <c r="Y24" s="2881">
        <f>ROUND(SUMPRODUCT(PRODUCT(1+O24:O$34)),4)</f>
        <v>1.1740999999999999</v>
      </c>
      <c r="Z24" s="2881">
        <f t="shared" si="0"/>
        <v>1.1740999999999999</v>
      </c>
      <c r="AA24" s="2881">
        <f>ROUND(SUMPRODUCT(PRODUCT(1+P24:P$34)),4)</f>
        <v>1.3087</v>
      </c>
      <c r="AB24" s="2881">
        <f>ROUND(SUMPRODUCT(PRODUCT(1+Q24:Q$34)),4)</f>
        <v>1.1551</v>
      </c>
      <c r="AD24" s="2882">
        <f>ROUND(AVERAGE(I24:I$35)/100,4)</f>
        <v>2.3E-2</v>
      </c>
      <c r="AE24" s="2882">
        <f>ROUND(AVERAGE(J24:J$35)/100,4)</f>
        <v>1.55E-2</v>
      </c>
      <c r="AF24" s="2882">
        <f t="shared" si="1"/>
        <v>1.55E-2</v>
      </c>
      <c r="AG24" s="2882">
        <f>ROUND(AVERAGE(K24:K$35)/100,4)</f>
        <v>2.5600000000000001E-2</v>
      </c>
      <c r="AH24" s="2882">
        <f>ROUND(AVERAGE(L24:L$35)/100,4)</f>
        <v>1.32E-2</v>
      </c>
    </row>
    <row r="25" spans="1:34">
      <c r="A25" s="2893" t="s">
        <v>959</v>
      </c>
      <c r="B25" s="2894">
        <f t="shared" ref="B25:C27" si="174">B24/(1+N24)</f>
        <v>374.90436113236416</v>
      </c>
      <c r="C25" s="2894">
        <f t="shared" si="174"/>
        <v>295.64366128242779</v>
      </c>
      <c r="D25" s="2894">
        <f t="shared" ref="D25:D84" si="175">C25</f>
        <v>295.64366128242779</v>
      </c>
      <c r="E25" s="2894">
        <f t="shared" ref="E25:F27" si="176">E24/(1+P24)</f>
        <v>525.06646410938095</v>
      </c>
      <c r="F25" s="2894">
        <f t="shared" si="176"/>
        <v>261.88835286009646</v>
      </c>
      <c r="G25" s="3719"/>
      <c r="H25" s="2895">
        <v>3</v>
      </c>
      <c r="I25" s="2895">
        <v>4.12</v>
      </c>
      <c r="J25" s="2895">
        <v>2</v>
      </c>
      <c r="K25" s="2895">
        <v>4.79</v>
      </c>
      <c r="L25" s="2901">
        <v>1.97</v>
      </c>
      <c r="N25" s="2896">
        <f t="shared" ref="N25:Q59" si="177">I25/100</f>
        <v>4.1200000000000001E-2</v>
      </c>
      <c r="O25" s="2882">
        <f t="shared" si="173"/>
        <v>0.02</v>
      </c>
      <c r="P25" s="2882">
        <f t="shared" si="173"/>
        <v>4.7899999999999998E-2</v>
      </c>
      <c r="Q25" s="2882">
        <f t="shared" si="173"/>
        <v>1.9699999999999999E-2</v>
      </c>
      <c r="R25" s="2897"/>
      <c r="S25" s="2896"/>
      <c r="T25" s="2882"/>
      <c r="U25" s="2882"/>
      <c r="V25" s="2882"/>
      <c r="X25" s="2881">
        <f>ROUND(SUMPRODUCT(PRODUCT(1+N25:N$34)),4)</f>
        <v>1.2184999999999999</v>
      </c>
      <c r="Y25" s="2881">
        <f>ROUND(SUMPRODUCT(PRODUCT(1+O25:O$34)),4)</f>
        <v>1.1494</v>
      </c>
      <c r="Z25" s="2881">
        <f t="shared" si="0"/>
        <v>1.1494</v>
      </c>
      <c r="AA25" s="2881">
        <f>ROUND(SUMPRODUCT(PRODUCT(1+P25:P$34)),4)</f>
        <v>1.2425999999999999</v>
      </c>
      <c r="AB25" s="2881">
        <f>ROUND(SUMPRODUCT(PRODUCT(1+Q25:Q$34)),4)</f>
        <v>1.1372</v>
      </c>
      <c r="AD25" s="2882">
        <f>ROUND(AVERAGE(I25:I$35)/100,4)</f>
        <v>2.0899999999999998E-2</v>
      </c>
      <c r="AE25" s="2882">
        <f>ROUND(AVERAGE(J25:J$35)/100,4)</f>
        <v>1.49E-2</v>
      </c>
      <c r="AF25" s="2882">
        <f t="shared" si="1"/>
        <v>1.49E-2</v>
      </c>
      <c r="AG25" s="2882">
        <f>ROUND(AVERAGE(K25:K$35)/100,4)</f>
        <v>2.3099999999999999E-2</v>
      </c>
      <c r="AH25" s="2882">
        <f>ROUND(AVERAGE(L25:L$35)/100,4)</f>
        <v>1.2999999999999999E-2</v>
      </c>
    </row>
    <row r="26" spans="1:34">
      <c r="A26" s="2893" t="s">
        <v>949</v>
      </c>
      <c r="B26" s="2894">
        <f t="shared" si="174"/>
        <v>360.06949782209392</v>
      </c>
      <c r="C26" s="2894">
        <f t="shared" si="174"/>
        <v>289.84672674747821</v>
      </c>
      <c r="D26" s="2894">
        <f t="shared" si="175"/>
        <v>289.84672674747821</v>
      </c>
      <c r="E26" s="2894">
        <f t="shared" si="176"/>
        <v>501.06543001181495</v>
      </c>
      <c r="F26" s="2894">
        <f t="shared" si="176"/>
        <v>256.82882500744967</v>
      </c>
      <c r="G26" s="3719"/>
      <c r="H26" s="2908">
        <v>2</v>
      </c>
      <c r="I26" s="2908">
        <v>3.85</v>
      </c>
      <c r="J26" s="2908">
        <v>1.95</v>
      </c>
      <c r="K26" s="2908">
        <v>4.4800000000000004</v>
      </c>
      <c r="L26" s="2909">
        <v>1.41</v>
      </c>
      <c r="N26" s="2896">
        <f t="shared" si="177"/>
        <v>3.85E-2</v>
      </c>
      <c r="O26" s="2882">
        <f t="shared" si="173"/>
        <v>1.95E-2</v>
      </c>
      <c r="P26" s="2882">
        <f t="shared" si="173"/>
        <v>4.4800000000000006E-2</v>
      </c>
      <c r="Q26" s="2882">
        <f t="shared" si="173"/>
        <v>1.41E-2</v>
      </c>
      <c r="R26" s="2897"/>
      <c r="S26" s="2896"/>
      <c r="T26" s="2882"/>
      <c r="U26" s="2882"/>
      <c r="V26" s="2882"/>
      <c r="X26" s="2881">
        <f>ROUND(SUMPRODUCT(PRODUCT(1+N26:N$34)),4)</f>
        <v>1.1702999999999999</v>
      </c>
      <c r="Y26" s="2881">
        <f>ROUND(SUMPRODUCT(PRODUCT(1+O26:O$34)),4)</f>
        <v>1.1269</v>
      </c>
      <c r="Z26" s="2881">
        <f t="shared" si="0"/>
        <v>1.1269</v>
      </c>
      <c r="AA26" s="2881">
        <f>ROUND(SUMPRODUCT(PRODUCT(1+P26:P$34)),4)</f>
        <v>1.1858</v>
      </c>
      <c r="AB26" s="2881">
        <f>ROUND(SUMPRODUCT(PRODUCT(1+Q26:Q$34)),4)</f>
        <v>1.1152</v>
      </c>
      <c r="AD26" s="2882">
        <f>ROUND(AVERAGE(I26:I$35)/100,4)</f>
        <v>1.89E-2</v>
      </c>
      <c r="AE26" s="2882">
        <f>ROUND(AVERAGE(J26:J$35)/100,4)</f>
        <v>1.44E-2</v>
      </c>
      <c r="AF26" s="2882">
        <f t="shared" si="1"/>
        <v>1.44E-2</v>
      </c>
      <c r="AG26" s="2882">
        <f>ROUND(AVERAGE(K26:K$35)/100,4)</f>
        <v>2.06E-2</v>
      </c>
      <c r="AH26" s="2882">
        <f>ROUND(AVERAGE(L26:L$35)/100,4)</f>
        <v>1.23E-2</v>
      </c>
    </row>
    <row r="27" spans="1:34" ht="13.5" thickBot="1">
      <c r="A27" s="2893" t="s">
        <v>958</v>
      </c>
      <c r="B27" s="2894">
        <f t="shared" si="174"/>
        <v>346.720748986128</v>
      </c>
      <c r="C27" s="2894">
        <f t="shared" si="174"/>
        <v>284.30282172386285</v>
      </c>
      <c r="D27" s="2894">
        <f t="shared" si="175"/>
        <v>284.30282172386285</v>
      </c>
      <c r="E27" s="2894">
        <f t="shared" si="176"/>
        <v>479.58023546306947</v>
      </c>
      <c r="F27" s="2894">
        <f t="shared" si="176"/>
        <v>253.25788877571213</v>
      </c>
      <c r="G27" s="3722"/>
      <c r="H27" s="2895">
        <v>1</v>
      </c>
      <c r="I27" s="2895">
        <v>4.09</v>
      </c>
      <c r="J27" s="2895">
        <v>2.93</v>
      </c>
      <c r="K27" s="2895">
        <v>4.54</v>
      </c>
      <c r="L27" s="2901">
        <v>1.48</v>
      </c>
      <c r="N27" s="2896">
        <f t="shared" si="177"/>
        <v>4.0899999999999999E-2</v>
      </c>
      <c r="O27" s="2882">
        <f t="shared" si="173"/>
        <v>2.9300000000000003E-2</v>
      </c>
      <c r="P27" s="2882">
        <f t="shared" si="173"/>
        <v>4.5400000000000003E-2</v>
      </c>
      <c r="Q27" s="2882">
        <f t="shared" si="173"/>
        <v>1.4800000000000001E-2</v>
      </c>
      <c r="R27" s="2897"/>
      <c r="S27" s="2898">
        <f>B27/B28-1</f>
        <v>4.1203450408792808E-2</v>
      </c>
      <c r="T27" s="2899">
        <f>C27/C28-1</f>
        <v>2.6363977342465095E-2</v>
      </c>
      <c r="U27" s="2899">
        <f>E27/E28-1</f>
        <v>4.4837114298626357E-2</v>
      </c>
      <c r="V27" s="2899">
        <f>F27/F28-1</f>
        <v>1.7099954922538574E-2</v>
      </c>
      <c r="X27" s="2881">
        <f>ROUND(SUMPRODUCT(PRODUCT(1+N27:N$34)),4)</f>
        <v>1.1269</v>
      </c>
      <c r="Y27" s="2881">
        <f>ROUND(SUMPRODUCT(PRODUCT(1+O27:O$34)),4)</f>
        <v>1.1052999999999999</v>
      </c>
      <c r="Z27" s="2881">
        <f t="shared" si="0"/>
        <v>1.1052999999999999</v>
      </c>
      <c r="AA27" s="2881">
        <f>ROUND(SUMPRODUCT(PRODUCT(1+P27:P$34)),4)</f>
        <v>1.1349</v>
      </c>
      <c r="AB27" s="2881">
        <f>ROUND(SUMPRODUCT(PRODUCT(1+Q27:Q$34)),4)</f>
        <v>1.0996999999999999</v>
      </c>
      <c r="AD27" s="2882">
        <f>ROUND(AVERAGE(I27:I$35)/100,4)</f>
        <v>1.67E-2</v>
      </c>
      <c r="AE27" s="2882">
        <f>ROUND(AVERAGE(J27:J$35)/100,4)</f>
        <v>1.38E-2</v>
      </c>
      <c r="AF27" s="2882">
        <f t="shared" si="1"/>
        <v>1.38E-2</v>
      </c>
      <c r="AG27" s="2882">
        <f>ROUND(AVERAGE(K27:K$35)/100,4)</f>
        <v>1.7899999999999999E-2</v>
      </c>
      <c r="AH27" s="2882">
        <f>ROUND(AVERAGE(L27:L$35)/100,4)</f>
        <v>1.21E-2</v>
      </c>
    </row>
    <row r="28" spans="1:34" ht="13.5" thickBot="1">
      <c r="A28" s="2893" t="s">
        <v>957</v>
      </c>
      <c r="B28" s="2915">
        <v>333</v>
      </c>
      <c r="C28" s="2915">
        <v>277</v>
      </c>
      <c r="D28" s="2915">
        <f t="shared" si="175"/>
        <v>277</v>
      </c>
      <c r="E28" s="2915">
        <v>459</v>
      </c>
      <c r="F28" s="2916">
        <v>249</v>
      </c>
      <c r="G28" s="3721">
        <v>2015</v>
      </c>
      <c r="H28" s="2917">
        <v>4</v>
      </c>
      <c r="I28" s="2917">
        <v>1.63</v>
      </c>
      <c r="J28" s="2917">
        <v>1.1100000000000001</v>
      </c>
      <c r="K28" s="2917">
        <v>1.77</v>
      </c>
      <c r="L28" s="2918">
        <v>1.89</v>
      </c>
      <c r="N28" s="2912">
        <f t="shared" si="177"/>
        <v>1.6299999999999999E-2</v>
      </c>
      <c r="O28" s="2913">
        <f t="shared" si="173"/>
        <v>1.11E-2</v>
      </c>
      <c r="P28" s="2913">
        <f t="shared" si="173"/>
        <v>1.77E-2</v>
      </c>
      <c r="Q28" s="2913">
        <f t="shared" si="173"/>
        <v>1.89E-2</v>
      </c>
      <c r="R28" s="2897"/>
      <c r="X28" s="2881">
        <f>ROUND(SUMPRODUCT(PRODUCT(1+N28:N$34)),4)</f>
        <v>1.0826</v>
      </c>
      <c r="Y28" s="2881">
        <f>ROUND(SUMPRODUCT(PRODUCT(1+O28:O$34)),4)</f>
        <v>1.0738000000000001</v>
      </c>
      <c r="Z28" s="2881">
        <f t="shared" si="0"/>
        <v>1.0738000000000001</v>
      </c>
      <c r="AA28" s="2881">
        <f>ROUND(SUMPRODUCT(PRODUCT(1+P28:P$34)),4)</f>
        <v>1.0855999999999999</v>
      </c>
      <c r="AB28" s="2881">
        <f>ROUND(SUMPRODUCT(PRODUCT(1+Q28:Q$34)),4)</f>
        <v>1.0837000000000001</v>
      </c>
      <c r="AD28" s="2882">
        <f>ROUND(AVERAGE(I28:I$35)/100,4)</f>
        <v>1.37E-2</v>
      </c>
      <c r="AE28" s="2882">
        <f>ROUND(AVERAGE(J28:J$35)/100,4)</f>
        <v>1.1900000000000001E-2</v>
      </c>
      <c r="AF28" s="2882">
        <f t="shared" si="1"/>
        <v>1.1900000000000001E-2</v>
      </c>
      <c r="AG28" s="2882">
        <f>ROUND(AVERAGE(K28:K$35)/100,4)</f>
        <v>1.4500000000000001E-2</v>
      </c>
      <c r="AH28" s="2882">
        <f>ROUND(AVERAGE(L28:L$35)/100,4)</f>
        <v>1.18E-2</v>
      </c>
    </row>
    <row r="29" spans="1:34">
      <c r="A29" s="2893" t="s">
        <v>956</v>
      </c>
      <c r="B29" s="2894">
        <f t="shared" ref="B29:C31" si="178">B28/(1+N28)</f>
        <v>327.65915576109415</v>
      </c>
      <c r="C29" s="2894">
        <f t="shared" si="178"/>
        <v>273.95905449510434</v>
      </c>
      <c r="D29" s="2894">
        <f t="shared" si="175"/>
        <v>273.95905449510434</v>
      </c>
      <c r="E29" s="2894">
        <f t="shared" ref="E29:F31" si="179">E28/(1+P28)</f>
        <v>451.01699911565294</v>
      </c>
      <c r="F29" s="2894">
        <f t="shared" si="179"/>
        <v>244.38119540681129</v>
      </c>
      <c r="G29" s="3719"/>
      <c r="H29" s="2920">
        <v>3</v>
      </c>
      <c r="I29" s="2920">
        <v>1.65</v>
      </c>
      <c r="J29" s="2920">
        <v>0.92</v>
      </c>
      <c r="K29" s="2920">
        <v>1.88</v>
      </c>
      <c r="L29" s="2921">
        <v>1.26</v>
      </c>
      <c r="N29" s="2896">
        <f t="shared" si="177"/>
        <v>1.6500000000000001E-2</v>
      </c>
      <c r="O29" s="2914">
        <f t="shared" si="173"/>
        <v>9.1999999999999998E-3</v>
      </c>
      <c r="P29" s="2914">
        <f t="shared" si="173"/>
        <v>1.8799999999999997E-2</v>
      </c>
      <c r="Q29" s="2914">
        <f t="shared" si="173"/>
        <v>1.26E-2</v>
      </c>
      <c r="R29" s="2897"/>
      <c r="S29" s="2896"/>
      <c r="T29" s="2882"/>
      <c r="U29" s="2882"/>
      <c r="V29" s="2882"/>
      <c r="X29" s="2881">
        <f>ROUND(SUMPRODUCT(PRODUCT(1+N29:N$34)),4)</f>
        <v>1.0651999999999999</v>
      </c>
      <c r="Y29" s="2881">
        <f>ROUND(SUMPRODUCT(PRODUCT(1+O29:O$34)),4)</f>
        <v>1.0621</v>
      </c>
      <c r="Z29" s="2881">
        <f t="shared" si="0"/>
        <v>1.0621</v>
      </c>
      <c r="AA29" s="2881">
        <f>ROUND(SUMPRODUCT(PRODUCT(1+P29:P$34)),4)</f>
        <v>1.0668</v>
      </c>
      <c r="AB29" s="2881">
        <f>ROUND(SUMPRODUCT(PRODUCT(1+Q29:Q$34)),4)</f>
        <v>1.0636000000000001</v>
      </c>
      <c r="AD29" s="2882">
        <f>ROUND(AVERAGE(I29:I$35)/100,4)</f>
        <v>1.3299999999999999E-2</v>
      </c>
      <c r="AE29" s="2882">
        <f>ROUND(AVERAGE(J29:J$35)/100,4)</f>
        <v>1.2E-2</v>
      </c>
      <c r="AF29" s="2882">
        <f t="shared" si="1"/>
        <v>1.2E-2</v>
      </c>
      <c r="AG29" s="2882">
        <f>ROUND(AVERAGE(K29:K$35)/100,4)</f>
        <v>1.4E-2</v>
      </c>
      <c r="AH29" s="2882">
        <f>ROUND(AVERAGE(L29:L$35)/100,4)</f>
        <v>1.0800000000000001E-2</v>
      </c>
    </row>
    <row r="30" spans="1:34">
      <c r="A30" s="2893" t="s">
        <v>955</v>
      </c>
      <c r="B30" s="2894">
        <f t="shared" si="178"/>
        <v>322.34053690220776</v>
      </c>
      <c r="C30" s="2894">
        <f t="shared" si="178"/>
        <v>271.46160770422546</v>
      </c>
      <c r="D30" s="2894">
        <f t="shared" si="175"/>
        <v>271.46160770422546</v>
      </c>
      <c r="E30" s="2894">
        <f t="shared" si="179"/>
        <v>442.69434542172456</v>
      </c>
      <c r="F30" s="2894">
        <f t="shared" si="179"/>
        <v>241.34030753190925</v>
      </c>
      <c r="G30" s="3719"/>
      <c r="H30" s="2908">
        <v>2</v>
      </c>
      <c r="I30" s="2908">
        <v>0.77</v>
      </c>
      <c r="J30" s="2908">
        <v>0.69</v>
      </c>
      <c r="K30" s="2908">
        <v>0.8</v>
      </c>
      <c r="L30" s="2909">
        <v>0.88</v>
      </c>
      <c r="N30" s="2896">
        <f t="shared" si="177"/>
        <v>7.7000000000000002E-3</v>
      </c>
      <c r="O30" s="2914">
        <f t="shared" si="173"/>
        <v>6.8999999999999999E-3</v>
      </c>
      <c r="P30" s="2914">
        <f t="shared" si="173"/>
        <v>8.0000000000000002E-3</v>
      </c>
      <c r="Q30" s="2914">
        <f t="shared" si="173"/>
        <v>8.8000000000000005E-3</v>
      </c>
      <c r="R30" s="2897"/>
      <c r="S30" s="2896"/>
      <c r="T30" s="2882"/>
      <c r="U30" s="2882"/>
      <c r="V30" s="2882"/>
      <c r="X30" s="2881">
        <f>ROUND(SUMPRODUCT(PRODUCT(1+N30:N$34)),4)</f>
        <v>1.048</v>
      </c>
      <c r="Y30" s="2881">
        <f>ROUND(SUMPRODUCT(PRODUCT(1+O30:O$34)),4)</f>
        <v>1.0524</v>
      </c>
      <c r="Z30" s="2881">
        <f t="shared" si="0"/>
        <v>1.0524</v>
      </c>
      <c r="AA30" s="2881">
        <f>ROUND(SUMPRODUCT(PRODUCT(1+P30:P$34)),4)</f>
        <v>1.0470999999999999</v>
      </c>
      <c r="AB30" s="2881">
        <f>ROUND(SUMPRODUCT(PRODUCT(1+Q30:Q$34)),4)</f>
        <v>1.0504</v>
      </c>
      <c r="AD30" s="2882">
        <f>ROUND(AVERAGE(I30:I$35)/100,4)</f>
        <v>1.2800000000000001E-2</v>
      </c>
      <c r="AE30" s="2882">
        <f>ROUND(AVERAGE(J30:J$35)/100,4)</f>
        <v>1.2500000000000001E-2</v>
      </c>
      <c r="AF30" s="2882">
        <f t="shared" si="1"/>
        <v>1.2500000000000001E-2</v>
      </c>
      <c r="AG30" s="2882">
        <f>ROUND(AVERAGE(K30:K$35)/100,4)</f>
        <v>1.32E-2</v>
      </c>
      <c r="AH30" s="2882">
        <f>ROUND(AVERAGE(L30:L$35)/100,4)</f>
        <v>1.0500000000000001E-2</v>
      </c>
    </row>
    <row r="31" spans="1:34">
      <c r="A31" s="2893" t="s">
        <v>954</v>
      </c>
      <c r="B31" s="2894">
        <f t="shared" si="178"/>
        <v>319.87748030386797</v>
      </c>
      <c r="C31" s="2894">
        <f t="shared" si="178"/>
        <v>269.60135833173649</v>
      </c>
      <c r="D31" s="2894">
        <f t="shared" si="175"/>
        <v>269.60135833173649</v>
      </c>
      <c r="E31" s="2894">
        <f t="shared" si="179"/>
        <v>439.18089823583784</v>
      </c>
      <c r="F31" s="2894">
        <f t="shared" si="179"/>
        <v>239.23503918706311</v>
      </c>
      <c r="G31" s="3722"/>
      <c r="H31" s="2895">
        <v>1</v>
      </c>
      <c r="I31" s="2895">
        <v>0.51</v>
      </c>
      <c r="J31" s="2895">
        <v>0.54</v>
      </c>
      <c r="K31" s="2895">
        <v>0.48</v>
      </c>
      <c r="L31" s="2901">
        <v>0.93</v>
      </c>
      <c r="N31" s="2898">
        <f t="shared" si="177"/>
        <v>5.1000000000000004E-3</v>
      </c>
      <c r="O31" s="2899">
        <f t="shared" si="173"/>
        <v>5.4000000000000003E-3</v>
      </c>
      <c r="P31" s="2899">
        <f t="shared" si="173"/>
        <v>4.7999999999999996E-3</v>
      </c>
      <c r="Q31" s="2899">
        <f t="shared" si="173"/>
        <v>9.300000000000001E-3</v>
      </c>
      <c r="R31" s="2897"/>
      <c r="S31" s="2898">
        <f>B31/B32-1</f>
        <v>5.9040261127922822E-3</v>
      </c>
      <c r="T31" s="2899">
        <f>C31/C32-1</f>
        <v>5.9752176557332781E-3</v>
      </c>
      <c r="U31" s="2899">
        <f>E31/E32-1</f>
        <v>4.9906138119859556E-3</v>
      </c>
      <c r="V31" s="2899">
        <f>F31/F32-1</f>
        <v>9.4305450930933787E-3</v>
      </c>
      <c r="X31" s="2881">
        <f>ROUND(SUMPRODUCT(PRODUCT(1+N31:N$34)),4)</f>
        <v>1.0399</v>
      </c>
      <c r="Y31" s="2881">
        <f>ROUND(SUMPRODUCT(PRODUCT(1+O31:O$34)),4)</f>
        <v>1.0451999999999999</v>
      </c>
      <c r="Z31" s="2881">
        <f t="shared" si="0"/>
        <v>1.0451999999999999</v>
      </c>
      <c r="AA31" s="2881">
        <f>ROUND(SUMPRODUCT(PRODUCT(1+P31:P$34)),4)</f>
        <v>1.0387999999999999</v>
      </c>
      <c r="AB31" s="2881">
        <f>ROUND(SUMPRODUCT(PRODUCT(1+Q31:Q$34)),4)</f>
        <v>1.0411999999999999</v>
      </c>
      <c r="AD31" s="2882">
        <f>ROUND(AVERAGE(I31:I$35)/100,4)</f>
        <v>1.38E-2</v>
      </c>
      <c r="AE31" s="2882">
        <f>ROUND(AVERAGE(J31:J$35)/100,4)</f>
        <v>1.3599999999999999E-2</v>
      </c>
      <c r="AF31" s="2882">
        <f t="shared" si="1"/>
        <v>1.3599999999999999E-2</v>
      </c>
      <c r="AG31" s="2882">
        <f>ROUND(AVERAGE(K31:K$35)/100,4)</f>
        <v>1.4200000000000001E-2</v>
      </c>
      <c r="AH31" s="2882">
        <f>ROUND(AVERAGE(L31:L$35)/100,4)</f>
        <v>1.0800000000000001E-2</v>
      </c>
    </row>
    <row r="32" spans="1:34" ht="13.5" thickBot="1">
      <c r="A32" s="2893" t="s">
        <v>953</v>
      </c>
      <c r="B32" s="2922">
        <v>318</v>
      </c>
      <c r="C32" s="2922">
        <v>268</v>
      </c>
      <c r="D32" s="2922">
        <f t="shared" si="175"/>
        <v>268</v>
      </c>
      <c r="E32" s="2922">
        <v>437</v>
      </c>
      <c r="F32" s="2923">
        <v>237</v>
      </c>
      <c r="G32" s="3721">
        <v>2014</v>
      </c>
      <c r="H32" s="2917">
        <v>4</v>
      </c>
      <c r="I32" s="2917">
        <v>0.21</v>
      </c>
      <c r="J32" s="2917">
        <v>0.41</v>
      </c>
      <c r="K32" s="2917">
        <v>0.12</v>
      </c>
      <c r="L32" s="2918">
        <v>0.89</v>
      </c>
      <c r="N32" s="2896">
        <f t="shared" si="177"/>
        <v>2.0999999999999999E-3</v>
      </c>
      <c r="O32" s="2882">
        <f t="shared" si="173"/>
        <v>4.0999999999999995E-3</v>
      </c>
      <c r="P32" s="2882">
        <f t="shared" si="173"/>
        <v>1.1999999999999999E-3</v>
      </c>
      <c r="Q32" s="2882">
        <f t="shared" si="173"/>
        <v>8.8999999999999999E-3</v>
      </c>
      <c r="R32" s="2897"/>
      <c r="S32" s="2906"/>
      <c r="T32" s="2907"/>
      <c r="U32" s="2907"/>
      <c r="V32" s="2907"/>
      <c r="X32" s="2881">
        <f>ROUND(SUMPRODUCT(PRODUCT(1+N32:N$34)),4)</f>
        <v>1.0347</v>
      </c>
      <c r="Y32" s="2881">
        <f>ROUND(SUMPRODUCT(PRODUCT(1+O32:O$34)),4)</f>
        <v>1.0395000000000001</v>
      </c>
      <c r="Z32" s="2881">
        <f t="shared" si="0"/>
        <v>1.0395000000000001</v>
      </c>
      <c r="AA32" s="2881">
        <f>ROUND(SUMPRODUCT(PRODUCT(1+P32:P$34)),4)</f>
        <v>1.0338000000000001</v>
      </c>
      <c r="AB32" s="2881">
        <f>ROUND(SUMPRODUCT(PRODUCT(1+Q32:Q$34)),4)</f>
        <v>1.0316000000000001</v>
      </c>
      <c r="AD32" s="2882">
        <f>ROUND(AVERAGE(I32:I$35)/100,4)</f>
        <v>1.6E-2</v>
      </c>
      <c r="AE32" s="2882">
        <f>ROUND(AVERAGE(J32:J$35)/100,4)</f>
        <v>1.5599999999999999E-2</v>
      </c>
      <c r="AF32" s="2882">
        <f t="shared" si="1"/>
        <v>1.5599999999999999E-2</v>
      </c>
      <c r="AG32" s="2882">
        <f>ROUND(AVERAGE(K32:K$35)/100,4)</f>
        <v>1.66E-2</v>
      </c>
      <c r="AH32" s="2882">
        <f>ROUND(AVERAGE(L32:L$35)/100,4)</f>
        <v>1.12E-2</v>
      </c>
    </row>
    <row r="33" spans="1:34">
      <c r="A33" s="2893" t="s">
        <v>952</v>
      </c>
      <c r="B33" s="2894">
        <f t="shared" ref="B33:C35" si="180">B32/(1+N32)</f>
        <v>317.33359944117353</v>
      </c>
      <c r="C33" s="2894">
        <f t="shared" si="180"/>
        <v>266.90568668459315</v>
      </c>
      <c r="D33" s="2894">
        <f t="shared" si="175"/>
        <v>266.90568668459315</v>
      </c>
      <c r="E33" s="2894">
        <f t="shared" ref="E33:F35" si="181">E32/(1+P32)</f>
        <v>436.47622852576905</v>
      </c>
      <c r="F33" s="2894">
        <f t="shared" si="181"/>
        <v>234.90930716622066</v>
      </c>
      <c r="G33" s="3719"/>
      <c r="H33" s="2924">
        <v>3</v>
      </c>
      <c r="I33" s="2924">
        <v>0.83</v>
      </c>
      <c r="J33" s="2924">
        <v>1.47</v>
      </c>
      <c r="K33" s="2924">
        <v>0.65</v>
      </c>
      <c r="L33" s="2925">
        <v>0.72</v>
      </c>
      <c r="N33" s="2896">
        <f t="shared" si="177"/>
        <v>8.3000000000000001E-3</v>
      </c>
      <c r="O33" s="2882">
        <f t="shared" si="173"/>
        <v>1.47E-2</v>
      </c>
      <c r="P33" s="2882">
        <f t="shared" si="173"/>
        <v>6.5000000000000006E-3</v>
      </c>
      <c r="Q33" s="2882">
        <f t="shared" si="173"/>
        <v>7.1999999999999998E-3</v>
      </c>
      <c r="R33" s="2897"/>
      <c r="S33" s="2896"/>
      <c r="T33" s="2882"/>
      <c r="U33" s="2882"/>
      <c r="V33" s="2882"/>
      <c r="X33" s="2881">
        <f>ROUND(SUMPRODUCT(PRODUCT(1+N33:N$34)),4)</f>
        <v>1.0325</v>
      </c>
      <c r="Y33" s="2881">
        <f>ROUND(SUMPRODUCT(PRODUCT(1+O33:O$34)),4)</f>
        <v>1.0353000000000001</v>
      </c>
      <c r="Z33" s="2881">
        <f t="shared" ref="Z33:Z34" si="182">Y33</f>
        <v>1.0353000000000001</v>
      </c>
      <c r="AA33" s="2881">
        <f>ROUND(SUMPRODUCT(PRODUCT(1+P33:P$34)),4)</f>
        <v>1.0326</v>
      </c>
      <c r="AB33" s="2881">
        <f>ROUND(SUMPRODUCT(PRODUCT(1+Q33:Q$34)),4)</f>
        <v>1.0225</v>
      </c>
      <c r="AD33" s="2882">
        <f>ROUND(AVERAGE(I33:I$35)/100,4)</f>
        <v>2.07E-2</v>
      </c>
      <c r="AE33" s="2882">
        <f>ROUND(AVERAGE(J33:J$35)/100,4)</f>
        <v>1.95E-2</v>
      </c>
      <c r="AF33" s="2882">
        <f t="shared" si="1"/>
        <v>1.95E-2</v>
      </c>
      <c r="AG33" s="2882">
        <f>ROUND(AVERAGE(K33:K$35)/100,4)</f>
        <v>2.1700000000000001E-2</v>
      </c>
      <c r="AH33" s="2882">
        <f>ROUND(AVERAGE(L33:L$35)/100,4)</f>
        <v>1.2E-2</v>
      </c>
    </row>
    <row r="34" spans="1:34" ht="13.5" thickBot="1">
      <c r="A34" s="2893" t="s">
        <v>951</v>
      </c>
      <c r="B34" s="2894">
        <f t="shared" si="180"/>
        <v>314.72141172386546</v>
      </c>
      <c r="C34" s="2894">
        <f t="shared" si="180"/>
        <v>263.03901319069001</v>
      </c>
      <c r="D34" s="2894">
        <f t="shared" si="175"/>
        <v>263.03901319069001</v>
      </c>
      <c r="E34" s="2894">
        <f t="shared" si="181"/>
        <v>433.65745506782821</v>
      </c>
      <c r="F34" s="2894">
        <f t="shared" si="181"/>
        <v>233.23005080045735</v>
      </c>
      <c r="G34" s="3719"/>
      <c r="H34" s="2917">
        <v>2</v>
      </c>
      <c r="I34" s="2917">
        <v>2.4</v>
      </c>
      <c r="J34" s="2917">
        <v>2.0299999999999998</v>
      </c>
      <c r="K34" s="2917">
        <v>2.59</v>
      </c>
      <c r="L34" s="2918">
        <v>1.52</v>
      </c>
      <c r="N34" s="2896">
        <f t="shared" si="177"/>
        <v>2.4E-2</v>
      </c>
      <c r="O34" s="2882">
        <f t="shared" si="173"/>
        <v>2.0299999999999999E-2</v>
      </c>
      <c r="P34" s="2882">
        <f t="shared" si="173"/>
        <v>2.5899999999999999E-2</v>
      </c>
      <c r="Q34" s="2882">
        <f t="shared" si="173"/>
        <v>1.52E-2</v>
      </c>
      <c r="R34" s="2897"/>
      <c r="S34" s="2896"/>
      <c r="T34" s="2882"/>
      <c r="U34" s="2882"/>
      <c r="V34" s="2882"/>
      <c r="X34" s="2881">
        <f>1+N34</f>
        <v>1.024</v>
      </c>
      <c r="Y34" s="2881">
        <f>1+O34</f>
        <v>1.0203</v>
      </c>
      <c r="Z34" s="2881">
        <f t="shared" si="182"/>
        <v>1.0203</v>
      </c>
      <c r="AA34" s="2881">
        <f>1+P34</f>
        <v>1.0259</v>
      </c>
      <c r="AB34" s="2881">
        <f>1+Q34</f>
        <v>1.0152000000000001</v>
      </c>
      <c r="AD34" s="2882">
        <f>ROUND(AVERAGE(I34:I$35)/100,4)</f>
        <v>2.69E-2</v>
      </c>
      <c r="AE34" s="2882">
        <f>ROUND(AVERAGE(J34:J$35)/100,4)</f>
        <v>2.1899999999999999E-2</v>
      </c>
      <c r="AF34" s="2882">
        <f t="shared" ref="AF34" si="183">AE34</f>
        <v>2.1899999999999999E-2</v>
      </c>
      <c r="AG34" s="2882">
        <f>ROUND(AVERAGE(K34:K$35)/100,4)</f>
        <v>2.9399999999999999E-2</v>
      </c>
      <c r="AH34" s="2882">
        <f>ROUND(AVERAGE(L34:L$35)/100,4)</f>
        <v>1.44E-2</v>
      </c>
    </row>
    <row r="35" spans="1:34" s="2930" customFormat="1" ht="13.5" thickBot="1">
      <c r="A35" s="2926" t="s">
        <v>950</v>
      </c>
      <c r="B35" s="2927">
        <f t="shared" si="180"/>
        <v>307.34512863658733</v>
      </c>
      <c r="C35" s="2927">
        <f t="shared" si="180"/>
        <v>257.80556031626975</v>
      </c>
      <c r="D35" s="2927">
        <f t="shared" si="175"/>
        <v>257.80556031626975</v>
      </c>
      <c r="E35" s="2927">
        <f t="shared" si="181"/>
        <v>422.70928459677179</v>
      </c>
      <c r="F35" s="2927">
        <f t="shared" si="181"/>
        <v>229.73803270336617</v>
      </c>
      <c r="G35" s="3722"/>
      <c r="H35" s="2928">
        <v>1</v>
      </c>
      <c r="I35" s="2928">
        <v>2.97</v>
      </c>
      <c r="J35" s="2928">
        <v>2.34</v>
      </c>
      <c r="K35" s="2928">
        <v>3.28</v>
      </c>
      <c r="L35" s="2929">
        <v>1.36</v>
      </c>
      <c r="N35" s="2931">
        <f t="shared" si="177"/>
        <v>2.9700000000000001E-2</v>
      </c>
      <c r="O35" s="2932">
        <f t="shared" si="173"/>
        <v>2.3399999999999997E-2</v>
      </c>
      <c r="P35" s="2932">
        <f t="shared" si="173"/>
        <v>3.2799999999999996E-2</v>
      </c>
      <c r="Q35" s="2932">
        <f t="shared" si="173"/>
        <v>1.3600000000000001E-2</v>
      </c>
      <c r="R35" s="2933"/>
      <c r="S35" s="2934">
        <f>B35/B36-1</f>
        <v>2.7910129219355539E-2</v>
      </c>
      <c r="T35" s="2935">
        <f>C35/C36-1</f>
        <v>2.3037937762975247E-2</v>
      </c>
      <c r="U35" s="2935">
        <f>E35/E36-1</f>
        <v>3.3519033243940788E-2</v>
      </c>
      <c r="V35" s="2935">
        <f>F35/F36-1</f>
        <v>1.2061818076502862E-2</v>
      </c>
      <c r="W35" s="2936" t="s">
        <v>2618</v>
      </c>
      <c r="X35" s="2937">
        <v>1</v>
      </c>
      <c r="Y35" s="2937">
        <v>1</v>
      </c>
      <c r="Z35" s="2937">
        <v>1</v>
      </c>
      <c r="AA35" s="2937">
        <v>1</v>
      </c>
      <c r="AB35" s="2937">
        <v>1</v>
      </c>
      <c r="AD35" s="2932">
        <f>I35/100</f>
        <v>2.9700000000000001E-2</v>
      </c>
      <c r="AE35" s="2932">
        <f>J35/100</f>
        <v>2.3399999999999997E-2</v>
      </c>
      <c r="AF35" s="2932">
        <f>AE35</f>
        <v>2.3399999999999997E-2</v>
      </c>
      <c r="AG35" s="2932">
        <f>K35/100</f>
        <v>3.2799999999999996E-2</v>
      </c>
      <c r="AH35" s="2932">
        <f>L35/100</f>
        <v>1.3600000000000001E-2</v>
      </c>
    </row>
    <row r="36" spans="1:34" ht="13.5" thickBot="1">
      <c r="A36" s="2893" t="s">
        <v>2561</v>
      </c>
      <c r="B36" s="2915">
        <v>299</v>
      </c>
      <c r="C36" s="2915">
        <v>252</v>
      </c>
      <c r="D36" s="2915">
        <f t="shared" si="175"/>
        <v>252</v>
      </c>
      <c r="E36" s="2915">
        <v>409</v>
      </c>
      <c r="F36" s="2916">
        <v>227</v>
      </c>
      <c r="G36" s="3726">
        <v>2013</v>
      </c>
      <c r="H36" s="2938">
        <v>4</v>
      </c>
      <c r="I36" s="2938">
        <v>1.83</v>
      </c>
      <c r="J36" s="2938">
        <v>1.68</v>
      </c>
      <c r="K36" s="2938">
        <v>1.97</v>
      </c>
      <c r="L36" s="2939">
        <v>0.87</v>
      </c>
      <c r="N36" s="2912">
        <f t="shared" si="177"/>
        <v>1.83E-2</v>
      </c>
      <c r="O36" s="2913">
        <f t="shared" si="173"/>
        <v>1.6799999999999999E-2</v>
      </c>
      <c r="P36" s="2913">
        <f t="shared" si="173"/>
        <v>1.9699999999999999E-2</v>
      </c>
      <c r="Q36" s="2913">
        <f t="shared" si="173"/>
        <v>8.6999999999999994E-3</v>
      </c>
      <c r="R36" s="2897"/>
      <c r="S36" s="2906"/>
      <c r="T36" s="2907"/>
      <c r="U36" s="2907"/>
      <c r="V36" s="2907"/>
      <c r="X36" s="2907"/>
      <c r="Y36" s="2907"/>
      <c r="Z36" s="2907"/>
    </row>
    <row r="37" spans="1:34">
      <c r="A37" s="2893" t="s">
        <v>2562</v>
      </c>
      <c r="B37" s="2894">
        <f t="shared" ref="B37:C39" si="184">B36/(1+N36)</f>
        <v>293.62663262299913</v>
      </c>
      <c r="C37" s="2894">
        <f t="shared" si="184"/>
        <v>247.83634933123525</v>
      </c>
      <c r="D37" s="2894">
        <f t="shared" si="175"/>
        <v>247.83634933123525</v>
      </c>
      <c r="E37" s="2894">
        <f t="shared" ref="E37:F39" si="185">E36/(1+P36)</f>
        <v>401.09836226341076</v>
      </c>
      <c r="F37" s="2894">
        <f t="shared" si="185"/>
        <v>225.04213343908003</v>
      </c>
      <c r="G37" s="3727"/>
      <c r="H37" s="2920">
        <v>3</v>
      </c>
      <c r="I37" s="2920">
        <v>1.86</v>
      </c>
      <c r="J37" s="2920">
        <v>1.72</v>
      </c>
      <c r="K37" s="2920">
        <v>1.98</v>
      </c>
      <c r="L37" s="2921">
        <v>0.88</v>
      </c>
      <c r="N37" s="2896">
        <f t="shared" si="177"/>
        <v>1.8600000000000002E-2</v>
      </c>
      <c r="O37" s="2914">
        <f t="shared" si="173"/>
        <v>1.72E-2</v>
      </c>
      <c r="P37" s="2914">
        <f t="shared" si="173"/>
        <v>1.9799999999999998E-2</v>
      </c>
      <c r="Q37" s="2914">
        <f t="shared" si="173"/>
        <v>8.8000000000000005E-3</v>
      </c>
      <c r="R37" s="2897"/>
      <c r="S37" s="2896"/>
      <c r="T37" s="2882"/>
      <c r="U37" s="2882"/>
      <c r="V37" s="2882"/>
    </row>
    <row r="38" spans="1:34">
      <c r="A38" s="2893" t="s">
        <v>2563</v>
      </c>
      <c r="B38" s="2894">
        <f t="shared" si="184"/>
        <v>288.2649053828776</v>
      </c>
      <c r="C38" s="2894">
        <f t="shared" si="184"/>
        <v>243.64564425013293</v>
      </c>
      <c r="D38" s="2894">
        <f t="shared" si="175"/>
        <v>243.64564425013293</v>
      </c>
      <c r="E38" s="2894">
        <f t="shared" si="185"/>
        <v>393.31080825986544</v>
      </c>
      <c r="F38" s="2894">
        <f t="shared" si="185"/>
        <v>223.07903790551154</v>
      </c>
      <c r="G38" s="3727"/>
      <c r="H38" s="2908">
        <v>2</v>
      </c>
      <c r="I38" s="2908">
        <v>2.04</v>
      </c>
      <c r="J38" s="2908">
        <v>2.33</v>
      </c>
      <c r="K38" s="2908">
        <v>2.0699999999999998</v>
      </c>
      <c r="L38" s="2909">
        <v>0.69</v>
      </c>
      <c r="N38" s="2896">
        <f t="shared" si="177"/>
        <v>2.0400000000000001E-2</v>
      </c>
      <c r="O38" s="2914">
        <f t="shared" si="173"/>
        <v>2.3300000000000001E-2</v>
      </c>
      <c r="P38" s="2914">
        <f t="shared" si="173"/>
        <v>2.07E-2</v>
      </c>
      <c r="Q38" s="2914">
        <f t="shared" si="173"/>
        <v>6.8999999999999999E-3</v>
      </c>
      <c r="R38" s="2897"/>
      <c r="S38" s="2896"/>
      <c r="T38" s="2882"/>
      <c r="U38" s="2882"/>
      <c r="V38" s="2882"/>
      <c r="X38" s="2940"/>
      <c r="Y38" s="2941"/>
    </row>
    <row r="39" spans="1:34">
      <c r="A39" s="2893" t="s">
        <v>2564</v>
      </c>
      <c r="B39" s="2894">
        <f t="shared" si="184"/>
        <v>282.50186729015837</v>
      </c>
      <c r="C39" s="2894">
        <f t="shared" si="184"/>
        <v>238.09796174155468</v>
      </c>
      <c r="D39" s="2894">
        <f t="shared" si="175"/>
        <v>238.09796174155468</v>
      </c>
      <c r="E39" s="2894">
        <f t="shared" si="185"/>
        <v>385.33438646014054</v>
      </c>
      <c r="F39" s="2894">
        <f t="shared" si="185"/>
        <v>221.55034055567739</v>
      </c>
      <c r="G39" s="3728"/>
      <c r="H39" s="2895">
        <v>1</v>
      </c>
      <c r="I39" s="2895">
        <v>1.67</v>
      </c>
      <c r="J39" s="2895">
        <v>1.31</v>
      </c>
      <c r="K39" s="2895">
        <v>1.85</v>
      </c>
      <c r="L39" s="2901">
        <v>0.96</v>
      </c>
      <c r="N39" s="2898">
        <f t="shared" si="177"/>
        <v>1.67E-2</v>
      </c>
      <c r="O39" s="2899">
        <f t="shared" si="173"/>
        <v>1.3100000000000001E-2</v>
      </c>
      <c r="P39" s="2899">
        <f t="shared" si="173"/>
        <v>1.8500000000000003E-2</v>
      </c>
      <c r="Q39" s="2899">
        <f t="shared" si="173"/>
        <v>9.5999999999999992E-3</v>
      </c>
      <c r="R39" s="2897"/>
      <c r="S39" s="2898">
        <f>B39/B40-1</f>
        <v>1.6193767230785472E-2</v>
      </c>
      <c r="T39" s="2899">
        <f>C39/C40-1</f>
        <v>1.7512657015190891E-2</v>
      </c>
      <c r="U39" s="2899">
        <f>E39/E40-1</f>
        <v>1.6713420739157048E-2</v>
      </c>
      <c r="V39" s="2899">
        <f>F39/F40-1</f>
        <v>7.0470025258062563E-3</v>
      </c>
      <c r="X39" s="2942"/>
      <c r="Y39" s="2882"/>
      <c r="Z39" s="2882"/>
    </row>
    <row r="40" spans="1:34" ht="13.5" thickBot="1">
      <c r="A40" s="2893" t="s">
        <v>2565</v>
      </c>
      <c r="B40" s="2943">
        <v>278</v>
      </c>
      <c r="C40" s="2943">
        <v>234</v>
      </c>
      <c r="D40" s="2943">
        <f t="shared" si="175"/>
        <v>234</v>
      </c>
      <c r="E40" s="2943">
        <v>379</v>
      </c>
      <c r="F40" s="2944">
        <v>220</v>
      </c>
      <c r="G40" s="3721">
        <v>2012</v>
      </c>
      <c r="H40" s="2917">
        <v>4</v>
      </c>
      <c r="I40" s="2917">
        <v>0.91</v>
      </c>
      <c r="J40" s="2917">
        <v>0.68</v>
      </c>
      <c r="K40" s="2917">
        <v>0.98</v>
      </c>
      <c r="L40" s="2918">
        <v>0.9</v>
      </c>
      <c r="N40" s="2896">
        <f t="shared" si="177"/>
        <v>9.1000000000000004E-3</v>
      </c>
      <c r="O40" s="2882">
        <f t="shared" si="177"/>
        <v>6.8000000000000005E-3</v>
      </c>
      <c r="P40" s="2882">
        <f t="shared" si="177"/>
        <v>9.7999999999999997E-3</v>
      </c>
      <c r="Q40" s="2882">
        <f t="shared" si="177"/>
        <v>9.0000000000000011E-3</v>
      </c>
      <c r="R40" s="2897"/>
      <c r="S40" s="2906"/>
      <c r="T40" s="2907"/>
      <c r="U40" s="2907"/>
      <c r="V40" s="2907"/>
      <c r="X40" s="2907"/>
      <c r="Y40" s="2907"/>
      <c r="Z40" s="2907"/>
    </row>
    <row r="41" spans="1:34">
      <c r="A41" s="2893" t="s">
        <v>2566</v>
      </c>
      <c r="B41" s="2894">
        <f>B40/(1+N40)</f>
        <v>275.49301357645425</v>
      </c>
      <c r="C41" s="2894">
        <f>C40/(1+O40)</f>
        <v>232.41954707985698</v>
      </c>
      <c r="D41" s="2894">
        <f t="shared" si="175"/>
        <v>232.41954707985698</v>
      </c>
      <c r="E41" s="2894">
        <f t="shared" ref="E41:F43" si="186">E40/(1+P40)</f>
        <v>375.32184591008121</v>
      </c>
      <c r="F41" s="2894">
        <f t="shared" si="186"/>
        <v>218.03766105054513</v>
      </c>
      <c r="G41" s="3719"/>
      <c r="H41" s="2920">
        <v>3</v>
      </c>
      <c r="I41" s="2920">
        <v>0.09</v>
      </c>
      <c r="J41" s="2920">
        <v>0.28999999999999998</v>
      </c>
      <c r="K41" s="2920">
        <v>-0.01</v>
      </c>
      <c r="L41" s="2921">
        <v>0.57999999999999996</v>
      </c>
      <c r="N41" s="2896">
        <f t="shared" si="177"/>
        <v>8.9999999999999998E-4</v>
      </c>
      <c r="O41" s="2882">
        <f t="shared" si="177"/>
        <v>2.8999999999999998E-3</v>
      </c>
      <c r="P41" s="2882">
        <f t="shared" si="177"/>
        <v>-1E-4</v>
      </c>
      <c r="Q41" s="2882">
        <f t="shared" si="177"/>
        <v>5.7999999999999996E-3</v>
      </c>
      <c r="R41" s="2897"/>
      <c r="S41" s="2896"/>
      <c r="T41" s="2882"/>
      <c r="U41" s="2882"/>
      <c r="V41" s="2882"/>
    </row>
    <row r="42" spans="1:34">
      <c r="A42" s="2893" t="s">
        <v>2567</v>
      </c>
      <c r="B42" s="2894">
        <f>B41/(1+N41)</f>
        <v>275.24529281292263</v>
      </c>
      <c r="C42" s="2894">
        <f>C41/(1+O41)</f>
        <v>231.74747938962707</v>
      </c>
      <c r="D42" s="2894">
        <f t="shared" si="175"/>
        <v>231.74747938962707</v>
      </c>
      <c r="E42" s="2894">
        <f t="shared" si="186"/>
        <v>375.35938184826603</v>
      </c>
      <c r="F42" s="2894">
        <f t="shared" si="186"/>
        <v>216.78033510692495</v>
      </c>
      <c r="G42" s="3719"/>
      <c r="H42" s="2908">
        <v>2</v>
      </c>
      <c r="I42" s="2908">
        <v>0.02</v>
      </c>
      <c r="J42" s="2908">
        <v>0.12</v>
      </c>
      <c r="K42" s="2908">
        <v>-0.08</v>
      </c>
      <c r="L42" s="2909">
        <v>1.24</v>
      </c>
      <c r="N42" s="2896">
        <f t="shared" si="177"/>
        <v>2.0000000000000001E-4</v>
      </c>
      <c r="O42" s="2882">
        <f t="shared" si="177"/>
        <v>1.1999999999999999E-3</v>
      </c>
      <c r="P42" s="2882">
        <f t="shared" si="177"/>
        <v>-8.0000000000000004E-4</v>
      </c>
      <c r="Q42" s="2882">
        <f t="shared" si="177"/>
        <v>1.24E-2</v>
      </c>
      <c r="R42" s="2897"/>
      <c r="S42" s="2896"/>
      <c r="T42" s="2882"/>
      <c r="U42" s="2882"/>
      <c r="V42" s="2882"/>
    </row>
    <row r="43" spans="1:34" ht="13.5" thickBot="1">
      <c r="A43" s="2893" t="s">
        <v>2568</v>
      </c>
      <c r="B43" s="2894">
        <f>B42/(1+N42)</f>
        <v>275.19025476197027</v>
      </c>
      <c r="C43" s="2945">
        <v>232</v>
      </c>
      <c r="D43" s="2945">
        <f t="shared" si="175"/>
        <v>232</v>
      </c>
      <c r="E43" s="2894">
        <f t="shared" si="186"/>
        <v>375.65990977608692</v>
      </c>
      <c r="F43" s="2894">
        <f t="shared" si="186"/>
        <v>214.12518283971252</v>
      </c>
      <c r="G43" s="3722"/>
      <c r="H43" s="2895">
        <v>1</v>
      </c>
      <c r="I43" s="2895">
        <v>0.02</v>
      </c>
      <c r="J43" s="2895">
        <v>0.13</v>
      </c>
      <c r="K43" s="2895">
        <v>-0.04</v>
      </c>
      <c r="L43" s="2901">
        <v>0.46</v>
      </c>
      <c r="N43" s="2896">
        <f t="shared" si="177"/>
        <v>2.0000000000000001E-4</v>
      </c>
      <c r="O43" s="2882">
        <f t="shared" si="177"/>
        <v>1.2999999999999999E-3</v>
      </c>
      <c r="P43" s="2882">
        <f t="shared" si="177"/>
        <v>-4.0000000000000002E-4</v>
      </c>
      <c r="Q43" s="2882">
        <f t="shared" si="177"/>
        <v>4.5999999999999999E-3</v>
      </c>
      <c r="R43" s="2897"/>
      <c r="S43" s="2898">
        <f>B43/B44-1</f>
        <v>6.9183549807361189E-4</v>
      </c>
      <c r="T43" s="2899">
        <f>C43/C44-1</f>
        <v>0</v>
      </c>
      <c r="U43" s="2899">
        <f>E43/E44-1</f>
        <v>-9.0449527636460303E-4</v>
      </c>
      <c r="V43" s="2899">
        <f>F43/F44-1</f>
        <v>5.2825485432512753E-3</v>
      </c>
      <c r="X43" s="2882"/>
      <c r="Y43" s="2882"/>
      <c r="Z43" s="2882"/>
    </row>
    <row r="44" spans="1:34" ht="13.5" thickBot="1">
      <c r="A44" s="2893" t="s">
        <v>2569</v>
      </c>
      <c r="B44" s="2915">
        <v>275</v>
      </c>
      <c r="C44" s="2915">
        <v>232</v>
      </c>
      <c r="D44" s="2915">
        <f t="shared" si="175"/>
        <v>232</v>
      </c>
      <c r="E44" s="2915">
        <v>376</v>
      </c>
      <c r="F44" s="2916">
        <v>213</v>
      </c>
      <c r="G44" s="3721">
        <v>2011</v>
      </c>
      <c r="H44" s="2917">
        <v>4</v>
      </c>
      <c r="I44" s="2917">
        <v>-0.2</v>
      </c>
      <c r="J44" s="2917">
        <v>0.04</v>
      </c>
      <c r="K44" s="2917">
        <v>-0.34</v>
      </c>
      <c r="L44" s="2918">
        <v>0.46</v>
      </c>
      <c r="N44" s="2912">
        <f t="shared" si="177"/>
        <v>-2E-3</v>
      </c>
      <c r="O44" s="2913">
        <f t="shared" si="177"/>
        <v>4.0000000000000002E-4</v>
      </c>
      <c r="P44" s="2913">
        <f t="shared" si="177"/>
        <v>-3.4000000000000002E-3</v>
      </c>
      <c r="Q44" s="2913">
        <f t="shared" si="177"/>
        <v>4.5999999999999999E-3</v>
      </c>
      <c r="R44" s="2897"/>
      <c r="S44" s="2906"/>
      <c r="T44" s="2907"/>
      <c r="U44" s="2907"/>
      <c r="V44" s="2907"/>
      <c r="X44" s="2907"/>
      <c r="Y44" s="2907"/>
      <c r="Z44" s="2907"/>
    </row>
    <row r="45" spans="1:34">
      <c r="A45" s="2893" t="s">
        <v>2570</v>
      </c>
      <c r="B45" s="2894">
        <f t="shared" ref="B45:C47" si="187">B44/(1+N44)</f>
        <v>275.55110220440883</v>
      </c>
      <c r="C45" s="2894">
        <f t="shared" si="187"/>
        <v>231.90723710515795</v>
      </c>
      <c r="D45" s="2894">
        <f t="shared" si="175"/>
        <v>231.90723710515795</v>
      </c>
      <c r="E45" s="2894">
        <f t="shared" ref="E45:F47" si="188">E44/(1+P44)</f>
        <v>377.28276138872161</v>
      </c>
      <c r="F45" s="2894">
        <f t="shared" si="188"/>
        <v>212.02468644236512</v>
      </c>
      <c r="G45" s="3719">
        <v>2011</v>
      </c>
      <c r="H45" s="2920">
        <v>3</v>
      </c>
      <c r="I45" s="2920">
        <v>0.13</v>
      </c>
      <c r="J45" s="2920">
        <v>0.75</v>
      </c>
      <c r="K45" s="2920">
        <v>-0.08</v>
      </c>
      <c r="L45" s="2921">
        <v>0.53</v>
      </c>
      <c r="N45" s="2896">
        <f t="shared" si="177"/>
        <v>1.2999999999999999E-3</v>
      </c>
      <c r="O45" s="2914">
        <f t="shared" si="177"/>
        <v>7.4999999999999997E-3</v>
      </c>
      <c r="P45" s="2914">
        <f t="shared" si="177"/>
        <v>-8.0000000000000004E-4</v>
      </c>
      <c r="Q45" s="2914">
        <f t="shared" si="177"/>
        <v>5.3E-3</v>
      </c>
      <c r="R45" s="2897"/>
      <c r="S45" s="2896"/>
      <c r="T45" s="2882"/>
      <c r="U45" s="2882"/>
      <c r="V45" s="2882"/>
    </row>
    <row r="46" spans="1:34">
      <c r="A46" s="2893" t="s">
        <v>2571</v>
      </c>
      <c r="B46" s="2894">
        <f t="shared" si="187"/>
        <v>275.19335084830601</v>
      </c>
      <c r="C46" s="2894">
        <f t="shared" si="187"/>
        <v>230.18088050139744</v>
      </c>
      <c r="D46" s="2894">
        <f t="shared" si="175"/>
        <v>230.18088050139744</v>
      </c>
      <c r="E46" s="2894">
        <f t="shared" si="188"/>
        <v>377.58482925212331</v>
      </c>
      <c r="F46" s="2894">
        <f t="shared" si="188"/>
        <v>210.90687997847917</v>
      </c>
      <c r="G46" s="3719">
        <v>2011</v>
      </c>
      <c r="H46" s="2908">
        <v>2</v>
      </c>
      <c r="I46" s="2908">
        <v>-0.4</v>
      </c>
      <c r="J46" s="2908">
        <v>0.17</v>
      </c>
      <c r="K46" s="2908">
        <v>-0.57999999999999996</v>
      </c>
      <c r="L46" s="2909">
        <v>-0.2</v>
      </c>
      <c r="N46" s="2896">
        <f t="shared" si="177"/>
        <v>-4.0000000000000001E-3</v>
      </c>
      <c r="O46" s="2914">
        <f t="shared" si="177"/>
        <v>1.7000000000000001E-3</v>
      </c>
      <c r="P46" s="2914">
        <f t="shared" si="177"/>
        <v>-5.7999999999999996E-3</v>
      </c>
      <c r="Q46" s="2914">
        <f t="shared" si="177"/>
        <v>-2E-3</v>
      </c>
      <c r="R46" s="2897"/>
      <c r="S46" s="2896"/>
      <c r="T46" s="2882"/>
      <c r="U46" s="2882"/>
      <c r="V46" s="2882"/>
    </row>
    <row r="47" spans="1:34" ht="13.5" thickBot="1">
      <c r="A47" s="2893" t="s">
        <v>2572</v>
      </c>
      <c r="B47" s="2894">
        <f t="shared" si="187"/>
        <v>276.29854502841971</v>
      </c>
      <c r="C47" s="2894">
        <f t="shared" si="187"/>
        <v>229.79023709833027</v>
      </c>
      <c r="D47" s="2894">
        <f t="shared" si="175"/>
        <v>229.79023709833027</v>
      </c>
      <c r="E47" s="2894">
        <f t="shared" si="188"/>
        <v>379.78759731655936</v>
      </c>
      <c r="F47" s="2894">
        <f t="shared" si="188"/>
        <v>211.32953905659235</v>
      </c>
      <c r="G47" s="3722">
        <v>2011</v>
      </c>
      <c r="H47" s="2895">
        <v>1</v>
      </c>
      <c r="I47" s="2895">
        <v>2.65</v>
      </c>
      <c r="J47" s="2895">
        <v>3.76</v>
      </c>
      <c r="K47" s="2895">
        <v>1.89</v>
      </c>
      <c r="L47" s="2901">
        <v>7.95</v>
      </c>
      <c r="N47" s="2898">
        <f t="shared" si="177"/>
        <v>2.6499999999999999E-2</v>
      </c>
      <c r="O47" s="2899">
        <f t="shared" si="177"/>
        <v>3.7599999999999995E-2</v>
      </c>
      <c r="P47" s="2899">
        <f t="shared" si="177"/>
        <v>1.89E-2</v>
      </c>
      <c r="Q47" s="2899">
        <f t="shared" si="177"/>
        <v>7.9500000000000001E-2</v>
      </c>
      <c r="R47" s="2897"/>
      <c r="S47" s="2898">
        <f>B47/B48-1</f>
        <v>2.713213765211786E-2</v>
      </c>
      <c r="T47" s="2899">
        <f>C47/C48-1</f>
        <v>3.9774828499231862E-2</v>
      </c>
      <c r="U47" s="2899">
        <f>E47/E48-1</f>
        <v>1.8197311840641772E-2</v>
      </c>
      <c r="V47" s="2899">
        <f>F47/F48-1</f>
        <v>7.8211933962205826E-2</v>
      </c>
      <c r="X47" s="2882"/>
      <c r="Y47" s="2882"/>
      <c r="Z47" s="2882"/>
    </row>
    <row r="48" spans="1:34" ht="13.5" thickBot="1">
      <c r="A48" s="2893" t="s">
        <v>2573</v>
      </c>
      <c r="B48" s="2915">
        <v>269</v>
      </c>
      <c r="C48" s="2915">
        <v>221</v>
      </c>
      <c r="D48" s="2915">
        <f t="shared" si="175"/>
        <v>221</v>
      </c>
      <c r="E48" s="2915">
        <v>373</v>
      </c>
      <c r="F48" s="2916">
        <v>196</v>
      </c>
      <c r="G48" s="3721">
        <v>2010</v>
      </c>
      <c r="H48" s="2917">
        <v>4</v>
      </c>
      <c r="I48" s="2917">
        <v>5.72</v>
      </c>
      <c r="J48" s="2917">
        <v>6.57</v>
      </c>
      <c r="K48" s="2917">
        <v>5.72</v>
      </c>
      <c r="L48" s="2918">
        <v>2.72</v>
      </c>
      <c r="N48" s="2896">
        <f t="shared" si="177"/>
        <v>5.7200000000000001E-2</v>
      </c>
      <c r="O48" s="2882">
        <f t="shared" si="177"/>
        <v>6.5700000000000008E-2</v>
      </c>
      <c r="P48" s="2882">
        <f t="shared" si="177"/>
        <v>5.7200000000000001E-2</v>
      </c>
      <c r="Q48" s="2882">
        <f t="shared" si="177"/>
        <v>2.7200000000000002E-2</v>
      </c>
      <c r="R48" s="2897"/>
      <c r="S48" s="2906"/>
      <c r="T48" s="2907"/>
      <c r="U48" s="2907"/>
      <c r="V48" s="2907"/>
      <c r="X48" s="2907"/>
      <c r="Y48" s="2907"/>
      <c r="Z48" s="2907"/>
    </row>
    <row r="49" spans="1:26">
      <c r="A49" s="2893" t="s">
        <v>2574</v>
      </c>
      <c r="B49" s="2894">
        <f t="shared" ref="B49:C51" si="189">B48/(1+N48)</f>
        <v>254.44570563753314</v>
      </c>
      <c r="C49" s="2894">
        <f t="shared" si="189"/>
        <v>207.37543398705074</v>
      </c>
      <c r="D49" s="2894">
        <f t="shared" si="175"/>
        <v>207.37543398705074</v>
      </c>
      <c r="E49" s="2894">
        <f t="shared" ref="E49:F51" si="190">E48/(1+P48)</f>
        <v>352.81876655315932</v>
      </c>
      <c r="F49" s="2894">
        <f t="shared" si="190"/>
        <v>190.809968847352</v>
      </c>
      <c r="G49" s="3719">
        <v>2010</v>
      </c>
      <c r="H49" s="2920">
        <v>3</v>
      </c>
      <c r="I49" s="2920">
        <v>4.7300000000000004</v>
      </c>
      <c r="J49" s="2920">
        <v>3.9</v>
      </c>
      <c r="K49" s="2920">
        <v>5.03</v>
      </c>
      <c r="L49" s="2921">
        <v>4.21</v>
      </c>
      <c r="N49" s="2896">
        <f t="shared" si="177"/>
        <v>4.7300000000000002E-2</v>
      </c>
      <c r="O49" s="2882">
        <f t="shared" si="177"/>
        <v>3.9E-2</v>
      </c>
      <c r="P49" s="2882">
        <f t="shared" si="177"/>
        <v>5.0300000000000004E-2</v>
      </c>
      <c r="Q49" s="2882">
        <f t="shared" si="177"/>
        <v>4.2099999999999999E-2</v>
      </c>
      <c r="R49" s="2897"/>
      <c r="S49" s="2896"/>
      <c r="T49" s="2882"/>
      <c r="U49" s="2882"/>
      <c r="V49" s="2882"/>
    </row>
    <row r="50" spans="1:26">
      <c r="A50" s="2893" t="s">
        <v>2575</v>
      </c>
      <c r="B50" s="2894">
        <f t="shared" si="189"/>
        <v>242.95398227588385</v>
      </c>
      <c r="C50" s="2894">
        <f t="shared" si="189"/>
        <v>199.59137053614126</v>
      </c>
      <c r="D50" s="2894">
        <f t="shared" si="175"/>
        <v>199.59137053614126</v>
      </c>
      <c r="E50" s="2894">
        <f t="shared" si="190"/>
        <v>335.92189522342125</v>
      </c>
      <c r="F50" s="2894">
        <f t="shared" si="190"/>
        <v>183.10139991109489</v>
      </c>
      <c r="G50" s="3719">
        <v>2010</v>
      </c>
      <c r="H50" s="2908">
        <v>2</v>
      </c>
      <c r="I50" s="2908">
        <v>4.6900000000000004</v>
      </c>
      <c r="J50" s="2908">
        <v>3.55</v>
      </c>
      <c r="K50" s="2908">
        <v>5.07</v>
      </c>
      <c r="L50" s="2909">
        <v>4.2300000000000004</v>
      </c>
      <c r="N50" s="2896">
        <f t="shared" si="177"/>
        <v>4.6900000000000004E-2</v>
      </c>
      <c r="O50" s="2882">
        <f t="shared" si="177"/>
        <v>3.5499999999999997E-2</v>
      </c>
      <c r="P50" s="2882">
        <f t="shared" si="177"/>
        <v>5.0700000000000002E-2</v>
      </c>
      <c r="Q50" s="2882">
        <f t="shared" si="177"/>
        <v>4.2300000000000004E-2</v>
      </c>
      <c r="R50" s="2897"/>
      <c r="S50" s="2896"/>
      <c r="T50" s="2882"/>
      <c r="U50" s="2882"/>
      <c r="V50" s="2882"/>
    </row>
    <row r="51" spans="1:26" ht="13.5" thickBot="1">
      <c r="A51" s="2893" t="s">
        <v>2576</v>
      </c>
      <c r="B51" s="2894">
        <f t="shared" si="189"/>
        <v>232.06990378821649</v>
      </c>
      <c r="C51" s="2894">
        <f t="shared" si="189"/>
        <v>192.74878854286936</v>
      </c>
      <c r="D51" s="2894">
        <f t="shared" si="175"/>
        <v>192.74878854286936</v>
      </c>
      <c r="E51" s="2894">
        <f t="shared" si="190"/>
        <v>319.71247284992984</v>
      </c>
      <c r="F51" s="2894">
        <f t="shared" si="190"/>
        <v>175.67053622862409</v>
      </c>
      <c r="G51" s="3722">
        <v>2010</v>
      </c>
      <c r="H51" s="2895">
        <v>1</v>
      </c>
      <c r="I51" s="2895">
        <v>5.4</v>
      </c>
      <c r="J51" s="2895">
        <v>3.2</v>
      </c>
      <c r="K51" s="2895">
        <v>6.16</v>
      </c>
      <c r="L51" s="2901">
        <v>4.51</v>
      </c>
      <c r="N51" s="2896">
        <f t="shared" si="177"/>
        <v>5.4000000000000006E-2</v>
      </c>
      <c r="O51" s="2882">
        <f t="shared" si="177"/>
        <v>3.2000000000000001E-2</v>
      </c>
      <c r="P51" s="2882">
        <f t="shared" si="177"/>
        <v>6.1600000000000002E-2</v>
      </c>
      <c r="Q51" s="2882">
        <f t="shared" si="177"/>
        <v>4.5100000000000001E-2</v>
      </c>
      <c r="R51" s="2897"/>
      <c r="S51" s="2898">
        <f>B51/B52-1</f>
        <v>5.4863199037347599E-2</v>
      </c>
      <c r="T51" s="2899">
        <f>C51/C52-1</f>
        <v>3.0742184721226584E-2</v>
      </c>
      <c r="U51" s="2899">
        <f>E51/E52-1</f>
        <v>6.2167683886810154E-2</v>
      </c>
      <c r="V51" s="2899">
        <f>F51/F52-1</f>
        <v>4.5657953741810031E-2</v>
      </c>
      <c r="X51" s="2882"/>
      <c r="Y51" s="2882"/>
      <c r="Z51" s="2882"/>
    </row>
    <row r="52" spans="1:26" ht="13.5" thickBot="1">
      <c r="A52" s="2893" t="s">
        <v>2577</v>
      </c>
      <c r="B52" s="2915">
        <v>220</v>
      </c>
      <c r="C52" s="2915">
        <v>187</v>
      </c>
      <c r="D52" s="2915">
        <f t="shared" si="175"/>
        <v>187</v>
      </c>
      <c r="E52" s="2915">
        <v>301</v>
      </c>
      <c r="F52" s="2916">
        <v>168</v>
      </c>
      <c r="G52" s="3721">
        <v>2009</v>
      </c>
      <c r="H52" s="2917">
        <v>4</v>
      </c>
      <c r="I52" s="2917">
        <v>2.2999999999999998</v>
      </c>
      <c r="J52" s="2917">
        <v>1.04</v>
      </c>
      <c r="K52" s="2917">
        <v>2.84</v>
      </c>
      <c r="L52" s="2918">
        <v>0.67</v>
      </c>
      <c r="N52" s="2912">
        <f t="shared" si="177"/>
        <v>2.3E-2</v>
      </c>
      <c r="O52" s="2913">
        <f t="shared" si="177"/>
        <v>1.04E-2</v>
      </c>
      <c r="P52" s="2913">
        <f t="shared" si="177"/>
        <v>2.8399999999999998E-2</v>
      </c>
      <c r="Q52" s="2913">
        <f t="shared" si="177"/>
        <v>6.7000000000000002E-3</v>
      </c>
      <c r="R52" s="2897"/>
      <c r="S52" s="2906"/>
      <c r="T52" s="2907"/>
      <c r="U52" s="2907"/>
      <c r="V52" s="2907"/>
      <c r="X52" s="2907"/>
      <c r="Y52" s="2907"/>
      <c r="Z52" s="2907"/>
    </row>
    <row r="53" spans="1:26">
      <c r="A53" s="2893" t="s">
        <v>2578</v>
      </c>
      <c r="B53" s="2894">
        <f t="shared" ref="B53:C55" si="191">B52/(1+N52)</f>
        <v>215.05376344086022</v>
      </c>
      <c r="C53" s="2894">
        <f t="shared" si="191"/>
        <v>185.0752177355503</v>
      </c>
      <c r="D53" s="2894">
        <f t="shared" si="175"/>
        <v>185.0752177355503</v>
      </c>
      <c r="E53" s="2894">
        <f t="shared" ref="E53:F55" si="192">E52/(1+P52)</f>
        <v>292.68767016725008</v>
      </c>
      <c r="F53" s="2894">
        <f t="shared" si="192"/>
        <v>166.88189132810174</v>
      </c>
      <c r="G53" s="3719">
        <v>2009</v>
      </c>
      <c r="H53" s="2920">
        <v>3</v>
      </c>
      <c r="I53" s="2920">
        <v>2.1</v>
      </c>
      <c r="J53" s="2920">
        <v>1.86</v>
      </c>
      <c r="K53" s="2920">
        <v>2.29</v>
      </c>
      <c r="L53" s="2921">
        <v>0.85</v>
      </c>
      <c r="N53" s="2896">
        <f t="shared" si="177"/>
        <v>2.1000000000000001E-2</v>
      </c>
      <c r="O53" s="2914">
        <f t="shared" si="177"/>
        <v>1.8600000000000002E-2</v>
      </c>
      <c r="P53" s="2914">
        <f t="shared" si="177"/>
        <v>2.29E-2</v>
      </c>
      <c r="Q53" s="2914">
        <f t="shared" si="177"/>
        <v>8.5000000000000006E-3</v>
      </c>
      <c r="R53" s="2897"/>
      <c r="S53" s="2896"/>
      <c r="T53" s="2882"/>
      <c r="U53" s="2882"/>
      <c r="V53" s="2882"/>
    </row>
    <row r="54" spans="1:26">
      <c r="A54" s="2893" t="s">
        <v>2579</v>
      </c>
      <c r="B54" s="2894">
        <f t="shared" si="191"/>
        <v>210.630522469011</v>
      </c>
      <c r="C54" s="2894">
        <f t="shared" si="191"/>
        <v>181.69567812247232</v>
      </c>
      <c r="D54" s="2894">
        <f t="shared" si="175"/>
        <v>181.69567812247232</v>
      </c>
      <c r="E54" s="2894">
        <f t="shared" si="192"/>
        <v>286.13517466736738</v>
      </c>
      <c r="F54" s="2894">
        <f t="shared" si="192"/>
        <v>165.47535084591149</v>
      </c>
      <c r="G54" s="3719">
        <v>2009</v>
      </c>
      <c r="H54" s="2908">
        <v>2</v>
      </c>
      <c r="I54" s="2908">
        <v>0.86</v>
      </c>
      <c r="J54" s="2908">
        <v>-1.1299999999999999</v>
      </c>
      <c r="K54" s="2908">
        <v>1.79</v>
      </c>
      <c r="L54" s="2909">
        <v>-2.0699999999999998</v>
      </c>
      <c r="N54" s="2896">
        <f t="shared" si="177"/>
        <v>8.6E-3</v>
      </c>
      <c r="O54" s="2914">
        <f t="shared" si="177"/>
        <v>-1.1299999999999999E-2</v>
      </c>
      <c r="P54" s="2914">
        <f t="shared" si="177"/>
        <v>1.7899999999999999E-2</v>
      </c>
      <c r="Q54" s="2914">
        <f t="shared" si="177"/>
        <v>-2.07E-2</v>
      </c>
      <c r="R54" s="2897"/>
      <c r="S54" s="2896"/>
      <c r="T54" s="2882"/>
      <c r="U54" s="2882"/>
      <c r="V54" s="2882"/>
    </row>
    <row r="55" spans="1:26">
      <c r="A55" s="2893" t="s">
        <v>2580</v>
      </c>
      <c r="B55" s="2894">
        <f t="shared" si="191"/>
        <v>208.83454537875372</v>
      </c>
      <c r="C55" s="2894">
        <f t="shared" si="191"/>
        <v>183.77230517090351</v>
      </c>
      <c r="D55" s="2894">
        <f t="shared" si="175"/>
        <v>183.77230517090351</v>
      </c>
      <c r="E55" s="2894">
        <f t="shared" si="192"/>
        <v>281.10342338870947</v>
      </c>
      <c r="F55" s="2894">
        <f t="shared" si="192"/>
        <v>168.97309388942256</v>
      </c>
      <c r="G55" s="3722">
        <v>2009</v>
      </c>
      <c r="H55" s="2895">
        <v>1</v>
      </c>
      <c r="I55" s="2895">
        <v>-2.64</v>
      </c>
      <c r="J55" s="2895">
        <v>-2.5299999999999998</v>
      </c>
      <c r="K55" s="2895">
        <v>-3.02</v>
      </c>
      <c r="L55" s="2901">
        <v>1.52</v>
      </c>
      <c r="N55" s="2898">
        <f t="shared" si="177"/>
        <v>-2.64E-2</v>
      </c>
      <c r="O55" s="2899">
        <f t="shared" si="177"/>
        <v>-2.53E-2</v>
      </c>
      <c r="P55" s="2899">
        <f t="shared" si="177"/>
        <v>-3.0200000000000001E-2</v>
      </c>
      <c r="Q55" s="2899">
        <f t="shared" si="177"/>
        <v>1.52E-2</v>
      </c>
      <c r="R55" s="2897"/>
      <c r="S55" s="2898">
        <f>B55/B56-1</f>
        <v>-2.4137638417038754E-2</v>
      </c>
      <c r="T55" s="2899">
        <f>C55/C56-1</f>
        <v>-2.248773845264096E-2</v>
      </c>
      <c r="U55" s="2899">
        <f>E55/E56-1</f>
        <v>-2.7323794502735366E-2</v>
      </c>
      <c r="V55" s="2899">
        <f>F55/F56-1</f>
        <v>1.7910204153148035E-2</v>
      </c>
      <c r="X55" s="2882"/>
      <c r="Y55" s="2882"/>
      <c r="Z55" s="2882"/>
    </row>
    <row r="56" spans="1:26" ht="13.5" thickBot="1">
      <c r="A56" s="2893" t="s">
        <v>2581</v>
      </c>
      <c r="B56" s="2943">
        <v>214</v>
      </c>
      <c r="C56" s="2943">
        <v>188</v>
      </c>
      <c r="D56" s="2943">
        <f t="shared" si="175"/>
        <v>188</v>
      </c>
      <c r="E56" s="2943">
        <v>289</v>
      </c>
      <c r="F56" s="2944">
        <v>166</v>
      </c>
      <c r="G56" s="3721">
        <v>2008</v>
      </c>
      <c r="H56" s="2917">
        <v>4</v>
      </c>
      <c r="I56" s="2917">
        <v>1.73</v>
      </c>
      <c r="J56" s="2917">
        <v>0.03</v>
      </c>
      <c r="K56" s="2917">
        <v>2.59</v>
      </c>
      <c r="L56" s="2918">
        <v>-1.66</v>
      </c>
      <c r="N56" s="2896">
        <f t="shared" si="177"/>
        <v>1.7299999999999999E-2</v>
      </c>
      <c r="O56" s="2882">
        <f t="shared" si="177"/>
        <v>2.9999999999999997E-4</v>
      </c>
      <c r="P56" s="2882">
        <f t="shared" si="177"/>
        <v>2.5899999999999999E-2</v>
      </c>
      <c r="Q56" s="2882">
        <f t="shared" si="177"/>
        <v>-1.66E-2</v>
      </c>
      <c r="R56" s="2897"/>
      <c r="S56" s="2906"/>
      <c r="T56" s="2907"/>
      <c r="U56" s="2907"/>
      <c r="V56" s="2907"/>
      <c r="X56" s="2907"/>
      <c r="Y56" s="2907"/>
      <c r="Z56" s="2907"/>
    </row>
    <row r="57" spans="1:26">
      <c r="A57" s="2893" t="s">
        <v>2582</v>
      </c>
      <c r="B57" s="2894">
        <f t="shared" ref="B57:C59" si="193">B56/(1+N56)</f>
        <v>210.36075887152265</v>
      </c>
      <c r="C57" s="2894">
        <f t="shared" si="193"/>
        <v>187.94361691492554</v>
      </c>
      <c r="D57" s="2894">
        <f t="shared" si="175"/>
        <v>187.94361691492554</v>
      </c>
      <c r="E57" s="2894">
        <f t="shared" ref="E57:F59" si="194">E56/(1+P56)</f>
        <v>281.70386977288234</v>
      </c>
      <c r="F57" s="2894">
        <f t="shared" si="194"/>
        <v>168.80211511083994</v>
      </c>
      <c r="G57" s="3719">
        <v>2008</v>
      </c>
      <c r="H57" s="2920">
        <v>3</v>
      </c>
      <c r="I57" s="2920">
        <v>1.96</v>
      </c>
      <c r="J57" s="2920">
        <v>2.36</v>
      </c>
      <c r="K57" s="2920">
        <v>1.82</v>
      </c>
      <c r="L57" s="2921">
        <v>2.2200000000000002</v>
      </c>
      <c r="N57" s="2896">
        <f t="shared" si="177"/>
        <v>1.9599999999999999E-2</v>
      </c>
      <c r="O57" s="2882">
        <f t="shared" si="177"/>
        <v>2.3599999999999999E-2</v>
      </c>
      <c r="P57" s="2882">
        <f t="shared" si="177"/>
        <v>1.8200000000000001E-2</v>
      </c>
      <c r="Q57" s="2882">
        <f t="shared" si="177"/>
        <v>2.2200000000000001E-2</v>
      </c>
      <c r="R57" s="2897"/>
      <c r="S57" s="2896"/>
      <c r="T57" s="2882"/>
      <c r="U57" s="2882"/>
      <c r="V57" s="2882"/>
    </row>
    <row r="58" spans="1:26">
      <c r="A58" s="2893" t="s">
        <v>2583</v>
      </c>
      <c r="B58" s="2894">
        <f t="shared" si="193"/>
        <v>206.31694671589116</v>
      </c>
      <c r="C58" s="2894">
        <f t="shared" si="193"/>
        <v>183.61041121036101</v>
      </c>
      <c r="D58" s="2894">
        <f t="shared" si="175"/>
        <v>183.61041121036101</v>
      </c>
      <c r="E58" s="2894">
        <f t="shared" si="194"/>
        <v>276.66850301795557</v>
      </c>
      <c r="F58" s="2894">
        <f t="shared" si="194"/>
        <v>165.1360938278614</v>
      </c>
      <c r="G58" s="3719">
        <v>2008</v>
      </c>
      <c r="H58" s="2908">
        <v>2</v>
      </c>
      <c r="I58" s="2908">
        <v>4.93</v>
      </c>
      <c r="J58" s="2908">
        <v>7.38</v>
      </c>
      <c r="K58" s="2908">
        <v>3.98</v>
      </c>
      <c r="L58" s="2909">
        <v>6.86</v>
      </c>
      <c r="N58" s="2896">
        <f t="shared" si="177"/>
        <v>4.9299999999999997E-2</v>
      </c>
      <c r="O58" s="2882">
        <f t="shared" si="177"/>
        <v>7.3800000000000004E-2</v>
      </c>
      <c r="P58" s="2882">
        <f t="shared" si="177"/>
        <v>3.9800000000000002E-2</v>
      </c>
      <c r="Q58" s="2882">
        <f t="shared" si="177"/>
        <v>6.8600000000000008E-2</v>
      </c>
      <c r="R58" s="2897"/>
      <c r="S58" s="2896"/>
      <c r="T58" s="2882"/>
      <c r="U58" s="2882"/>
      <c r="V58" s="2882"/>
    </row>
    <row r="59" spans="1:26" s="2949" customFormat="1" ht="13.5" thickBot="1">
      <c r="A59" s="2893" t="s">
        <v>2584</v>
      </c>
      <c r="B59" s="2946">
        <f t="shared" si="193"/>
        <v>196.62341248059772</v>
      </c>
      <c r="C59" s="2946">
        <f t="shared" si="193"/>
        <v>170.99125648199012</v>
      </c>
      <c r="D59" s="2946">
        <f t="shared" si="175"/>
        <v>170.99125648199012</v>
      </c>
      <c r="E59" s="2946">
        <f t="shared" si="194"/>
        <v>266.07857570490052</v>
      </c>
      <c r="F59" s="2946">
        <f t="shared" si="194"/>
        <v>154.53499328828505</v>
      </c>
      <c r="G59" s="3722">
        <v>2008</v>
      </c>
      <c r="H59" s="2947">
        <v>1</v>
      </c>
      <c r="I59" s="2947">
        <v>4.1399999999999997</v>
      </c>
      <c r="J59" s="2947">
        <v>3.45</v>
      </c>
      <c r="K59" s="2947">
        <v>4.95</v>
      </c>
      <c r="L59" s="2948">
        <v>4.82</v>
      </c>
      <c r="N59" s="2950">
        <f t="shared" si="177"/>
        <v>4.1399999999999999E-2</v>
      </c>
      <c r="O59" s="2951">
        <f t="shared" si="177"/>
        <v>3.4500000000000003E-2</v>
      </c>
      <c r="P59" s="2951">
        <f t="shared" si="177"/>
        <v>4.9500000000000002E-2</v>
      </c>
      <c r="Q59" s="2951">
        <f t="shared" si="177"/>
        <v>4.82E-2</v>
      </c>
      <c r="R59" s="2952"/>
      <c r="S59" s="2950">
        <f>B59/B60-1</f>
        <v>4.5869215322328349E-2</v>
      </c>
      <c r="T59" s="2951">
        <f>C59/C60-1</f>
        <v>3.6310645345394743E-2</v>
      </c>
      <c r="U59" s="2951">
        <f>E59/E60-1</f>
        <v>4.7553447657088688E-2</v>
      </c>
      <c r="V59" s="2951">
        <f>F59/F60-1</f>
        <v>4.4155360055980086E-2</v>
      </c>
      <c r="X59" s="2951"/>
      <c r="Y59" s="2951"/>
      <c r="Z59" s="2951"/>
    </row>
    <row r="60" spans="1:26" ht="13.5" thickBot="1">
      <c r="A60" s="2893" t="s">
        <v>2585</v>
      </c>
      <c r="B60" s="2915">
        <v>188</v>
      </c>
      <c r="C60" s="2915">
        <v>165</v>
      </c>
      <c r="D60" s="2915">
        <f t="shared" si="175"/>
        <v>165</v>
      </c>
      <c r="E60" s="2915">
        <v>254</v>
      </c>
      <c r="F60" s="2916">
        <v>148</v>
      </c>
      <c r="G60" s="3721">
        <v>2007</v>
      </c>
      <c r="H60" s="2953">
        <v>4</v>
      </c>
      <c r="I60" s="2953">
        <v>5.51</v>
      </c>
      <c r="J60" s="2953">
        <v>4.8899999999999997</v>
      </c>
      <c r="K60" s="2953">
        <v>6.43</v>
      </c>
      <c r="L60" s="2954">
        <v>5.36</v>
      </c>
      <c r="N60" s="2955">
        <f t="shared" ref="N60:O63" si="195">B60/B61-1</f>
        <v>4.1339718365245526E-2</v>
      </c>
      <c r="O60" s="2956">
        <f t="shared" si="195"/>
        <v>4.0324492593776018E-2</v>
      </c>
      <c r="P60" s="2956">
        <f t="shared" ref="P60:Q63" si="196">E60/E61-1</f>
        <v>6.1625555347990968E-2</v>
      </c>
      <c r="Q60" s="2956">
        <f t="shared" si="196"/>
        <v>4.6757569250590603E-2</v>
      </c>
      <c r="R60" s="2897"/>
      <c r="S60" s="2906"/>
      <c r="T60" s="2907"/>
      <c r="U60" s="2907"/>
      <c r="V60" s="2907"/>
      <c r="X60" s="2907"/>
      <c r="Y60" s="2907"/>
      <c r="Z60" s="2907"/>
    </row>
    <row r="61" spans="1:26">
      <c r="A61" s="2893" t="s">
        <v>2586</v>
      </c>
      <c r="B61" s="2894">
        <f t="shared" ref="B61:C63" si="197">B62+(B$60-B$64)*I61/SUM(I$60:I$63)</f>
        <v>180.5366651097618</v>
      </c>
      <c r="C61" s="2894">
        <f t="shared" si="197"/>
        <v>158.60435967302453</v>
      </c>
      <c r="D61" s="2894">
        <f t="shared" si="175"/>
        <v>158.60435967302453</v>
      </c>
      <c r="E61" s="2894">
        <f t="shared" ref="E61:F63" si="198">E62+(E$60-E$64)*K61/SUM(K$60:K$63)</f>
        <v>239.25573260785075</v>
      </c>
      <c r="F61" s="2894">
        <f t="shared" si="198"/>
        <v>141.38899430740037</v>
      </c>
      <c r="G61" s="3719">
        <v>2007</v>
      </c>
      <c r="H61" s="2920">
        <v>3</v>
      </c>
      <c r="I61" s="2920">
        <v>8.65</v>
      </c>
      <c r="J61" s="2920">
        <v>8.06</v>
      </c>
      <c r="K61" s="2920">
        <v>9.94</v>
      </c>
      <c r="L61" s="2921">
        <v>5.8</v>
      </c>
      <c r="N61" s="2955">
        <f t="shared" si="195"/>
        <v>6.940217571740015E-2</v>
      </c>
      <c r="O61" s="2956">
        <f t="shared" si="195"/>
        <v>7.1197482471153428E-2</v>
      </c>
      <c r="P61" s="2956">
        <f t="shared" si="196"/>
        <v>0.10529679922579582</v>
      </c>
      <c r="Q61" s="2956">
        <f t="shared" si="196"/>
        <v>5.3292245059512133E-2</v>
      </c>
      <c r="R61" s="2897"/>
      <c r="S61" s="2896"/>
      <c r="T61" s="2882"/>
      <c r="U61" s="2882"/>
      <c r="V61" s="2882"/>
      <c r="X61" s="2957"/>
      <c r="Y61" s="2957"/>
      <c r="Z61" s="2957"/>
    </row>
    <row r="62" spans="1:26">
      <c r="A62" s="2893" t="s">
        <v>2587</v>
      </c>
      <c r="B62" s="2894">
        <f t="shared" si="197"/>
        <v>168.82017748715555</v>
      </c>
      <c r="C62" s="2894">
        <f t="shared" si="197"/>
        <v>148.06267029972753</v>
      </c>
      <c r="D62" s="2894">
        <f t="shared" si="175"/>
        <v>148.06267029972753</v>
      </c>
      <c r="E62" s="2894">
        <f t="shared" si="198"/>
        <v>216.46288379323747</v>
      </c>
      <c r="F62" s="2894">
        <f t="shared" si="198"/>
        <v>134.23529411764704</v>
      </c>
      <c r="G62" s="3719">
        <v>2007</v>
      </c>
      <c r="H62" s="2908">
        <v>2</v>
      </c>
      <c r="I62" s="2908">
        <v>3.67</v>
      </c>
      <c r="J62" s="2908">
        <v>2.3199999999999998</v>
      </c>
      <c r="K62" s="2908">
        <v>5.0199999999999996</v>
      </c>
      <c r="L62" s="2909">
        <v>6.71</v>
      </c>
      <c r="N62" s="2955">
        <f t="shared" si="195"/>
        <v>3.0339138143848032E-2</v>
      </c>
      <c r="O62" s="2956">
        <f t="shared" si="195"/>
        <v>2.0922341588790472E-2</v>
      </c>
      <c r="P62" s="2956">
        <f t="shared" si="196"/>
        <v>5.6164796592717003E-2</v>
      </c>
      <c r="Q62" s="2956">
        <f t="shared" si="196"/>
        <v>6.5704536723887319E-2</v>
      </c>
      <c r="R62" s="2897"/>
      <c r="S62" s="2896"/>
      <c r="T62" s="2882"/>
      <c r="U62" s="2882"/>
      <c r="V62" s="2882"/>
      <c r="X62" s="2957"/>
      <c r="Y62" s="2957"/>
      <c r="Z62" s="2957"/>
    </row>
    <row r="63" spans="1:26">
      <c r="A63" s="2893" t="s">
        <v>2588</v>
      </c>
      <c r="B63" s="2894">
        <f t="shared" si="197"/>
        <v>163.84913591779542</v>
      </c>
      <c r="C63" s="2894">
        <f t="shared" si="197"/>
        <v>145.0283378746594</v>
      </c>
      <c r="D63" s="2894">
        <f t="shared" si="175"/>
        <v>145.0283378746594</v>
      </c>
      <c r="E63" s="2894">
        <f t="shared" si="198"/>
        <v>204.95180722891567</v>
      </c>
      <c r="F63" s="2894">
        <f t="shared" si="198"/>
        <v>125.95920303605313</v>
      </c>
      <c r="G63" s="3722">
        <v>2007</v>
      </c>
      <c r="H63" s="2895">
        <v>1</v>
      </c>
      <c r="I63" s="2895">
        <v>3.58</v>
      </c>
      <c r="J63" s="2895">
        <v>3.08</v>
      </c>
      <c r="K63" s="2895">
        <v>4.34</v>
      </c>
      <c r="L63" s="2901">
        <v>3.21</v>
      </c>
      <c r="N63" s="2958">
        <f t="shared" si="195"/>
        <v>3.0497710174814063E-2</v>
      </c>
      <c r="O63" s="2959">
        <f t="shared" si="195"/>
        <v>2.8569772160704998E-2</v>
      </c>
      <c r="P63" s="2959">
        <f t="shared" si="196"/>
        <v>5.1034908866234296E-2</v>
      </c>
      <c r="Q63" s="2959">
        <f t="shared" si="196"/>
        <v>3.245248390207478E-2</v>
      </c>
      <c r="R63" s="2897"/>
      <c r="S63" s="2898">
        <f>B63/B64-1</f>
        <v>3.0497710174814063E-2</v>
      </c>
      <c r="T63" s="2899">
        <f>C63/C64-1</f>
        <v>2.8569772160704998E-2</v>
      </c>
      <c r="U63" s="2899">
        <f>E63/E64-1</f>
        <v>5.1034908866234296E-2</v>
      </c>
      <c r="V63" s="2899">
        <f>F63/F64-1</f>
        <v>3.245248390207478E-2</v>
      </c>
      <c r="X63" s="2957"/>
      <c r="Y63" s="2957"/>
      <c r="Z63" s="2957"/>
    </row>
    <row r="64" spans="1:26" ht="13.5" thickBot="1">
      <c r="A64" s="2893" t="s">
        <v>2589</v>
      </c>
      <c r="B64" s="2922">
        <v>159</v>
      </c>
      <c r="C64" s="2922">
        <v>141</v>
      </c>
      <c r="D64" s="2922">
        <f t="shared" si="175"/>
        <v>141</v>
      </c>
      <c r="E64" s="2922">
        <v>195</v>
      </c>
      <c r="F64" s="2923">
        <v>122</v>
      </c>
      <c r="G64" s="3721">
        <v>2006</v>
      </c>
      <c r="H64" s="2917">
        <v>4</v>
      </c>
      <c r="I64" s="2917">
        <v>3.79</v>
      </c>
      <c r="J64" s="2917">
        <v>2.21</v>
      </c>
      <c r="K64" s="2917">
        <v>5.65</v>
      </c>
      <c r="L64" s="2918">
        <v>5.41</v>
      </c>
      <c r="N64" s="2955">
        <f t="shared" ref="N64:O67" si="199">I64/SUM(I$64:I$67)*(B$64/B$68-1)</f>
        <v>7.245466462748526E-2</v>
      </c>
      <c r="O64" s="2956">
        <f t="shared" si="199"/>
        <v>2.3237230038062766E-2</v>
      </c>
      <c r="P64" s="2956">
        <f t="shared" ref="P64:Q67" si="200">K64/SUM(K$64:K$67)*(E$64/E$68-1)</f>
        <v>0.16146893866323722</v>
      </c>
      <c r="Q64" s="2956">
        <f t="shared" si="200"/>
        <v>5.0755230321793784E-2</v>
      </c>
      <c r="R64" s="2897"/>
      <c r="S64" s="2906"/>
      <c r="T64" s="2907"/>
      <c r="U64" s="2907"/>
      <c r="V64" s="2907"/>
      <c r="X64" s="2957"/>
      <c r="Y64" s="2957"/>
      <c r="Z64" s="2957"/>
    </row>
    <row r="65" spans="1:26">
      <c r="A65" s="2893" t="s">
        <v>2590</v>
      </c>
      <c r="B65" s="2894">
        <f t="shared" ref="B65:C67" si="201">B66+(B$64-B$68)*I65/SUM(I$64:I$67)</f>
        <v>149.00125628140702</v>
      </c>
      <c r="C65" s="2894">
        <f t="shared" si="201"/>
        <v>137.95592286501378</v>
      </c>
      <c r="D65" s="2894">
        <f t="shared" si="175"/>
        <v>137.95592286501378</v>
      </c>
      <c r="E65" s="2894">
        <f t="shared" ref="E65:F67" si="202">E66+(E$64-E$68)*K65/SUM(K$64:K$67)</f>
        <v>169.97231450719823</v>
      </c>
      <c r="F65" s="2894">
        <f t="shared" si="202"/>
        <v>116.21390374331551</v>
      </c>
      <c r="G65" s="3719">
        <v>2006</v>
      </c>
      <c r="H65" s="2920">
        <v>3</v>
      </c>
      <c r="I65" s="2920">
        <v>0.92</v>
      </c>
      <c r="J65" s="2920">
        <v>1.08</v>
      </c>
      <c r="K65" s="2920">
        <v>0.73</v>
      </c>
      <c r="L65" s="2921">
        <v>1.08</v>
      </c>
      <c r="N65" s="2955">
        <f t="shared" si="199"/>
        <v>1.7587939698492462E-2</v>
      </c>
      <c r="O65" s="2956">
        <f t="shared" si="199"/>
        <v>1.1355750425840628E-2</v>
      </c>
      <c r="P65" s="2956">
        <f t="shared" si="200"/>
        <v>2.0862358446754544E-2</v>
      </c>
      <c r="Q65" s="2956">
        <f t="shared" si="200"/>
        <v>1.0132282578103011E-2</v>
      </c>
      <c r="R65" s="2897"/>
      <c r="S65" s="2896"/>
      <c r="T65" s="2882"/>
      <c r="U65" s="2882"/>
      <c r="V65" s="2882"/>
      <c r="X65" s="2957"/>
      <c r="Y65" s="2957"/>
      <c r="Z65" s="2957"/>
    </row>
    <row r="66" spans="1:26">
      <c r="A66" s="2893" t="s">
        <v>2591</v>
      </c>
      <c r="B66" s="2894">
        <f t="shared" si="201"/>
        <v>146.57412060301507</v>
      </c>
      <c r="C66" s="2894">
        <f t="shared" si="201"/>
        <v>136.46831955922866</v>
      </c>
      <c r="D66" s="2894">
        <f t="shared" si="175"/>
        <v>136.46831955922866</v>
      </c>
      <c r="E66" s="2894">
        <f t="shared" si="202"/>
        <v>166.73864894795128</v>
      </c>
      <c r="F66" s="2894">
        <f t="shared" si="202"/>
        <v>115.05882352941177</v>
      </c>
      <c r="G66" s="3719">
        <v>2006</v>
      </c>
      <c r="H66" s="2908">
        <v>2</v>
      </c>
      <c r="I66" s="2908">
        <v>0.96</v>
      </c>
      <c r="J66" s="2908">
        <v>0.25</v>
      </c>
      <c r="K66" s="2908">
        <v>1.9</v>
      </c>
      <c r="L66" s="2909">
        <v>0.95</v>
      </c>
      <c r="N66" s="2955">
        <f t="shared" si="199"/>
        <v>1.8352632728861701E-2</v>
      </c>
      <c r="O66" s="2956">
        <f t="shared" si="199"/>
        <v>2.6286459319075526E-3</v>
      </c>
      <c r="P66" s="2956">
        <f t="shared" si="200"/>
        <v>5.4299289107991269E-2</v>
      </c>
      <c r="Q66" s="2956">
        <f t="shared" si="200"/>
        <v>8.9126559714794995E-3</v>
      </c>
      <c r="R66" s="2897"/>
      <c r="S66" s="2896"/>
      <c r="T66" s="2882"/>
      <c r="U66" s="2882"/>
      <c r="V66" s="2882"/>
      <c r="X66" s="2957"/>
      <c r="Y66" s="2957"/>
      <c r="Z66" s="2957"/>
    </row>
    <row r="67" spans="1:26">
      <c r="A67" s="2893" t="s">
        <v>2592</v>
      </c>
      <c r="B67" s="2894">
        <f t="shared" si="201"/>
        <v>144.04145728643215</v>
      </c>
      <c r="C67" s="2894">
        <f t="shared" si="201"/>
        <v>136.12396694214877</v>
      </c>
      <c r="D67" s="2894">
        <f t="shared" si="175"/>
        <v>136.12396694214877</v>
      </c>
      <c r="E67" s="2894">
        <f t="shared" si="202"/>
        <v>158.32225913621264</v>
      </c>
      <c r="F67" s="2894">
        <f t="shared" si="202"/>
        <v>114.04278074866311</v>
      </c>
      <c r="G67" s="3722">
        <v>2006</v>
      </c>
      <c r="H67" s="2895">
        <v>1</v>
      </c>
      <c r="I67" s="2895">
        <v>2.29</v>
      </c>
      <c r="J67" s="2895">
        <v>3.72</v>
      </c>
      <c r="K67" s="2895">
        <v>0.75</v>
      </c>
      <c r="L67" s="2901">
        <v>0.04</v>
      </c>
      <c r="N67" s="2958">
        <f t="shared" si="199"/>
        <v>4.3778675988638847E-2</v>
      </c>
      <c r="O67" s="2959">
        <f t="shared" si="199"/>
        <v>3.9114251466784385E-2</v>
      </c>
      <c r="P67" s="2959">
        <f t="shared" si="200"/>
        <v>2.1433929911049188E-2</v>
      </c>
      <c r="Q67" s="2959">
        <f t="shared" si="200"/>
        <v>3.7526972511492629E-4</v>
      </c>
      <c r="R67" s="2897"/>
      <c r="S67" s="2898">
        <f>B67/B68-1</f>
        <v>4.3778675988638716E-2</v>
      </c>
      <c r="T67" s="2899">
        <f>C67/C68-1</f>
        <v>3.91142514667846E-2</v>
      </c>
      <c r="U67" s="2899">
        <f>E67/E68-1</f>
        <v>2.143392991104931E-2</v>
      </c>
      <c r="V67" s="2899">
        <f>F67/F68-1</f>
        <v>3.7526972511492396E-4</v>
      </c>
      <c r="X67" s="2957"/>
      <c r="Y67" s="2957"/>
      <c r="Z67" s="2957"/>
    </row>
    <row r="68" spans="1:26" ht="13.5" thickBot="1">
      <c r="A68" s="2893" t="s">
        <v>2593</v>
      </c>
      <c r="B68" s="2922">
        <v>138</v>
      </c>
      <c r="C68" s="2922">
        <v>131</v>
      </c>
      <c r="D68" s="2922">
        <f t="shared" si="175"/>
        <v>131</v>
      </c>
      <c r="E68" s="2922">
        <v>155</v>
      </c>
      <c r="F68" s="2923">
        <v>114</v>
      </c>
      <c r="G68" s="3721">
        <v>2005</v>
      </c>
      <c r="H68" s="2917">
        <v>4</v>
      </c>
      <c r="I68" s="2917">
        <v>3.29</v>
      </c>
      <c r="J68" s="2917">
        <v>1.44</v>
      </c>
      <c r="K68" s="2917">
        <v>0.66</v>
      </c>
      <c r="L68" s="2918">
        <v>7.78</v>
      </c>
      <c r="N68" s="2955">
        <f t="shared" ref="N68:O71" si="203">I68/SUM(I$68:I$71)*(B$68/B$72-1)</f>
        <v>9.9404603216919935E-2</v>
      </c>
      <c r="O68" s="2956">
        <f t="shared" si="203"/>
        <v>4.7636550760861554E-2</v>
      </c>
      <c r="P68" s="2956">
        <f t="shared" ref="P68:Q71" si="204">K68/SUM(K$68:K$71)*(E$68/E$72-1)</f>
        <v>8.3756345177664976E-2</v>
      </c>
      <c r="Q68" s="2956">
        <f t="shared" si="204"/>
        <v>5.2148766661559584E-2</v>
      </c>
      <c r="R68" s="2897"/>
      <c r="S68" s="2906"/>
      <c r="T68" s="2907"/>
      <c r="U68" s="2907"/>
      <c r="V68" s="2907"/>
      <c r="X68" s="2957"/>
      <c r="Y68" s="2957"/>
      <c r="Z68" s="2957"/>
    </row>
    <row r="69" spans="1:26">
      <c r="A69" s="2893" t="s">
        <v>2594</v>
      </c>
      <c r="B69" s="2894">
        <f t="shared" ref="B69:C71" si="205">B70+(B$68-B$72)*I69/SUM(I$68:I$71)</f>
        <v>125.9720430107527</v>
      </c>
      <c r="C69" s="2894">
        <f t="shared" si="205"/>
        <v>125.1883408071749</v>
      </c>
      <c r="D69" s="2894">
        <f t="shared" si="175"/>
        <v>125.1883408071749</v>
      </c>
      <c r="E69" s="2894">
        <f t="shared" ref="E69:F71" si="206">E70+(E$68-E$72)*K69/SUM(K$68:K$71)</f>
        <v>144.61421319796952</v>
      </c>
      <c r="F69" s="2894">
        <f t="shared" si="206"/>
        <v>108.42008196721311</v>
      </c>
      <c r="G69" s="3719">
        <v>2005</v>
      </c>
      <c r="H69" s="2920">
        <v>3</v>
      </c>
      <c r="I69" s="2920">
        <v>0.46</v>
      </c>
      <c r="J69" s="2920">
        <v>0.32</v>
      </c>
      <c r="K69" s="2920">
        <v>0.42</v>
      </c>
      <c r="L69" s="2921">
        <v>0.64</v>
      </c>
      <c r="N69" s="2955">
        <f t="shared" si="203"/>
        <v>1.3898515951301874E-2</v>
      </c>
      <c r="O69" s="2956">
        <f t="shared" si="203"/>
        <v>1.0585900169080346E-2</v>
      </c>
      <c r="P69" s="2956">
        <f t="shared" si="204"/>
        <v>5.3299492385786795E-2</v>
      </c>
      <c r="Q69" s="2956">
        <f t="shared" si="204"/>
        <v>4.2898728359123568E-3</v>
      </c>
      <c r="R69" s="2897"/>
      <c r="S69" s="2896"/>
      <c r="T69" s="2882"/>
      <c r="U69" s="2882"/>
      <c r="V69" s="2882"/>
      <c r="X69" s="2957"/>
      <c r="Y69" s="2957"/>
      <c r="Z69" s="2957"/>
    </row>
    <row r="70" spans="1:26">
      <c r="A70" s="2893" t="s">
        <v>2595</v>
      </c>
      <c r="B70" s="2894">
        <f t="shared" si="205"/>
        <v>124.29032258064517</v>
      </c>
      <c r="C70" s="2894">
        <f t="shared" si="205"/>
        <v>123.8968609865471</v>
      </c>
      <c r="D70" s="2894">
        <f t="shared" si="175"/>
        <v>123.8968609865471</v>
      </c>
      <c r="E70" s="2894">
        <f t="shared" si="206"/>
        <v>138.00507614213197</v>
      </c>
      <c r="F70" s="2894">
        <f t="shared" si="206"/>
        <v>107.96106557377048</v>
      </c>
      <c r="G70" s="3719">
        <v>2005</v>
      </c>
      <c r="H70" s="2908">
        <v>2</v>
      </c>
      <c r="I70" s="2908">
        <v>0.47</v>
      </c>
      <c r="J70" s="2908">
        <v>0.1</v>
      </c>
      <c r="K70" s="2908">
        <v>0.52</v>
      </c>
      <c r="L70" s="2909">
        <v>0.79</v>
      </c>
      <c r="N70" s="2955">
        <f t="shared" si="203"/>
        <v>1.420065760241713E-2</v>
      </c>
      <c r="O70" s="2956">
        <f t="shared" si="203"/>
        <v>3.3080938028376083E-3</v>
      </c>
      <c r="P70" s="2956">
        <f t="shared" si="204"/>
        <v>6.598984771573603E-2</v>
      </c>
      <c r="Q70" s="2956">
        <f t="shared" si="204"/>
        <v>5.2953117818293153E-3</v>
      </c>
      <c r="R70" s="2897"/>
      <c r="S70" s="2896"/>
      <c r="T70" s="2882"/>
      <c r="U70" s="2882"/>
      <c r="V70" s="2882"/>
      <c r="X70" s="2957"/>
      <c r="Y70" s="2957"/>
      <c r="Z70" s="2957"/>
    </row>
    <row r="71" spans="1:26">
      <c r="A71" s="2893" t="s">
        <v>2596</v>
      </c>
      <c r="B71" s="2894">
        <f t="shared" si="205"/>
        <v>122.57204301075269</v>
      </c>
      <c r="C71" s="2894">
        <f t="shared" si="205"/>
        <v>123.4932735426009</v>
      </c>
      <c r="D71" s="2894">
        <f t="shared" si="175"/>
        <v>123.4932735426009</v>
      </c>
      <c r="E71" s="2894">
        <f t="shared" si="206"/>
        <v>129.82233502538071</v>
      </c>
      <c r="F71" s="2894">
        <f t="shared" si="206"/>
        <v>107.39446721311475</v>
      </c>
      <c r="G71" s="3722">
        <v>2005</v>
      </c>
      <c r="H71" s="2895">
        <v>1</v>
      </c>
      <c r="I71" s="2895">
        <v>0.43</v>
      </c>
      <c r="J71" s="2895">
        <v>0.37</v>
      </c>
      <c r="K71" s="2895">
        <v>0.37</v>
      </c>
      <c r="L71" s="2901">
        <v>0.55000000000000004</v>
      </c>
      <c r="N71" s="2958">
        <f t="shared" si="203"/>
        <v>1.2992090997956099E-2</v>
      </c>
      <c r="O71" s="2959">
        <f t="shared" si="203"/>
        <v>1.2239947070499151E-2</v>
      </c>
      <c r="P71" s="2959">
        <f t="shared" si="204"/>
        <v>4.6954314720812178E-2</v>
      </c>
      <c r="Q71" s="2959">
        <f t="shared" si="204"/>
        <v>3.6866094683621815E-3</v>
      </c>
      <c r="R71" s="2897"/>
      <c r="S71" s="2898">
        <f>B71/B72-1</f>
        <v>1.2992090997956174E-2</v>
      </c>
      <c r="T71" s="2899">
        <f>C71/C72-1</f>
        <v>1.2239947070499246E-2</v>
      </c>
      <c r="U71" s="2899">
        <f>E71/E72-1</f>
        <v>4.695431472081224E-2</v>
      </c>
      <c r="V71" s="2899">
        <f>F71/F72-1</f>
        <v>3.6866094683620787E-3</v>
      </c>
      <c r="X71" s="2957"/>
      <c r="Y71" s="2957"/>
      <c r="Z71" s="2957"/>
    </row>
    <row r="72" spans="1:26" ht="13.5" thickBot="1">
      <c r="A72" s="2893" t="s">
        <v>2597</v>
      </c>
      <c r="B72" s="2943">
        <v>121</v>
      </c>
      <c r="C72" s="2943">
        <v>122</v>
      </c>
      <c r="D72" s="2943">
        <f t="shared" si="175"/>
        <v>122</v>
      </c>
      <c r="E72" s="2943">
        <v>124</v>
      </c>
      <c r="F72" s="2944">
        <v>107</v>
      </c>
      <c r="G72" s="3721">
        <v>2004</v>
      </c>
      <c r="H72" s="2917">
        <v>4</v>
      </c>
      <c r="I72" s="2917">
        <v>0.33</v>
      </c>
      <c r="J72" s="2917">
        <v>0.5</v>
      </c>
      <c r="K72" s="2917">
        <v>0.5</v>
      </c>
      <c r="L72" s="2918">
        <v>0</v>
      </c>
      <c r="N72" s="2955">
        <f t="shared" ref="N72:O75" si="207">I72/SUM(I$72:I$75)*(B$72/B$76-1)</f>
        <v>1.3391770148526898E-2</v>
      </c>
      <c r="O72" s="2956">
        <f t="shared" si="207"/>
        <v>1.063264221158958E-2</v>
      </c>
      <c r="P72" s="2956">
        <f t="shared" ref="P72:Q75" si="208">K72/SUM(K$72:K$75)*(E$72/E$76-1)</f>
        <v>2.2244466688911134E-2</v>
      </c>
      <c r="Q72" s="2956">
        <f t="shared" si="208"/>
        <v>0</v>
      </c>
      <c r="R72" s="2897"/>
      <c r="S72" s="2906"/>
      <c r="T72" s="2907"/>
      <c r="U72" s="2907"/>
      <c r="V72" s="2907"/>
      <c r="X72" s="2957"/>
      <c r="Y72" s="2957"/>
      <c r="Z72" s="2957"/>
    </row>
    <row r="73" spans="1:26">
      <c r="A73" s="2893" t="s">
        <v>2598</v>
      </c>
      <c r="B73" s="2894">
        <f t="shared" ref="B73:C75" si="209">B74+(B$72-B$76)*I73/SUM(I$72:I$75)</f>
        <v>119.51351351351352</v>
      </c>
      <c r="C73" s="2894">
        <f t="shared" si="209"/>
        <v>120.7878787878788</v>
      </c>
      <c r="D73" s="2894">
        <f t="shared" si="175"/>
        <v>120.7878787878788</v>
      </c>
      <c r="E73" s="2894">
        <f t="shared" ref="E73:F75" si="210">E74+(E$72-E$76)*K73/SUM(K$72:K$75)</f>
        <v>121.5975975975976</v>
      </c>
      <c r="F73" s="2894">
        <f t="shared" si="210"/>
        <v>107</v>
      </c>
      <c r="G73" s="3719">
        <v>2004</v>
      </c>
      <c r="H73" s="2920">
        <v>3</v>
      </c>
      <c r="I73" s="2920">
        <v>0.56000000000000005</v>
      </c>
      <c r="J73" s="2920">
        <v>0.8</v>
      </c>
      <c r="K73" s="2920">
        <v>0.83</v>
      </c>
      <c r="L73" s="2921">
        <v>0.06</v>
      </c>
      <c r="N73" s="2955">
        <f t="shared" si="207"/>
        <v>2.2725428130833527E-2</v>
      </c>
      <c r="O73" s="2956">
        <f t="shared" si="207"/>
        <v>1.7012227538543329E-2</v>
      </c>
      <c r="P73" s="2956">
        <f t="shared" si="208"/>
        <v>3.6925814703592477E-2</v>
      </c>
      <c r="Q73" s="2956">
        <f t="shared" si="208"/>
        <v>2.8846153846153744E-2</v>
      </c>
      <c r="R73" s="2897"/>
      <c r="S73" s="2896"/>
      <c r="T73" s="2882"/>
      <c r="U73" s="2882"/>
      <c r="V73" s="2882"/>
      <c r="X73" s="2957"/>
      <c r="Y73" s="2957"/>
      <c r="Z73" s="2957"/>
    </row>
    <row r="74" spans="1:26">
      <c r="A74" s="2893" t="s">
        <v>2599</v>
      </c>
      <c r="B74" s="2894">
        <f t="shared" si="209"/>
        <v>116.99099099099099</v>
      </c>
      <c r="C74" s="2894">
        <f t="shared" si="209"/>
        <v>118.84848484848486</v>
      </c>
      <c r="D74" s="2894">
        <f t="shared" si="175"/>
        <v>118.84848484848486</v>
      </c>
      <c r="E74" s="2894">
        <f t="shared" si="210"/>
        <v>117.60960960960961</v>
      </c>
      <c r="F74" s="2894">
        <f t="shared" si="210"/>
        <v>104</v>
      </c>
      <c r="G74" s="3719">
        <v>2004</v>
      </c>
      <c r="H74" s="2908">
        <v>2</v>
      </c>
      <c r="I74" s="2908">
        <v>1</v>
      </c>
      <c r="J74" s="2908">
        <v>1.5</v>
      </c>
      <c r="K74" s="2908">
        <v>1.5</v>
      </c>
      <c r="L74" s="2909">
        <v>0</v>
      </c>
      <c r="N74" s="2955">
        <f t="shared" si="207"/>
        <v>4.0581121662202721E-2</v>
      </c>
      <c r="O74" s="2956">
        <f t="shared" si="207"/>
        <v>3.1897926634768738E-2</v>
      </c>
      <c r="P74" s="2956">
        <f t="shared" si="208"/>
        <v>6.6733400066733395E-2</v>
      </c>
      <c r="Q74" s="2956">
        <f t="shared" si="208"/>
        <v>0</v>
      </c>
      <c r="R74" s="2897"/>
      <c r="S74" s="2896"/>
      <c r="T74" s="2882"/>
      <c r="U74" s="2882"/>
      <c r="V74" s="2882"/>
      <c r="X74" s="2957"/>
      <c r="Y74" s="2957"/>
      <c r="Z74" s="2957"/>
    </row>
    <row r="75" spans="1:26" s="2949" customFormat="1" ht="13.5" thickBot="1">
      <c r="A75" s="2893" t="s">
        <v>2600</v>
      </c>
      <c r="B75" s="2946">
        <f t="shared" si="209"/>
        <v>112.48648648648648</v>
      </c>
      <c r="C75" s="2946">
        <f t="shared" si="209"/>
        <v>115.21212121212122</v>
      </c>
      <c r="D75" s="2946">
        <f t="shared" si="175"/>
        <v>115.21212121212122</v>
      </c>
      <c r="E75" s="2946">
        <f t="shared" si="210"/>
        <v>110.4024024024024</v>
      </c>
      <c r="F75" s="2946">
        <f t="shared" si="210"/>
        <v>104</v>
      </c>
      <c r="G75" s="3722">
        <v>2004</v>
      </c>
      <c r="H75" s="2947">
        <v>1</v>
      </c>
      <c r="I75" s="2947">
        <v>0.33</v>
      </c>
      <c r="J75" s="2947">
        <v>0.5</v>
      </c>
      <c r="K75" s="2947">
        <v>0.5</v>
      </c>
      <c r="L75" s="2948">
        <v>0</v>
      </c>
      <c r="N75" s="2960">
        <f t="shared" si="207"/>
        <v>1.3391770148526898E-2</v>
      </c>
      <c r="O75" s="2961">
        <f t="shared" si="207"/>
        <v>1.063264221158958E-2</v>
      </c>
      <c r="P75" s="2961">
        <f t="shared" si="208"/>
        <v>2.2244466688911134E-2</v>
      </c>
      <c r="Q75" s="2961">
        <f t="shared" si="208"/>
        <v>0</v>
      </c>
      <c r="R75" s="2952"/>
      <c r="S75" s="2950">
        <f>B75/B76-1</f>
        <v>1.3391770148526883E-2</v>
      </c>
      <c r="T75" s="2951">
        <f>C75/C76-1</f>
        <v>1.063264221158966E-2</v>
      </c>
      <c r="U75" s="2951">
        <f>E75/E76-1</f>
        <v>2.2244466688911224E-2</v>
      </c>
      <c r="V75" s="2951">
        <f>F75/F76-1</f>
        <v>0</v>
      </c>
      <c r="X75" s="2962"/>
      <c r="Y75" s="2962"/>
      <c r="Z75" s="2962"/>
    </row>
    <row r="76" spans="1:26" ht="13.5" thickBot="1">
      <c r="A76" s="2893" t="s">
        <v>2601</v>
      </c>
      <c r="B76" s="2963">
        <v>111</v>
      </c>
      <c r="C76" s="2963">
        <v>114</v>
      </c>
      <c r="D76" s="2963">
        <f t="shared" si="175"/>
        <v>114</v>
      </c>
      <c r="E76" s="2963">
        <v>108</v>
      </c>
      <c r="F76" s="2964">
        <v>104</v>
      </c>
      <c r="G76" s="3721">
        <v>2003</v>
      </c>
      <c r="H76" s="2953">
        <v>4</v>
      </c>
      <c r="I76" s="2965"/>
      <c r="J76" s="2965"/>
      <c r="K76" s="2965"/>
      <c r="L76" s="2965"/>
      <c r="N76" s="2966"/>
      <c r="O76" s="2965"/>
      <c r="P76" s="2965"/>
      <c r="Q76" s="2965"/>
      <c r="S76" s="2966"/>
      <c r="T76" s="2965"/>
      <c r="U76" s="2965"/>
      <c r="V76" s="2965"/>
      <c r="X76" s="2957"/>
      <c r="Y76" s="2957"/>
      <c r="Z76" s="2957"/>
    </row>
    <row r="77" spans="1:26">
      <c r="A77" s="2893" t="s">
        <v>2602</v>
      </c>
      <c r="B77" s="2967">
        <f t="shared" ref="B77:C79" si="211">B78+(B$76-B$80)/4</f>
        <v>109.75</v>
      </c>
      <c r="C77" s="2967">
        <f t="shared" si="211"/>
        <v>112.25</v>
      </c>
      <c r="D77" s="2967">
        <f t="shared" si="175"/>
        <v>112.25</v>
      </c>
      <c r="E77" s="2967">
        <f t="shared" ref="E77:F79" si="212">E78+(E$76-E$80)/4</f>
        <v>107.25</v>
      </c>
      <c r="F77" s="2967">
        <f t="shared" si="212"/>
        <v>103.5</v>
      </c>
      <c r="G77" s="3719">
        <v>2003</v>
      </c>
      <c r="H77" s="2920">
        <v>3</v>
      </c>
      <c r="I77" s="2965"/>
      <c r="J77" s="2965"/>
      <c r="K77" s="2965"/>
      <c r="L77" s="2965"/>
      <c r="X77" s="2957"/>
      <c r="Y77" s="2957"/>
      <c r="Z77" s="2957"/>
    </row>
    <row r="78" spans="1:26">
      <c r="A78" s="2893" t="s">
        <v>2603</v>
      </c>
      <c r="B78" s="2967">
        <f t="shared" si="211"/>
        <v>108.5</v>
      </c>
      <c r="C78" s="2967">
        <f t="shared" si="211"/>
        <v>110.5</v>
      </c>
      <c r="D78" s="2967">
        <f t="shared" si="175"/>
        <v>110.5</v>
      </c>
      <c r="E78" s="2967">
        <f t="shared" si="212"/>
        <v>106.5</v>
      </c>
      <c r="F78" s="2967">
        <f t="shared" si="212"/>
        <v>103</v>
      </c>
      <c r="G78" s="3719">
        <v>2003</v>
      </c>
      <c r="H78" s="2908">
        <v>2</v>
      </c>
      <c r="I78" s="2965"/>
      <c r="J78" s="2965"/>
      <c r="K78" s="2965"/>
      <c r="L78" s="2965"/>
      <c r="X78" s="2957"/>
      <c r="Y78" s="2957"/>
      <c r="Z78" s="2957"/>
    </row>
    <row r="79" spans="1:26" ht="13.5" thickBot="1">
      <c r="A79" s="2893" t="s">
        <v>2604</v>
      </c>
      <c r="B79" s="2967">
        <f t="shared" si="211"/>
        <v>107.25</v>
      </c>
      <c r="C79" s="2967">
        <f t="shared" si="211"/>
        <v>108.75</v>
      </c>
      <c r="D79" s="2967">
        <f t="shared" si="175"/>
        <v>108.75</v>
      </c>
      <c r="E79" s="2967">
        <f t="shared" si="212"/>
        <v>105.75</v>
      </c>
      <c r="F79" s="2967">
        <f t="shared" si="212"/>
        <v>102.5</v>
      </c>
      <c r="G79" s="3722">
        <v>2003</v>
      </c>
      <c r="H79" s="2968">
        <v>1</v>
      </c>
      <c r="I79" s="2965"/>
      <c r="J79" s="2965"/>
      <c r="K79" s="2965"/>
      <c r="L79" s="2965"/>
      <c r="S79" s="2896"/>
      <c r="T79" s="2882"/>
      <c r="U79" s="2882"/>
      <c r="X79" s="2957"/>
      <c r="Y79" s="2957"/>
      <c r="Z79" s="2957"/>
    </row>
    <row r="80" spans="1:26" ht="13.5" thickBot="1">
      <c r="A80" s="2893" t="s">
        <v>2605</v>
      </c>
      <c r="B80" s="2969">
        <v>106</v>
      </c>
      <c r="C80" s="2969">
        <v>107</v>
      </c>
      <c r="D80" s="2969">
        <f t="shared" si="175"/>
        <v>107</v>
      </c>
      <c r="E80" s="2969">
        <v>105</v>
      </c>
      <c r="F80" s="2970">
        <v>102</v>
      </c>
      <c r="G80" s="3721">
        <v>2002</v>
      </c>
      <c r="H80" s="2917">
        <v>4</v>
      </c>
      <c r="I80" s="2965"/>
      <c r="J80" s="2965"/>
      <c r="K80" s="2965"/>
      <c r="L80" s="2965"/>
      <c r="N80" s="2966"/>
      <c r="O80" s="2965"/>
      <c r="P80" s="2965"/>
      <c r="Q80" s="2965"/>
      <c r="S80" s="2966"/>
      <c r="T80" s="2965"/>
      <c r="U80" s="2965"/>
      <c r="V80" s="2965"/>
      <c r="X80" s="2957"/>
      <c r="Y80" s="2957"/>
      <c r="Z80" s="2957"/>
    </row>
    <row r="81" spans="1:26">
      <c r="A81" s="2893" t="s">
        <v>2606</v>
      </c>
      <c r="B81" s="2967">
        <f t="shared" ref="B81:C83" si="213">B82+(B$80-B$84)/4</f>
        <v>105</v>
      </c>
      <c r="C81" s="2967">
        <f t="shared" si="213"/>
        <v>106</v>
      </c>
      <c r="D81" s="2967">
        <f t="shared" si="175"/>
        <v>106</v>
      </c>
      <c r="E81" s="2967">
        <f t="shared" ref="E81:F83" si="214">E82+(E$80-E$84)/4</f>
        <v>104.5</v>
      </c>
      <c r="F81" s="2967">
        <f t="shared" si="214"/>
        <v>101.5</v>
      </c>
      <c r="G81" s="3719">
        <v>2002</v>
      </c>
      <c r="H81" s="2920">
        <v>3</v>
      </c>
      <c r="I81" s="2965"/>
      <c r="J81" s="2965"/>
      <c r="K81" s="2965"/>
      <c r="L81" s="2965"/>
      <c r="X81" s="2957"/>
      <c r="Y81" s="2957"/>
      <c r="Z81" s="2957"/>
    </row>
    <row r="82" spans="1:26">
      <c r="A82" s="2893" t="s">
        <v>2607</v>
      </c>
      <c r="B82" s="2967">
        <f t="shared" si="213"/>
        <v>104</v>
      </c>
      <c r="C82" s="2967">
        <f t="shared" si="213"/>
        <v>105</v>
      </c>
      <c r="D82" s="2967">
        <f t="shared" si="175"/>
        <v>105</v>
      </c>
      <c r="E82" s="2967">
        <f t="shared" si="214"/>
        <v>104</v>
      </c>
      <c r="F82" s="2967">
        <f t="shared" si="214"/>
        <v>101</v>
      </c>
      <c r="G82" s="3719">
        <v>2002</v>
      </c>
      <c r="H82" s="2908">
        <v>2</v>
      </c>
      <c r="I82" s="2965"/>
      <c r="J82" s="2965"/>
      <c r="K82" s="2965"/>
      <c r="L82" s="2965"/>
      <c r="X82" s="2957"/>
      <c r="Y82" s="2957"/>
      <c r="Z82" s="2957"/>
    </row>
    <row r="83" spans="1:26" s="2930" customFormat="1" ht="13.5" thickBot="1">
      <c r="A83" s="2926" t="s">
        <v>2608</v>
      </c>
      <c r="B83" s="2933">
        <f t="shared" si="213"/>
        <v>103</v>
      </c>
      <c r="C83" s="2933">
        <f t="shared" si="213"/>
        <v>104</v>
      </c>
      <c r="D83" s="2933">
        <f t="shared" si="175"/>
        <v>104</v>
      </c>
      <c r="E83" s="2933">
        <f t="shared" si="214"/>
        <v>103.5</v>
      </c>
      <c r="F83" s="2933">
        <f t="shared" si="214"/>
        <v>100.5</v>
      </c>
      <c r="G83" s="3722">
        <v>2002</v>
      </c>
      <c r="H83" s="2971">
        <v>1</v>
      </c>
      <c r="I83" s="2972"/>
      <c r="J83" s="2972"/>
      <c r="K83" s="2972"/>
      <c r="L83" s="2972"/>
      <c r="N83" s="2973"/>
      <c r="S83" s="2973"/>
      <c r="X83" s="2974"/>
      <c r="Y83" s="2974"/>
      <c r="Z83" s="2974"/>
    </row>
    <row r="84" spans="1:26" ht="13.5" thickBot="1">
      <c r="B84" s="2975">
        <v>102</v>
      </c>
      <c r="C84" s="2976">
        <v>103</v>
      </c>
      <c r="D84" s="2976">
        <f t="shared" si="175"/>
        <v>103</v>
      </c>
      <c r="E84" s="2976">
        <v>103</v>
      </c>
      <c r="F84" s="2977">
        <v>100</v>
      </c>
      <c r="I84" s="2965"/>
      <c r="J84" s="2965"/>
      <c r="K84" s="2965"/>
      <c r="L84" s="2965"/>
      <c r="N84" s="2966"/>
      <c r="O84" s="2965"/>
      <c r="P84" s="2965"/>
      <c r="Q84" s="2965"/>
      <c r="S84" s="2966"/>
      <c r="T84" s="2965"/>
      <c r="U84" s="2965"/>
      <c r="V84" s="2965"/>
      <c r="X84" s="2907"/>
      <c r="Y84" s="2907"/>
      <c r="Z84" s="2907"/>
    </row>
    <row r="86" spans="1:26" s="2979" customFormat="1">
      <c r="A86" s="2978" t="s">
        <v>2609</v>
      </c>
      <c r="G86" s="2980"/>
      <c r="N86" s="2980"/>
      <c r="S86" s="2980"/>
    </row>
    <row r="87" spans="1:26" s="2979" customFormat="1">
      <c r="A87" s="2979" t="s">
        <v>2610</v>
      </c>
      <c r="G87" s="2980"/>
      <c r="N87" s="2980"/>
      <c r="S87" s="2980"/>
    </row>
    <row r="88" spans="1:26" s="2979" customFormat="1">
      <c r="A88" s="2979" t="s">
        <v>2611</v>
      </c>
      <c r="G88" s="2980"/>
      <c r="I88" s="2981"/>
      <c r="J88" s="2981"/>
      <c r="K88" s="2981"/>
      <c r="L88" s="2981"/>
      <c r="N88" s="2982"/>
      <c r="O88" s="2981"/>
      <c r="P88" s="2981"/>
      <c r="Q88" s="2981"/>
      <c r="S88" s="2982"/>
      <c r="T88" s="2981"/>
      <c r="U88" s="2981"/>
      <c r="V88" s="2981"/>
    </row>
    <row r="89" spans="1:26" s="2979" customFormat="1">
      <c r="A89" s="2979" t="s">
        <v>2612</v>
      </c>
      <c r="G89" s="2980"/>
      <c r="N89" s="2980"/>
      <c r="S89" s="2980"/>
    </row>
    <row r="96" spans="1:26" ht="13.5" thickBot="1"/>
    <row r="97" spans="7:22">
      <c r="G97" s="2881"/>
      <c r="S97" s="2983" t="s">
        <v>2613</v>
      </c>
      <c r="T97" s="2984" t="s">
        <v>2614</v>
      </c>
      <c r="U97" s="2984" t="s">
        <v>2615</v>
      </c>
      <c r="V97" s="2984" t="s">
        <v>2616</v>
      </c>
    </row>
    <row r="98" spans="7:22">
      <c r="G98" s="2881"/>
      <c r="N98" s="2906"/>
      <c r="O98" s="2907"/>
      <c r="P98" s="2907"/>
      <c r="Q98" s="2907"/>
      <c r="S98" s="2985">
        <v>2006</v>
      </c>
      <c r="T98" s="2986">
        <v>15.1</v>
      </c>
      <c r="U98" s="2986">
        <v>7.43</v>
      </c>
      <c r="V98" s="2986">
        <v>26.26</v>
      </c>
    </row>
    <row r="99" spans="7:22">
      <c r="G99" s="2881"/>
      <c r="N99" s="2906"/>
      <c r="O99" s="2907"/>
      <c r="P99" s="2907"/>
      <c r="Q99" s="2907"/>
      <c r="S99" s="2987">
        <v>2005</v>
      </c>
      <c r="T99" s="2988">
        <v>13.9</v>
      </c>
      <c r="U99" s="2988">
        <v>7.49</v>
      </c>
      <c r="V99" s="2988">
        <v>24.92</v>
      </c>
    </row>
    <row r="100" spans="7:22">
      <c r="G100" s="2881"/>
      <c r="N100" s="2906"/>
      <c r="O100" s="2907"/>
      <c r="P100" s="2907"/>
      <c r="Q100" s="2907"/>
      <c r="S100" s="2985">
        <v>2004</v>
      </c>
      <c r="T100" s="2986">
        <v>9.48</v>
      </c>
      <c r="U100" s="2986">
        <v>7.2</v>
      </c>
      <c r="V100" s="2986">
        <v>14.68</v>
      </c>
    </row>
    <row r="101" spans="7:22">
      <c r="G101" s="2881"/>
      <c r="N101" s="2906"/>
      <c r="O101" s="2907"/>
      <c r="P101" s="2907"/>
      <c r="Q101" s="2907"/>
      <c r="S101" s="2987">
        <v>2003</v>
      </c>
      <c r="T101" s="2988">
        <v>4.5</v>
      </c>
      <c r="U101" s="2988">
        <v>6.12</v>
      </c>
      <c r="V101" s="2988">
        <v>2.34</v>
      </c>
    </row>
    <row r="102" spans="7:22" ht="13.5" thickBot="1">
      <c r="G102" s="2881"/>
      <c r="N102" s="2906"/>
      <c r="O102" s="2907"/>
      <c r="P102" s="2907"/>
      <c r="Q102" s="2907"/>
      <c r="S102" s="2989">
        <v>2002</v>
      </c>
      <c r="T102" s="2990">
        <v>3.59</v>
      </c>
      <c r="U102" s="2990">
        <v>4.54</v>
      </c>
      <c r="V102" s="2990">
        <v>2.5499999999999998</v>
      </c>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row>
    <row r="112" spans="7:22">
      <c r="G112" s="2881"/>
      <c r="N112" s="2906"/>
      <c r="O112" s="2907"/>
      <c r="P112" s="2907"/>
      <c r="Q112" s="2907"/>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row r="117" spans="7:19">
      <c r="G117" s="2881"/>
      <c r="N117" s="2906"/>
      <c r="O117" s="2907"/>
      <c r="P117" s="2907"/>
      <c r="Q117" s="2907"/>
      <c r="S117" s="2881"/>
    </row>
    <row r="118" spans="7:19">
      <c r="G118" s="2881"/>
      <c r="N118" s="2906"/>
      <c r="O118" s="2907"/>
      <c r="P118" s="2907"/>
      <c r="Q118" s="2907"/>
      <c r="S118" s="2881"/>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9"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受贵公司委托，我公司对北京市宋庄镇6004地块出让国有建设用地使用权抵押价格进行了预评估。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估价对象为使用的、位于北京市宋庄镇6004地块出让国有建设用地使用权。根据，估价对象（分摊）出让国有建设用地使用权面积为23100.27平方米。根据，估价对象规划建筑面积为63115.493平方米。</v>
      </c>
    </row>
    <row r="7" spans="1:4" ht="93.75">
      <c r="A7" s="2587" t="s">
        <v>2725</v>
      </c>
    </row>
    <row r="8" spans="1:4" ht="18.75">
      <c r="A8" s="1706" t="s">
        <v>1896</v>
      </c>
    </row>
    <row r="9" spans="1:4" ht="75">
      <c r="A9" s="1708" t="str">
        <f>IF(项目基本情况!B8="抵押",IF(项目基本情况!B5=项目基本情况!B6,定义!C51,定义!B51),定义!D51)</f>
        <v>拟使用北京市宋庄镇6004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2021年12月2日（评估专业人员勘察现场之日）</v>
      </c>
    </row>
    <row r="12" spans="1:4" ht="18.75">
      <c r="A12" s="1709" t="s">
        <v>2012</v>
      </c>
    </row>
    <row r="13" spans="1:4" ht="18.75">
      <c r="A13" s="1703" t="s">
        <v>2058</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根据，估价对象（分摊）出让国有建设用地使用权面积为23100.27平方米。根据，估价对象规划建筑面积为63115.493平方米。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2021年12月2日，在规划利用条件下、设定土地开发程度为红线外“七通”、宗地内场地，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3" t="str">
        <f>IF(项目基本情况!E9="——","",定义!C57)</f>
        <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2357</v>
      </c>
      <c r="F1" s="2240">
        <f ca="1">J54</f>
        <v>-1.5</v>
      </c>
      <c r="G1" s="763">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1"/>
      <c r="D2" s="1935"/>
      <c r="E2" s="1936"/>
      <c r="F2" s="1936"/>
      <c r="G2" s="1522"/>
      <c r="H2" s="1313"/>
      <c r="I2" s="1937"/>
      <c r="J2" s="1937"/>
      <c r="K2" s="1938"/>
      <c r="L2" s="1937"/>
      <c r="M2" s="1937"/>
    </row>
    <row r="3" spans="1:25" ht="18" customHeight="1">
      <c r="A3" s="1571" t="s">
        <v>1676</v>
      </c>
      <c r="B3" s="1337">
        <f ca="1">ROUND(B2*10000/'数据-汇总表'!E3,0)</f>
        <v>0</v>
      </c>
      <c r="C3" s="1301"/>
      <c r="D3" s="1935"/>
      <c r="E3" s="1936"/>
      <c r="F3" s="1936"/>
      <c r="G3" s="1522"/>
      <c r="H3" s="765" t="s">
        <v>689</v>
      </c>
      <c r="I3" s="1937"/>
      <c r="J3" s="1937"/>
      <c r="K3" s="1938"/>
      <c r="L3" s="1937"/>
      <c r="M3" s="1937"/>
    </row>
    <row r="4" spans="1:25" ht="18" customHeight="1">
      <c r="A4" s="1572" t="s">
        <v>690</v>
      </c>
      <c r="B4" s="1302">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0" t="s">
        <v>692</v>
      </c>
      <c r="B6" s="1732" t="s">
        <v>693</v>
      </c>
      <c r="C6" s="1732" t="s">
        <v>626</v>
      </c>
      <c r="D6" s="1732" t="s">
        <v>627</v>
      </c>
      <c r="E6" s="768" t="s">
        <v>628</v>
      </c>
      <c r="F6" s="769"/>
      <c r="G6" s="1524"/>
      <c r="H6" s="1740" t="s">
        <v>624</v>
      </c>
      <c r="I6" s="1732" t="s">
        <v>625</v>
      </c>
      <c r="J6" s="1732" t="s">
        <v>626</v>
      </c>
      <c r="K6" s="1732" t="s">
        <v>627</v>
      </c>
      <c r="L6" s="768" t="s">
        <v>628</v>
      </c>
      <c r="M6" s="769"/>
    </row>
    <row r="7" spans="1:25" ht="18" customHeight="1">
      <c r="A7" s="770">
        <v>1</v>
      </c>
      <c r="B7" s="771" t="s">
        <v>2437</v>
      </c>
      <c r="C7" s="52">
        <f ca="1">C8+C12+C14</f>
        <v>0</v>
      </c>
      <c r="D7" s="2346" t="s">
        <v>2440</v>
      </c>
      <c r="E7" s="2340"/>
      <c r="F7" s="2341"/>
      <c r="G7" s="1524"/>
      <c r="H7" s="770">
        <v>1</v>
      </c>
      <c r="I7" s="771" t="s">
        <v>2437</v>
      </c>
      <c r="J7" s="52">
        <f ca="1">J8+J12+J14</f>
        <v>0</v>
      </c>
      <c r="K7" s="2346" t="s">
        <v>2440</v>
      </c>
      <c r="L7" s="2340"/>
      <c r="M7" s="2341"/>
    </row>
    <row r="8" spans="1:25" ht="18" customHeight="1">
      <c r="A8" s="1742" t="s">
        <v>1814</v>
      </c>
      <c r="B8" s="3682" t="s">
        <v>2442</v>
      </c>
      <c r="C8" s="1737">
        <f ca="1">ROUND(F8*F10*F9*(1-F11)/10000,0)</f>
        <v>0</v>
      </c>
      <c r="D8" s="1734" t="s">
        <v>2513</v>
      </c>
      <c r="E8" s="60" t="s">
        <v>631</v>
      </c>
      <c r="F8" s="774">
        <f ca="1">INDIRECT("'数据-取费表'!u"&amp;$G$1)</f>
        <v>0</v>
      </c>
      <c r="G8" s="1524"/>
      <c r="H8" s="2354" t="s">
        <v>1814</v>
      </c>
      <c r="I8" s="3682" t="s">
        <v>2442</v>
      </c>
      <c r="J8" s="772">
        <f ca="1">ROUND(M8*M10*M9*(1-M11)/10000,0)</f>
        <v>0</v>
      </c>
      <c r="K8" s="338" t="s">
        <v>2513</v>
      </c>
      <c r="L8" s="773" t="s">
        <v>1728</v>
      </c>
      <c r="M8" s="774">
        <f ca="1">INDIRECT("'数据-取费表'!z"&amp;$G$1)</f>
        <v>0</v>
      </c>
    </row>
    <row r="9" spans="1:25" ht="18" customHeight="1">
      <c r="A9" s="2350"/>
      <c r="B9" s="3683"/>
      <c r="C9" s="1738"/>
      <c r="D9" s="1735"/>
      <c r="E9" s="60" t="s">
        <v>632</v>
      </c>
      <c r="F9" s="774">
        <f ca="1">IF(INDIRECT("'数据-取费表'!ah"&amp;$G$1)="",INDIRECT("'数据-取费表'!k"&amp;$G$1),INDIRECT("'数据-取费表'!ah"&amp;$G$1))</f>
        <v>0</v>
      </c>
      <c r="G9" s="1524"/>
      <c r="H9" s="2339"/>
      <c r="I9" s="3683"/>
      <c r="J9" s="777"/>
      <c r="K9" s="778"/>
      <c r="L9" s="773" t="s">
        <v>1729</v>
      </c>
      <c r="M9" s="774">
        <f ca="1">F9</f>
        <v>0</v>
      </c>
    </row>
    <row r="10" spans="1:25" ht="18" customHeight="1">
      <c r="A10" s="2343"/>
      <c r="B10" s="3684"/>
      <c r="C10" s="1738"/>
      <c r="D10" s="1735"/>
      <c r="E10" s="60" t="s">
        <v>633</v>
      </c>
      <c r="F10" s="774">
        <f ca="1">INDIRECT("'数据-取费表'!ai"&amp;$G$1)</f>
        <v>0</v>
      </c>
      <c r="G10" s="1524"/>
      <c r="H10" s="2339"/>
      <c r="I10" s="3684"/>
      <c r="J10" s="777"/>
      <c r="K10" s="778"/>
      <c r="L10" s="773" t="s">
        <v>1730</v>
      </c>
      <c r="M10" s="774">
        <f ca="1">INDIRECT("'数据-取费表'!ai"&amp;$G$1)</f>
        <v>0</v>
      </c>
    </row>
    <row r="11" spans="1:25" ht="18" customHeight="1">
      <c r="A11" s="775"/>
      <c r="B11" s="3685"/>
      <c r="C11" s="1738"/>
      <c r="D11" s="1735"/>
      <c r="E11" s="60" t="s">
        <v>634</v>
      </c>
      <c r="F11" s="783">
        <f ca="1">INDIRECT("'数据-取费表'!w"&amp;$G$1)</f>
        <v>0</v>
      </c>
      <c r="G11" s="1524"/>
      <c r="H11" s="2355"/>
      <c r="I11" s="3684"/>
      <c r="J11" s="777"/>
      <c r="K11" s="778"/>
      <c r="L11" s="784" t="s">
        <v>1731</v>
      </c>
      <c r="M11" s="785">
        <f ca="1">INDIRECT("'数据-取费表'!ab"&amp;$G$1)</f>
        <v>0</v>
      </c>
    </row>
    <row r="12" spans="1:25" ht="18" customHeight="1">
      <c r="A12" s="1742" t="s">
        <v>1815</v>
      </c>
      <c r="B12" s="2344" t="s">
        <v>2438</v>
      </c>
      <c r="C12" s="788">
        <f ca="1">ROUND(IF(F12="押一",C8/12*F13,IF(F12="押二",C8/12*2*F13,IF(F12="押三",C8/12*3*F13,C13*F13))),0)</f>
        <v>0</v>
      </c>
      <c r="D12" s="2351" t="s">
        <v>2916</v>
      </c>
      <c r="E12" s="2348" t="s">
        <v>2443</v>
      </c>
      <c r="F12" s="2462"/>
      <c r="G12" s="1524"/>
      <c r="H12" s="2411" t="s">
        <v>1815</v>
      </c>
      <c r="I12" s="2416" t="s">
        <v>2438</v>
      </c>
      <c r="J12" s="772">
        <f ca="1">ROUND(IF(M12="押一",J8/12*M13,IF(M12="押二",J8/12*2*M13,IF(M12="押三",J8/12*3*M13,J13*M13))),0)</f>
        <v>0</v>
      </c>
      <c r="K12" s="2351" t="s">
        <v>2916</v>
      </c>
      <c r="L12" s="2348" t="s">
        <v>2443</v>
      </c>
      <c r="M12" s="2462"/>
    </row>
    <row r="13" spans="1:25" ht="18" customHeight="1">
      <c r="A13" s="779"/>
      <c r="B13" s="2345" t="s">
        <v>2552</v>
      </c>
      <c r="C13" s="2349"/>
      <c r="D13" s="778"/>
      <c r="E13" s="2348" t="s">
        <v>2436</v>
      </c>
      <c r="F13" s="785">
        <f ca="1">'数据-取费表'!B39</f>
        <v>1.4999999999999999E-2</v>
      </c>
      <c r="G13" s="1524"/>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1864</v>
      </c>
      <c r="B15" s="1739" t="s">
        <v>635</v>
      </c>
      <c r="C15" s="781">
        <f ca="1">ROUND(C31*F15,0)</f>
        <v>0</v>
      </c>
      <c r="D15" s="1746" t="s">
        <v>636</v>
      </c>
      <c r="E15" s="784" t="s">
        <v>637</v>
      </c>
      <c r="F15" s="789">
        <f ca="1">INDIRECT("'数据-取费表'!y"&amp;$G$1)</f>
        <v>0</v>
      </c>
      <c r="G15" s="1524"/>
      <c r="H15" s="1741" t="s">
        <v>1816</v>
      </c>
      <c r="I15" s="1739" t="s">
        <v>638</v>
      </c>
      <c r="J15" s="1731">
        <f ca="1">ROUND(J16*J17,0)</f>
        <v>0</v>
      </c>
      <c r="K15" s="1733" t="s">
        <v>636</v>
      </c>
      <c r="L15" s="790"/>
      <c r="M15" s="791"/>
    </row>
    <row r="16" spans="1:25" ht="18" customHeight="1">
      <c r="A16" s="792" t="s">
        <v>1865</v>
      </c>
      <c r="B16" s="773" t="s">
        <v>639</v>
      </c>
      <c r="C16" s="793">
        <f ca="1">INDIRECT("'数据-取费表'!m"&amp;$G$1)+INDIRECT("'数据-取费表'!t"&amp;$G$1)</f>
        <v>0</v>
      </c>
      <c r="D16" s="1890" t="s">
        <v>640</v>
      </c>
      <c r="E16" s="1891"/>
      <c r="F16" s="794"/>
      <c r="G16" s="1524"/>
      <c r="H16" s="792" t="s">
        <v>2056</v>
      </c>
      <c r="I16" s="2108" t="s">
        <v>2801</v>
      </c>
      <c r="J16" s="52">
        <f ca="1">C31</f>
        <v>0</v>
      </c>
      <c r="K16" s="25"/>
      <c r="L16" s="790"/>
      <c r="M16" s="791"/>
    </row>
    <row r="17" spans="1:25" s="1944" customFormat="1" ht="18" customHeight="1">
      <c r="A17" s="792" t="s">
        <v>1839</v>
      </c>
      <c r="B17" s="773" t="s">
        <v>641</v>
      </c>
      <c r="C17" s="52">
        <f ca="1">ROUND(C16*F17,0)</f>
        <v>0</v>
      </c>
      <c r="D17" s="795" t="s">
        <v>642</v>
      </c>
      <c r="E17" s="795" t="s">
        <v>643</v>
      </c>
      <c r="F17" s="796">
        <f>'数据-取费表'!B33</f>
        <v>0.05</v>
      </c>
      <c r="G17" s="1525"/>
      <c r="H17" s="792" t="s">
        <v>2057</v>
      </c>
      <c r="I17" s="773" t="s">
        <v>637</v>
      </c>
      <c r="J17" s="797">
        <f ca="1">INDIRECT("'数据-取费表'!ad"&amp;$G$1)</f>
        <v>0</v>
      </c>
      <c r="K17" s="25"/>
      <c r="L17" s="790"/>
      <c r="M17" s="791"/>
      <c r="N17" s="1943"/>
      <c r="O17" s="1943"/>
      <c r="P17" s="1943"/>
      <c r="Q17" s="1943"/>
      <c r="R17" s="1943"/>
      <c r="S17" s="1943"/>
      <c r="T17" s="1943"/>
      <c r="U17" s="1943"/>
      <c r="V17" s="1943"/>
      <c r="W17" s="1943"/>
      <c r="X17" s="1943"/>
      <c r="Y17" s="1943"/>
    </row>
    <row r="18" spans="1:25" ht="18" customHeight="1">
      <c r="A18" s="792" t="s">
        <v>1840</v>
      </c>
      <c r="B18" s="773" t="s">
        <v>644</v>
      </c>
      <c r="C18" s="52">
        <f ca="1">ROUND(INDIRECT("'数据-取费表'!m"&amp;$G$1)*F18,0)</f>
        <v>0</v>
      </c>
      <c r="D18" s="773" t="s">
        <v>642</v>
      </c>
      <c r="E18" s="773" t="s">
        <v>643</v>
      </c>
      <c r="F18" s="798">
        <f ca="1">IF(INDIRECT("'数据-取费表'!c"&amp;$G$1)="住宅",'数据-取费表'!B34,0)</f>
        <v>0</v>
      </c>
      <c r="G18" s="1524"/>
      <c r="H18" s="786" t="s">
        <v>1817</v>
      </c>
      <c r="I18" s="787" t="s">
        <v>645</v>
      </c>
      <c r="J18" s="788">
        <f ca="1">ROUND(J19+J24+J25+J26,0)</f>
        <v>0</v>
      </c>
      <c r="K18" s="25" t="s">
        <v>646</v>
      </c>
      <c r="L18" s="1893"/>
      <c r="M18" s="55"/>
    </row>
    <row r="19" spans="1:25" s="1944" customFormat="1" ht="18" customHeight="1">
      <c r="A19" s="792" t="s">
        <v>1841</v>
      </c>
      <c r="B19" s="773" t="s">
        <v>647</v>
      </c>
      <c r="C19" s="52">
        <f ca="1">ROUND(F19*(INDIRECT("'数据-取费表'!k"&amp;$G$1)+INDIRECT("'数据-取费表'!S"&amp;$G$1))/10000,0)</f>
        <v>0</v>
      </c>
      <c r="D19" s="773" t="s">
        <v>648</v>
      </c>
      <c r="E19" s="773" t="s">
        <v>649</v>
      </c>
      <c r="F19" s="55">
        <f>'数据-取费表'!B35</f>
        <v>200</v>
      </c>
      <c r="G19" s="1525"/>
      <c r="H19" s="792" t="s">
        <v>2056</v>
      </c>
      <c r="I19" s="773" t="s">
        <v>650</v>
      </c>
      <c r="J19" s="3014">
        <f ca="1">ROUND(IF(AND(项目基本情况!B11="自然人",项目基本情况!B10="北京市"),J8*M19/(1+'数据-取费表'!C42),J20+J21+J22),0)</f>
        <v>0</v>
      </c>
      <c r="K19" s="1890" t="s">
        <v>651</v>
      </c>
      <c r="L19" s="1888" t="s">
        <v>652</v>
      </c>
      <c r="M19" s="3013"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1842</v>
      </c>
      <c r="B20" s="773" t="s">
        <v>653</v>
      </c>
      <c r="C20" s="52">
        <f ca="1">ROUND(C16*F20,0)</f>
        <v>0</v>
      </c>
      <c r="D20" s="773" t="s">
        <v>642</v>
      </c>
      <c r="E20" s="773" t="s">
        <v>643</v>
      </c>
      <c r="F20" s="798">
        <f>'数据-取费表'!B36</f>
        <v>1.4999999999999999E-2</v>
      </c>
      <c r="G20" s="1525"/>
      <c r="H20" s="792" t="s">
        <v>1821</v>
      </c>
      <c r="I20" s="773" t="s">
        <v>654</v>
      </c>
      <c r="J20" s="52">
        <f ca="1">ROUND(J8*M20/(1+'数据-取费表'!C42),1)</f>
        <v>0</v>
      </c>
      <c r="K20" s="1888" t="s">
        <v>655</v>
      </c>
      <c r="L20" s="773" t="s">
        <v>643</v>
      </c>
      <c r="M20" s="798">
        <f>'数据-取费表'!B41</f>
        <v>5.5000000000000007E-2</v>
      </c>
      <c r="N20" s="1943"/>
      <c r="O20" s="1943"/>
      <c r="P20" s="1943"/>
      <c r="Q20" s="1943"/>
      <c r="R20" s="1943"/>
      <c r="S20" s="1943"/>
      <c r="T20" s="1943"/>
      <c r="U20" s="1943"/>
      <c r="V20" s="1943"/>
      <c r="W20" s="1943"/>
      <c r="X20" s="1943"/>
      <c r="Y20" s="1943"/>
    </row>
    <row r="21" spans="1:25" ht="18" customHeight="1">
      <c r="A21" s="792" t="s">
        <v>1866</v>
      </c>
      <c r="B21" s="773" t="s">
        <v>656</v>
      </c>
      <c r="C21" s="52">
        <f ca="1">SUM(C16:C20)</f>
        <v>0</v>
      </c>
      <c r="D21" s="258" t="s">
        <v>657</v>
      </c>
      <c r="E21" s="1893"/>
      <c r="F21" s="55"/>
      <c r="G21" s="1524"/>
      <c r="H21" s="1742" t="s">
        <v>1839</v>
      </c>
      <c r="I21" s="773" t="s">
        <v>658</v>
      </c>
      <c r="J21" s="52">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1867</v>
      </c>
      <c r="B22" s="773" t="s">
        <v>660</v>
      </c>
      <c r="C22" s="52">
        <f ca="1">ROUND(C21*F22,0)</f>
        <v>0</v>
      </c>
      <c r="D22" s="800" t="s">
        <v>661</v>
      </c>
      <c r="E22" s="773" t="s">
        <v>643</v>
      </c>
      <c r="F22" s="798">
        <f>'数据-取费表'!B37</f>
        <v>2.5000000000000001E-2</v>
      </c>
      <c r="G22" s="1525"/>
      <c r="H22" s="1744" t="s">
        <v>1840</v>
      </c>
      <c r="I22" s="1734" t="s">
        <v>662</v>
      </c>
      <c r="J22" s="53">
        <f ca="1">ROUND(M22*M23/10000,0)</f>
        <v>0</v>
      </c>
      <c r="K22" s="802" t="s">
        <v>663</v>
      </c>
      <c r="L22" s="773" t="s">
        <v>664</v>
      </c>
      <c r="M22" s="631">
        <f>'数据-取费表'!B52</f>
        <v>1.5</v>
      </c>
      <c r="N22" s="1943"/>
      <c r="O22" s="1943"/>
      <c r="P22" s="1943"/>
      <c r="Q22" s="1943"/>
      <c r="R22" s="1943"/>
      <c r="S22" s="1943"/>
      <c r="T22" s="1943"/>
      <c r="U22" s="1943"/>
      <c r="V22" s="1943"/>
      <c r="W22" s="1943"/>
      <c r="X22" s="1943"/>
      <c r="Y22" s="1943"/>
    </row>
    <row r="23" spans="1:25" s="1944" customFormat="1" ht="18" customHeight="1">
      <c r="A23" s="792" t="s">
        <v>1868</v>
      </c>
      <c r="B23" s="773" t="s">
        <v>665</v>
      </c>
      <c r="C23" s="52" t="s">
        <v>1</v>
      </c>
      <c r="D23" s="800" t="s">
        <v>666</v>
      </c>
      <c r="E23" s="773" t="s">
        <v>667</v>
      </c>
      <c r="F23" s="798">
        <f>'数据-取费表'!B38</f>
        <v>2.5000000000000001E-2</v>
      </c>
      <c r="G23" s="1525"/>
      <c r="H23" s="1745"/>
      <c r="I23" s="1736"/>
      <c r="J23" s="68"/>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1869</v>
      </c>
      <c r="B24" s="773" t="s">
        <v>669</v>
      </c>
      <c r="C24" s="52"/>
      <c r="D24" s="2421" t="str">
        <f>IF(F25&lt;=1,"单利计息。","复利计息。")&amp;"建造成本、管理费用、销售费用产生的利息。"</f>
        <v>复利计息。建造成本、管理费用、销售费用产生的利息。</v>
      </c>
      <c r="E24" s="1893"/>
      <c r="F24" s="55"/>
      <c r="G24" s="1524"/>
      <c r="H24" s="1743" t="s">
        <v>2057</v>
      </c>
      <c r="I24" s="773" t="s">
        <v>670</v>
      </c>
      <c r="J24" s="52">
        <f ca="1">ROUND(J16*M24,0)</f>
        <v>0</v>
      </c>
      <c r="K24" s="1888" t="s">
        <v>671</v>
      </c>
      <c r="L24" s="773" t="s">
        <v>643</v>
      </c>
      <c r="M24" s="805">
        <f ca="1">INDIRECT("'数据-取费表'!Ak"&amp;$G$1)</f>
        <v>0</v>
      </c>
    </row>
    <row r="25" spans="1:25" s="1944" customFormat="1" ht="18" customHeight="1">
      <c r="A25" s="792" t="s">
        <v>1865</v>
      </c>
      <c r="B25" s="773" t="s">
        <v>2419</v>
      </c>
      <c r="C25" s="52">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5"/>
      <c r="H25" s="792" t="s">
        <v>1868</v>
      </c>
      <c r="I25" s="773" t="s">
        <v>673</v>
      </c>
      <c r="J25" s="52">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1839</v>
      </c>
      <c r="B26" s="773" t="s">
        <v>675</v>
      </c>
      <c r="C26" s="52">
        <f ca="1">ROUND(IF('数据-取费表'!B22&lt;=1,F23*F26*F25/2,F23*(POWER((1+F26),F25/2)-1)),4)</f>
        <v>8.0000000000000004E-4</v>
      </c>
      <c r="D26" s="2420" t="str">
        <f>IF(F25&lt;=1,"销售费用×利率×(建设周期÷2)","销售费用×((1+利率)^(建设周期÷2)-1)")</f>
        <v>销售费用×((1+利率)^(建设周期÷2)-1)</v>
      </c>
      <c r="E26" s="773" t="s">
        <v>676</v>
      </c>
      <c r="F26" s="807">
        <f ca="1">'数据-取费表'!B40</f>
        <v>4.3499999999999997E-2</v>
      </c>
      <c r="G26" s="1525"/>
      <c r="H26" s="792" t="s">
        <v>1869</v>
      </c>
      <c r="I26" s="773" t="s">
        <v>660</v>
      </c>
      <c r="J26" s="52">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1871</v>
      </c>
      <c r="B27" s="773" t="s">
        <v>678</v>
      </c>
      <c r="C27" s="52"/>
      <c r="D27" s="258" t="s">
        <v>679</v>
      </c>
      <c r="E27" s="1893"/>
      <c r="F27" s="55"/>
      <c r="G27" s="1524"/>
      <c r="H27" s="786" t="s">
        <v>1818</v>
      </c>
      <c r="I27" s="2720" t="s">
        <v>2798</v>
      </c>
      <c r="J27" s="788">
        <f ca="1">J7-J18</f>
        <v>0</v>
      </c>
      <c r="K27" s="1890" t="s">
        <v>694</v>
      </c>
      <c r="L27" s="1892"/>
      <c r="M27" s="808"/>
    </row>
    <row r="28" spans="1:25" ht="18" customHeight="1">
      <c r="A28" s="792" t="s">
        <v>1865</v>
      </c>
      <c r="B28" s="773" t="s">
        <v>2420</v>
      </c>
      <c r="C28" s="52">
        <f ca="1">ROUND((C21+C22)*F28,0)</f>
        <v>0</v>
      </c>
      <c r="D28" s="800" t="s">
        <v>695</v>
      </c>
      <c r="E28" s="784" t="s">
        <v>696</v>
      </c>
      <c r="F28" s="783">
        <f ca="1">INDIRECT("'数据-取费表'!q"&amp;$G$1)</f>
        <v>0</v>
      </c>
      <c r="G28" s="1524"/>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2">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1872</v>
      </c>
      <c r="B30" s="773" t="s">
        <v>681</v>
      </c>
      <c r="C30" s="52">
        <f>ROUND(F30/(1+'数据-取费表'!C42),4)</f>
        <v>5.2400000000000002E-2</v>
      </c>
      <c r="D30" s="800" t="s">
        <v>703</v>
      </c>
      <c r="E30" s="773" t="s">
        <v>643</v>
      </c>
      <c r="F30" s="798">
        <f>'数据-取费表'!B41</f>
        <v>5.5000000000000007E-2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5"/>
      <c r="H31" s="811" t="s">
        <v>1862</v>
      </c>
      <c r="I31" s="2721" t="s">
        <v>2800</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1">
        <f ca="1">ROUND(C33+C38+C39+C40,0)</f>
        <v>0</v>
      </c>
      <c r="D32" s="1733" t="s">
        <v>646</v>
      </c>
      <c r="E32" s="2337"/>
      <c r="F32" s="2341"/>
      <c r="G32" s="1942"/>
      <c r="H32" s="1945"/>
      <c r="I32" s="1946"/>
      <c r="J32" s="1947"/>
      <c r="K32" s="1948"/>
      <c r="L32" s="1949"/>
      <c r="M32" s="1950"/>
    </row>
    <row r="33" spans="1:18" ht="18" customHeight="1">
      <c r="A33" s="792" t="s">
        <v>1866</v>
      </c>
      <c r="B33" s="773" t="s">
        <v>650</v>
      </c>
      <c r="C33" s="3014">
        <f ca="1">ROUND(IF(AND(项目基本情况!B11="自然人",项目基本情况!B10="北京市"),C8*F33/(1+'数据-取费表'!C42),C34+C35+C36),0)</f>
        <v>0</v>
      </c>
      <c r="D33" s="1890" t="s">
        <v>651</v>
      </c>
      <c r="E33" s="1888" t="s">
        <v>684</v>
      </c>
      <c r="F33" s="3013" t="str">
        <f>IF(项目基本情况!B11="企业","——",IF('数据-取费表'!B10="住宅",IF(F8*F9*F10/12/(1+'数据-取费表'!F30)&gt;100000,4%,2.5%),IF(F8*F9*F10/12/(1+'数据-取费表'!F30)&gt;100000,12%,7%)))</f>
        <v>——</v>
      </c>
      <c r="G33" s="1942"/>
      <c r="H33" s="3251" t="s">
        <v>2972</v>
      </c>
      <c r="I33" s="1946"/>
      <c r="J33" s="1947"/>
      <c r="K33" s="1948"/>
      <c r="L33" s="1949"/>
      <c r="M33" s="1950"/>
    </row>
    <row r="34" spans="1:18" ht="18" customHeight="1">
      <c r="A34" s="792" t="s">
        <v>1865</v>
      </c>
      <c r="B34" s="773" t="s">
        <v>654</v>
      </c>
      <c r="C34" s="52">
        <f ca="1">ROUND(C8*F34/(1+'数据-取费表'!C42),1)</f>
        <v>0</v>
      </c>
      <c r="D34" s="1888" t="s">
        <v>655</v>
      </c>
      <c r="E34" s="773" t="s">
        <v>643</v>
      </c>
      <c r="F34" s="798">
        <f>'数据-取费表'!B41</f>
        <v>5.5000000000000007E-2</v>
      </c>
      <c r="G34" s="1942"/>
      <c r="H34" s="1951"/>
      <c r="I34" s="1952"/>
      <c r="J34" s="1953"/>
      <c r="K34" s="1954"/>
      <c r="L34" s="1955"/>
      <c r="M34" s="1956"/>
    </row>
    <row r="35" spans="1:18" ht="18" customHeight="1">
      <c r="A35" s="792" t="s">
        <v>1839</v>
      </c>
      <c r="B35" s="773" t="s">
        <v>658</v>
      </c>
      <c r="C35" s="52">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2"/>
      <c r="H35" s="1957"/>
      <c r="I35" s="1957"/>
      <c r="J35" s="1957"/>
      <c r="K35" s="1958"/>
      <c r="L35" s="1957"/>
      <c r="M35" s="1957"/>
    </row>
    <row r="36" spans="1:18" ht="18" customHeight="1">
      <c r="A36" s="801" t="s">
        <v>1870</v>
      </c>
      <c r="B36" s="338" t="s">
        <v>662</v>
      </c>
      <c r="C36" s="53">
        <f ca="1">ROUND(F36*F37/10000,1)</f>
        <v>0</v>
      </c>
      <c r="D36" s="802" t="s">
        <v>663</v>
      </c>
      <c r="E36" s="773" t="s">
        <v>664</v>
      </c>
      <c r="F36" s="631">
        <f>'数据-取费表'!B52</f>
        <v>1.5</v>
      </c>
      <c r="G36" s="1942"/>
      <c r="H36" s="1945"/>
      <c r="I36" s="3729"/>
      <c r="J36" s="1959"/>
      <c r="K36" s="1960"/>
      <c r="L36" s="1959"/>
      <c r="M36" s="1959"/>
    </row>
    <row r="37" spans="1:18" ht="18" customHeight="1">
      <c r="A37" s="803"/>
      <c r="B37" s="782"/>
      <c r="C37" s="68"/>
      <c r="D37" s="804"/>
      <c r="E37" s="773" t="s">
        <v>668</v>
      </c>
      <c r="F37" s="774">
        <f ca="1">INDIRECT("'数据-取费表'!r"&amp;$G$1)</f>
        <v>0</v>
      </c>
      <c r="G37" s="1942"/>
      <c r="H37" s="1945"/>
      <c r="I37" s="3729"/>
      <c r="J37" s="1957"/>
      <c r="K37" s="1958"/>
      <c r="L37" s="1957"/>
      <c r="M37" s="1957"/>
    </row>
    <row r="38" spans="1:18" ht="18" customHeight="1">
      <c r="A38" s="792" t="s">
        <v>1867</v>
      </c>
      <c r="B38" s="773" t="s">
        <v>670</v>
      </c>
      <c r="C38" s="52">
        <f ca="1">ROUND(C31*F38,1)</f>
        <v>0</v>
      </c>
      <c r="D38" s="1888" t="s">
        <v>685</v>
      </c>
      <c r="E38" s="773" t="s">
        <v>643</v>
      </c>
      <c r="F38" s="805">
        <f ca="1">INDIRECT("'数据-取费表'!Ak"&amp;$G$1)</f>
        <v>0</v>
      </c>
      <c r="G38" s="1942"/>
      <c r="H38" s="1957"/>
      <c r="I38" s="3017"/>
      <c r="J38" s="1897"/>
      <c r="K38" s="1961"/>
      <c r="L38" s="1957"/>
      <c r="M38" s="1957"/>
    </row>
    <row r="39" spans="1:18" ht="18" customHeight="1">
      <c r="A39" s="792" t="s">
        <v>1868</v>
      </c>
      <c r="B39" s="773" t="s">
        <v>673</v>
      </c>
      <c r="C39" s="52">
        <f ca="1">ROUND(C15*F39,1)</f>
        <v>0</v>
      </c>
      <c r="D39" s="1888" t="s">
        <v>674</v>
      </c>
      <c r="E39" s="773" t="s">
        <v>643</v>
      </c>
      <c r="F39" s="806">
        <f ca="1">INDIRECT("'数据-取费表'!Al"&amp;$G$1)</f>
        <v>0</v>
      </c>
      <c r="G39" s="1942"/>
      <c r="H39" s="1957"/>
      <c r="I39" s="3017"/>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7"/>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2" t="s">
        <v>1866</v>
      </c>
      <c r="B42" s="823" t="s">
        <v>687</v>
      </c>
      <c r="C42" s="817">
        <f ca="1">C7-C32</f>
        <v>0</v>
      </c>
      <c r="D42" s="1890" t="s">
        <v>688</v>
      </c>
      <c r="E42" s="1892"/>
      <c r="F42" s="808"/>
      <c r="G42" s="1942"/>
      <c r="H42" s="1942"/>
      <c r="I42" s="1942"/>
      <c r="J42" s="1942"/>
      <c r="K42" s="1962"/>
      <c r="L42" s="1942"/>
      <c r="M42" s="1942"/>
    </row>
    <row r="43" spans="1:18" ht="18" customHeight="1">
      <c r="A43" s="792" t="s">
        <v>1867</v>
      </c>
      <c r="B43" s="823" t="s">
        <v>705</v>
      </c>
      <c r="C43" s="824">
        <f ca="1">ROUND(C15*F43,0)</f>
        <v>0</v>
      </c>
      <c r="D43" s="1306" t="s">
        <v>706</v>
      </c>
      <c r="E43" s="2790" t="s">
        <v>2905</v>
      </c>
      <c r="F43" s="2791">
        <f ca="1">INDIRECT("'数据-取费表'!j"&amp;$G$1)</f>
        <v>0</v>
      </c>
      <c r="G43" s="1942"/>
      <c r="H43" s="1942"/>
      <c r="I43" s="1942"/>
      <c r="J43" s="1942"/>
      <c r="K43" s="1962"/>
      <c r="L43" s="1942"/>
      <c r="M43" s="1942"/>
    </row>
    <row r="44" spans="1:18" ht="18" customHeight="1">
      <c r="A44" s="792" t="s">
        <v>1868</v>
      </c>
      <c r="B44" s="823" t="s">
        <v>707</v>
      </c>
      <c r="C44" s="1307">
        <f ca="1">C42-C43</f>
        <v>0</v>
      </c>
      <c r="D44" s="456" t="s">
        <v>708</v>
      </c>
      <c r="E44" s="457"/>
      <c r="F44" s="458"/>
      <c r="G44" s="1942"/>
      <c r="H44" s="1942"/>
      <c r="I44" s="1942"/>
      <c r="J44" s="1942"/>
      <c r="K44" s="1962"/>
      <c r="L44" s="1942"/>
      <c r="M44" s="1942"/>
    </row>
    <row r="45" spans="1:18" ht="18" customHeight="1">
      <c r="A45" s="792" t="s">
        <v>1869</v>
      </c>
      <c r="B45" s="1306" t="s">
        <v>709</v>
      </c>
      <c r="C45" s="2746">
        <f ca="1">ROUND(-PV(F45,F46,C44,0),0)</f>
        <v>0</v>
      </c>
      <c r="D45" s="1308" t="s">
        <v>710</v>
      </c>
      <c r="E45" s="795" t="s">
        <v>711</v>
      </c>
      <c r="F45" s="818">
        <f ca="1">INDIRECT("'数据-取费表'!h"&amp;$G$1)</f>
        <v>0</v>
      </c>
      <c r="G45" s="1942"/>
      <c r="H45" s="1942"/>
      <c r="I45" s="1942"/>
      <c r="J45" s="1942"/>
      <c r="K45" s="1962"/>
      <c r="L45" s="1942"/>
      <c r="M45" s="1942"/>
    </row>
    <row r="46" spans="1:18" ht="18" customHeight="1" thickBot="1">
      <c r="A46" s="819"/>
      <c r="B46" s="1309"/>
      <c r="C46" s="1310"/>
      <c r="D46" s="1311"/>
      <c r="E46" s="2792" t="s">
        <v>2908</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6" t="str">
        <f ca="1">IF(M48="住宅",0,IF(L49&gt;J52,L61,J61))</f>
        <v>0</v>
      </c>
      <c r="O47" s="2246" t="s">
        <v>2393</v>
      </c>
      <c r="P47" s="1524"/>
      <c r="Q47" s="1532"/>
      <c r="R47" s="1524"/>
    </row>
    <row r="48" spans="1:18" s="1939" customFormat="1" ht="18" customHeight="1" thickBot="1">
      <c r="A48" s="1963"/>
      <c r="C48" s="1966"/>
      <c r="D48" s="1967"/>
      <c r="E48" s="1967"/>
      <c r="F48" s="1968"/>
      <c r="G48" s="1969"/>
      <c r="I48" s="2797" t="s">
        <v>2327</v>
      </c>
      <c r="J48" s="2233"/>
      <c r="K48" s="2803" t="s">
        <v>2332</v>
      </c>
      <c r="L48" s="2807">
        <f ca="1">INDIRECT("'数据-取费表'!d"&amp;$G$1)</f>
        <v>0</v>
      </c>
      <c r="M48" s="2789"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4" t="s">
        <v>2328</v>
      </c>
      <c r="J49" s="2234"/>
      <c r="K49" s="2804"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4" t="s">
        <v>2329</v>
      </c>
      <c r="J50" s="2235"/>
      <c r="K50" s="2805"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4" t="s">
        <v>2330</v>
      </c>
      <c r="J51" s="2801">
        <f>SUMPRODUCT((I64:I66=J48)*(J63:L63=J49)*(J64:L66))</f>
        <v>0</v>
      </c>
      <c r="K51" s="2805" t="s">
        <v>2336</v>
      </c>
      <c r="L51" s="2236"/>
      <c r="O51" s="2253" t="s">
        <v>2366</v>
      </c>
      <c r="P51" s="2251" t="s">
        <v>2390</v>
      </c>
      <c r="Q51" s="2252">
        <f ca="1">C31</f>
        <v>0</v>
      </c>
      <c r="R51" s="2251" t="s">
        <v>2363</v>
      </c>
    </row>
    <row r="52" spans="1:18" s="1939" customFormat="1" ht="18" customHeight="1" thickBot="1">
      <c r="A52" s="1975"/>
      <c r="F52" s="1964"/>
      <c r="I52" s="2798" t="s">
        <v>2331</v>
      </c>
      <c r="J52" s="2802">
        <f>IF(J50="",J51,J50+J51-YEAR('数据-取费表'!B3))</f>
        <v>0</v>
      </c>
      <c r="K52" s="2794" t="s">
        <v>2337</v>
      </c>
      <c r="L52" s="2808">
        <f ca="1">C45</f>
        <v>0</v>
      </c>
      <c r="O52" s="2253" t="s">
        <v>2367</v>
      </c>
      <c r="P52" s="2251" t="s">
        <v>2368</v>
      </c>
      <c r="Q52" s="2254" t="e">
        <f ca="1">J59</f>
        <v>#VALUE!</v>
      </c>
      <c r="R52" s="2255"/>
    </row>
    <row r="53" spans="1:18" s="1939" customFormat="1" ht="18" customHeight="1" thickBot="1">
      <c r="A53" s="1975"/>
      <c r="F53" s="1964"/>
      <c r="I53" s="2799" t="s">
        <v>2404</v>
      </c>
      <c r="J53" s="2237"/>
      <c r="K53" s="2799" t="s">
        <v>2403</v>
      </c>
      <c r="L53" s="2237"/>
      <c r="O53" s="2253" t="s">
        <v>2369</v>
      </c>
      <c r="P53" s="2251" t="s">
        <v>2370</v>
      </c>
      <c r="Q53" s="2254">
        <f>J53</f>
        <v>0</v>
      </c>
      <c r="R53" s="2255"/>
    </row>
    <row r="54" spans="1:18" s="1939" customFormat="1" ht="29.25" thickBot="1">
      <c r="A54" s="1975"/>
      <c r="I54" s="2800" t="s">
        <v>2920</v>
      </c>
      <c r="J54" s="2853">
        <f ca="1">IF(M48="住宅",MAX(J52,L49-'数据-取费表'!B20),MIN(J52,L49-'数据-取费表'!B20))</f>
        <v>-1.5</v>
      </c>
      <c r="K54" s="3730"/>
      <c r="L54" s="3731"/>
      <c r="O54" s="2253" t="s">
        <v>2371</v>
      </c>
      <c r="P54" s="2251" t="s">
        <v>2372</v>
      </c>
      <c r="Q54" s="2252">
        <f ca="1">J54</f>
        <v>-1.5</v>
      </c>
      <c r="R54" s="2251" t="s">
        <v>2373</v>
      </c>
    </row>
    <row r="55" spans="1:18" s="1939" customFormat="1" ht="18" customHeight="1" thickBot="1">
      <c r="A55" s="1975"/>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50" t="s">
        <v>2374</v>
      </c>
      <c r="P55" s="2251" t="s">
        <v>2391</v>
      </c>
      <c r="Q55" s="2252">
        <f ca="1">Q49+Q50</f>
        <v>0</v>
      </c>
      <c r="R55" s="2255" t="s">
        <v>2375</v>
      </c>
    </row>
    <row r="56" spans="1:18" s="1939" customFormat="1" ht="16.5" thickBot="1">
      <c r="A56" s="1975"/>
      <c r="B56" s="1976"/>
      <c r="C56" s="1976"/>
      <c r="I56" s="2811" t="s">
        <v>2338</v>
      </c>
      <c r="J56" s="2783" t="e">
        <f ca="1">ROUND(IF(J48="钢混",J58/J51,1-(1-2%)*(J51-J58)/J51),3)</f>
        <v>#VALUE!</v>
      </c>
      <c r="K56" s="2812" t="s">
        <v>2339</v>
      </c>
      <c r="L56" s="2238"/>
      <c r="O56" s="2256" t="s">
        <v>2394</v>
      </c>
      <c r="P56" s="1524"/>
      <c r="Q56" s="1532"/>
      <c r="R56" s="1524"/>
    </row>
    <row r="57" spans="1:18" s="1939" customFormat="1" ht="43.5" thickBot="1">
      <c r="A57" s="1975"/>
      <c r="B57" s="1976"/>
      <c r="C57" s="1976"/>
      <c r="I57" s="2813" t="s">
        <v>2340</v>
      </c>
      <c r="J57" s="2823" t="s">
        <v>1668</v>
      </c>
      <c r="K57" s="2794" t="s">
        <v>2345</v>
      </c>
      <c r="L57" s="1819">
        <f ca="1">IF(L49&lt;J52,"——",L49-J52)</f>
        <v>0</v>
      </c>
      <c r="O57" s="2247" t="s">
        <v>2358</v>
      </c>
      <c r="P57" s="2248" t="s">
        <v>2359</v>
      </c>
      <c r="Q57" s="2249" t="s">
        <v>2360</v>
      </c>
      <c r="R57" s="2248" t="s">
        <v>2361</v>
      </c>
    </row>
    <row r="58" spans="1:18" s="1939" customFormat="1" ht="29.25" thickBot="1">
      <c r="A58" s="1975"/>
      <c r="B58" s="1976"/>
      <c r="C58" s="1976"/>
      <c r="I58" s="2814" t="s">
        <v>2341</v>
      </c>
      <c r="J58" s="2815" t="str">
        <f ca="1">IF(OR(M48="住宅",J52&lt;L49,J57="是"),"——",J52-L49)</f>
        <v>——</v>
      </c>
      <c r="K58" s="2794"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4" t="s">
        <v>2342</v>
      </c>
      <c r="J59" s="2784" t="e">
        <f ca="1">IF(J56&lt;0.4,0.4,J56)</f>
        <v>#VALUE!</v>
      </c>
      <c r="K59" s="2794"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4" t="s">
        <v>2343</v>
      </c>
      <c r="J60" s="2815" t="str">
        <f ca="1">IF(OR(M48="住宅",J52&lt;L49,J57="是"),"——",ROUND(C30*J59,0))</f>
        <v>——</v>
      </c>
      <c r="K60" s="2794"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6" t="s">
        <v>2344</v>
      </c>
      <c r="J61" s="2817" t="str">
        <f ca="1">IF(OR(M48="住宅",J52&lt;L49,J57="是"),"0",ROUND(J60/(1+J53)^J54,0))</f>
        <v>0</v>
      </c>
      <c r="K61" s="2818" t="s">
        <v>2349</v>
      </c>
      <c r="L61" s="2817"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19" t="s">
        <v>2350</v>
      </c>
      <c r="J63" s="2820" t="s">
        <v>2351</v>
      </c>
      <c r="K63" s="2820" t="s">
        <v>2352</v>
      </c>
      <c r="L63" s="2820" t="s">
        <v>2333</v>
      </c>
      <c r="M63" s="2821" t="s">
        <v>2888</v>
      </c>
      <c r="O63" s="2253" t="s">
        <v>2371</v>
      </c>
      <c r="P63" s="2251" t="s">
        <v>2379</v>
      </c>
      <c r="Q63" s="2252">
        <f ca="1">L60</f>
        <v>0</v>
      </c>
      <c r="R63" s="2255" t="s">
        <v>2380</v>
      </c>
    </row>
    <row r="64" spans="1:18" s="1939" customFormat="1" ht="15.75" thickBot="1">
      <c r="A64" s="1975"/>
      <c r="B64" s="1976"/>
      <c r="C64" s="1976"/>
      <c r="I64" s="2819" t="s">
        <v>2353</v>
      </c>
      <c r="J64" s="2820">
        <v>70</v>
      </c>
      <c r="K64" s="2820">
        <v>50</v>
      </c>
      <c r="L64" s="2820">
        <v>80</v>
      </c>
      <c r="M64" s="2822">
        <v>0.02</v>
      </c>
      <c r="O64" s="2250" t="s">
        <v>2374</v>
      </c>
      <c r="P64" s="2251" t="s">
        <v>2391</v>
      </c>
      <c r="Q64" s="2252" t="e">
        <f ca="1">Q58+Q59</f>
        <v>#DIV/0!</v>
      </c>
      <c r="R64" s="2255" t="s">
        <v>2375</v>
      </c>
    </row>
    <row r="65" spans="1:18" s="1939" customFormat="1" ht="16.5" thickBot="1">
      <c r="A65" s="1975"/>
      <c r="B65" s="1976"/>
      <c r="C65" s="1976"/>
      <c r="I65" s="2819" t="s">
        <v>2354</v>
      </c>
      <c r="J65" s="2820">
        <v>50</v>
      </c>
      <c r="K65" s="2820">
        <v>35</v>
      </c>
      <c r="L65" s="2820">
        <v>60</v>
      </c>
      <c r="M65" s="834">
        <v>0</v>
      </c>
      <c r="O65" s="2256" t="s">
        <v>2398</v>
      </c>
      <c r="P65" s="1524"/>
      <c r="Q65" s="1532"/>
      <c r="R65" s="1524"/>
    </row>
    <row r="66" spans="1:18" s="1939" customFormat="1" ht="15.75" thickBot="1">
      <c r="A66" s="1975"/>
      <c r="B66" s="1976"/>
      <c r="C66" s="1976"/>
      <c r="I66" s="2819" t="s">
        <v>2355</v>
      </c>
      <c r="J66" s="2820">
        <v>40</v>
      </c>
      <c r="K66" s="2820">
        <v>30</v>
      </c>
      <c r="L66" s="2820">
        <v>50</v>
      </c>
      <c r="M66" s="2822">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73" priority="6">
      <formula>$F$12="自定义"</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I56">
    <cfRule type="expression" dxfId="70" priority="4">
      <formula>$J$51&gt;$L$48</formula>
    </cfRule>
  </conditionalFormatting>
  <conditionalFormatting sqref="I61">
    <cfRule type="expression" dxfId="69" priority="2">
      <formula>$J$51&gt;$L$48</formula>
    </cfRule>
  </conditionalFormatting>
  <conditionalFormatting sqref="K61">
    <cfRule type="expression" dxfId="68" priority="1">
      <formula>$L$48&gt;$J$51</formula>
    </cfRule>
  </conditionalFormatting>
  <dataValidations count="5">
    <dataValidation type="list" allowBlank="1" showInputMessage="1" showErrorMessage="1" sqref="C1" xr:uid="{00000000-0002-0000-2600-000000000000}">
      <formula1>项目类型</formula1>
    </dataValidation>
    <dataValidation type="list" allowBlank="1" showInputMessage="1" showErrorMessage="1" sqref="D35" xr:uid="{00000000-0002-0000-2600-000001000000}">
      <formula1>"按租金收入计税,按房产原值计税,按票据"</formula1>
    </dataValidation>
    <dataValidation type="list" allowBlank="1" showInputMessage="1" showErrorMessage="1" sqref="K21" xr:uid="{00000000-0002-0000-2600-000002000000}">
      <formula1>"按租金收入计税,按房产原值计税"</formula1>
    </dataValidation>
    <dataValidation type="list" allowBlank="1" showInputMessage="1" showErrorMessage="1" sqref="F12 M12" xr:uid="{00000000-0002-0000-2600-000003000000}">
      <formula1>"押一,押二,押三,自定义"</formula1>
    </dataValidation>
    <dataValidation type="list" allowBlank="1" showInputMessage="1" showErrorMessage="1" sqref="J57" xr:uid="{00000000-0002-0000-2600-000004000000}">
      <formula1>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732" t="s">
        <v>2450</v>
      </c>
      <c r="B1" s="3733"/>
      <c r="C1" s="3734"/>
      <c r="D1" s="3735">
        <f>SUM(I10,I15,I20,I21,I23)</f>
        <v>0</v>
      </c>
      <c r="E1" s="3735"/>
      <c r="F1" s="3735"/>
      <c r="G1" s="3735"/>
      <c r="H1" s="3735"/>
      <c r="I1" s="3736"/>
    </row>
    <row r="2" spans="1:9">
      <c r="A2" s="3737" t="s">
        <v>2451</v>
      </c>
      <c r="B2" s="3738" t="s">
        <v>2452</v>
      </c>
      <c r="C2" s="3738"/>
      <c r="D2" s="2357" t="s">
        <v>2453</v>
      </c>
      <c r="E2" s="2357" t="s">
        <v>2454</v>
      </c>
      <c r="F2" s="2357" t="s">
        <v>2455</v>
      </c>
      <c r="G2" s="2357" t="s">
        <v>2456</v>
      </c>
      <c r="H2" s="2357" t="s">
        <v>2457</v>
      </c>
      <c r="I2" s="2358" t="s">
        <v>2458</v>
      </c>
    </row>
    <row r="3" spans="1:9">
      <c r="A3" s="3737"/>
      <c r="B3" s="3738" t="s">
        <v>2459</v>
      </c>
      <c r="C3" s="3738"/>
      <c r="D3" s="2359"/>
      <c r="E3" s="2357"/>
      <c r="F3" s="2360"/>
      <c r="G3" s="2360"/>
      <c r="H3" s="2361"/>
      <c r="I3" s="2362">
        <f>ROUND(D3*E3*F3*G3*H3/10000,0)</f>
        <v>0</v>
      </c>
    </row>
    <row r="4" spans="1:9">
      <c r="A4" s="3737"/>
      <c r="B4" s="3738" t="s">
        <v>2460</v>
      </c>
      <c r="C4" s="3738"/>
      <c r="D4" s="2359"/>
      <c r="E4" s="2357"/>
      <c r="F4" s="2360"/>
      <c r="G4" s="2360"/>
      <c r="H4" s="2361"/>
      <c r="I4" s="2362">
        <f t="shared" ref="I4:I9" si="0">ROUND(D4*E4*F4*G4*H4/10000,0)</f>
        <v>0</v>
      </c>
    </row>
    <row r="5" spans="1:9">
      <c r="A5" s="3737"/>
      <c r="B5" s="3738" t="s">
        <v>2461</v>
      </c>
      <c r="C5" s="3738"/>
      <c r="D5" s="2359"/>
      <c r="E5" s="2357"/>
      <c r="F5" s="2360"/>
      <c r="G5" s="2360"/>
      <c r="H5" s="2361"/>
      <c r="I5" s="2362">
        <f t="shared" si="0"/>
        <v>0</v>
      </c>
    </row>
    <row r="6" spans="1:9">
      <c r="A6" s="3737"/>
      <c r="B6" s="3738" t="s">
        <v>2462</v>
      </c>
      <c r="C6" s="3738"/>
      <c r="D6" s="2359"/>
      <c r="E6" s="2357"/>
      <c r="F6" s="2360"/>
      <c r="G6" s="2360"/>
      <c r="H6" s="2361"/>
      <c r="I6" s="2362">
        <f t="shared" si="0"/>
        <v>0</v>
      </c>
    </row>
    <row r="7" spans="1:9">
      <c r="A7" s="3737"/>
      <c r="B7" s="3738" t="s">
        <v>2463</v>
      </c>
      <c r="C7" s="3738"/>
      <c r="D7" s="2359"/>
      <c r="E7" s="2357"/>
      <c r="F7" s="2360"/>
      <c r="G7" s="2360"/>
      <c r="H7" s="2361"/>
      <c r="I7" s="2362">
        <f t="shared" si="0"/>
        <v>0</v>
      </c>
    </row>
    <row r="8" spans="1:9">
      <c r="A8" s="3737"/>
      <c r="B8" s="3738" t="s">
        <v>2464</v>
      </c>
      <c r="C8" s="3738"/>
      <c r="D8" s="2359"/>
      <c r="E8" s="2357"/>
      <c r="F8" s="2360"/>
      <c r="G8" s="2360"/>
      <c r="H8" s="2361"/>
      <c r="I8" s="2362">
        <f t="shared" si="0"/>
        <v>0</v>
      </c>
    </row>
    <row r="9" spans="1:9">
      <c r="A9" s="3737"/>
      <c r="B9" s="3738" t="s">
        <v>2465</v>
      </c>
      <c r="C9" s="3738"/>
      <c r="D9" s="2359"/>
      <c r="E9" s="2357"/>
      <c r="F9" s="2360"/>
      <c r="G9" s="2360"/>
      <c r="H9" s="2361"/>
      <c r="I9" s="2362">
        <f t="shared" si="0"/>
        <v>0</v>
      </c>
    </row>
    <row r="10" spans="1:9">
      <c r="A10" s="3737"/>
      <c r="B10" s="3739" t="s">
        <v>2466</v>
      </c>
      <c r="C10" s="3739"/>
      <c r="D10" s="2363">
        <v>527</v>
      </c>
      <c r="E10" s="2363" t="e">
        <f>ROUND(D1*10000/D10/H9,0)</f>
        <v>#DIV/0!</v>
      </c>
      <c r="F10" s="2364"/>
      <c r="G10" s="2364"/>
      <c r="H10" s="2365"/>
      <c r="I10" s="2366">
        <f>SUM(I3:I9)</f>
        <v>0</v>
      </c>
    </row>
    <row r="11" spans="1:9" ht="14.25">
      <c r="A11" s="3737" t="s">
        <v>2467</v>
      </c>
      <c r="B11" s="3738" t="s">
        <v>2468</v>
      </c>
      <c r="C11" s="3738"/>
      <c r="D11" s="2359" t="s">
        <v>2469</v>
      </c>
      <c r="E11" s="2359" t="s">
        <v>2470</v>
      </c>
      <c r="F11" s="2360" t="s">
        <v>2471</v>
      </c>
      <c r="G11" s="2360" t="s">
        <v>2472</v>
      </c>
      <c r="H11" s="2367" t="s">
        <v>2473</v>
      </c>
      <c r="I11" s="2358" t="s">
        <v>2474</v>
      </c>
    </row>
    <row r="12" spans="1:9">
      <c r="A12" s="3737"/>
      <c r="B12" s="3738" t="s">
        <v>2475</v>
      </c>
      <c r="C12" s="3738"/>
      <c r="D12" s="2359"/>
      <c r="E12" s="2359"/>
      <c r="F12" s="2360"/>
      <c r="G12" s="2361"/>
      <c r="H12" s="2368"/>
      <c r="I12" s="2358">
        <f>ROUND(D12*E12*F12*G12/10000,0)</f>
        <v>0</v>
      </c>
    </row>
    <row r="13" spans="1:9">
      <c r="A13" s="3737"/>
      <c r="B13" s="3738" t="s">
        <v>2476</v>
      </c>
      <c r="C13" s="3738"/>
      <c r="D13" s="2359"/>
      <c r="E13" s="2359"/>
      <c r="F13" s="2360"/>
      <c r="G13" s="2361"/>
      <c r="H13" s="2368"/>
      <c r="I13" s="2358">
        <f>ROUND(D13*E13*F13*G13/10000,0)</f>
        <v>0</v>
      </c>
    </row>
    <row r="14" spans="1:9">
      <c r="A14" s="3737"/>
      <c r="B14" s="3738" t="s">
        <v>2477</v>
      </c>
      <c r="C14" s="3738"/>
      <c r="D14" s="2359"/>
      <c r="E14" s="2359"/>
      <c r="F14" s="2360"/>
      <c r="G14" s="2361"/>
      <c r="H14" s="2368"/>
      <c r="I14" s="2358">
        <f>ROUND(D14*E14*F14*G14/10000,0)</f>
        <v>0</v>
      </c>
    </row>
    <row r="15" spans="1:9">
      <c r="A15" s="3737"/>
      <c r="B15" s="3739" t="s">
        <v>2466</v>
      </c>
      <c r="C15" s="3739"/>
      <c r="D15" s="2363"/>
      <c r="E15" s="2363">
        <f>SUM(E12:E14)</f>
        <v>0</v>
      </c>
      <c r="F15" s="2364"/>
      <c r="G15" s="2361"/>
      <c r="H15" s="2368"/>
      <c r="I15" s="2369">
        <f>SUM(I12:I14)</f>
        <v>0</v>
      </c>
    </row>
    <row r="16" spans="1:9" ht="24">
      <c r="A16" s="3737" t="s">
        <v>2478</v>
      </c>
      <c r="B16" s="3738" t="s">
        <v>2479</v>
      </c>
      <c r="C16" s="3738"/>
      <c r="D16" s="2359" t="s">
        <v>2480</v>
      </c>
      <c r="E16" s="2370" t="s">
        <v>2481</v>
      </c>
      <c r="F16" s="2360" t="s">
        <v>2482</v>
      </c>
      <c r="G16" s="2361" t="s">
        <v>2472</v>
      </c>
      <c r="H16" s="2367" t="s">
        <v>2473</v>
      </c>
      <c r="I16" s="2358" t="s">
        <v>2474</v>
      </c>
    </row>
    <row r="17" spans="1:9" ht="14.25">
      <c r="A17" s="3737"/>
      <c r="B17" s="3738" t="s">
        <v>2483</v>
      </c>
      <c r="C17" s="3738"/>
      <c r="D17" s="2359"/>
      <c r="E17" s="2359"/>
      <c r="F17" s="2360"/>
      <c r="G17" s="2361"/>
      <c r="H17" s="2371"/>
      <c r="I17" s="2372">
        <f>ROUND(D17*E17*F17*G17/10000,0)</f>
        <v>0</v>
      </c>
    </row>
    <row r="18" spans="1:9" ht="14.25">
      <c r="A18" s="3737"/>
      <c r="B18" s="3738" t="s">
        <v>2484</v>
      </c>
      <c r="C18" s="3738"/>
      <c r="D18" s="2359"/>
      <c r="E18" s="2359"/>
      <c r="F18" s="2360"/>
      <c r="G18" s="2361"/>
      <c r="H18" s="2371"/>
      <c r="I18" s="2372">
        <f>ROUND(D18*E18*F18*G18/10000,0)</f>
        <v>0</v>
      </c>
    </row>
    <row r="19" spans="1:9" ht="14.25">
      <c r="A19" s="3737"/>
      <c r="B19" s="3738" t="s">
        <v>2485</v>
      </c>
      <c r="C19" s="3738"/>
      <c r="D19" s="2359"/>
      <c r="E19" s="2359"/>
      <c r="F19" s="2360"/>
      <c r="G19" s="2361"/>
      <c r="H19" s="2371"/>
      <c r="I19" s="2372">
        <f>ROUND(D19*E19*F19*G19/10000,0)</f>
        <v>0</v>
      </c>
    </row>
    <row r="20" spans="1:9">
      <c r="A20" s="3737"/>
      <c r="B20" s="3739" t="s">
        <v>2466</v>
      </c>
      <c r="C20" s="3739"/>
      <c r="D20" s="2363">
        <f>SUM(D17:D19)</f>
        <v>0</v>
      </c>
      <c r="E20" s="2363"/>
      <c r="F20" s="2364"/>
      <c r="G20" s="2361"/>
      <c r="H20" s="2368"/>
      <c r="I20" s="2369">
        <f>SUM(I17:I19)</f>
        <v>0</v>
      </c>
    </row>
    <row r="21" spans="1:9">
      <c r="A21" s="3737" t="s">
        <v>2486</v>
      </c>
      <c r="B21" s="3741"/>
      <c r="C21" s="3741"/>
      <c r="D21" s="3741"/>
      <c r="E21" s="3741"/>
      <c r="F21" s="3741"/>
      <c r="G21" s="3741"/>
      <c r="H21" s="2373">
        <v>0.1</v>
      </c>
      <c r="I21" s="2366">
        <f>ROUND(I10*H21,0)</f>
        <v>0</v>
      </c>
    </row>
    <row r="22" spans="1:9" ht="14.25">
      <c r="A22" s="3742" t="s">
        <v>2487</v>
      </c>
      <c r="B22" s="3743"/>
      <c r="C22" s="3744"/>
      <c r="D22" s="2374" t="s">
        <v>2488</v>
      </c>
      <c r="E22" s="2374" t="s">
        <v>2489</v>
      </c>
      <c r="F22" s="2375" t="s">
        <v>2490</v>
      </c>
      <c r="G22" s="2375" t="s">
        <v>2491</v>
      </c>
      <c r="H22" s="2367" t="s">
        <v>2492</v>
      </c>
      <c r="I22" s="2358" t="s">
        <v>2493</v>
      </c>
    </row>
    <row r="23" spans="1:9" ht="14.25" thickBot="1">
      <c r="A23" s="3745"/>
      <c r="B23" s="3746"/>
      <c r="C23" s="3747"/>
      <c r="D23" s="2376"/>
      <c r="E23" s="2376"/>
      <c r="F23" s="2376"/>
      <c r="G23" s="2377"/>
      <c r="H23" s="2378"/>
      <c r="I23" s="2379">
        <f>ROUND(E23*D23*F23*(1-G23)/10000,0)</f>
        <v>0</v>
      </c>
    </row>
    <row r="26" spans="1:9">
      <c r="A26" s="2380" t="s">
        <v>2494</v>
      </c>
      <c r="B26" s="2380"/>
      <c r="C26" s="2380"/>
      <c r="D26" s="2380"/>
      <c r="E26" s="3748">
        <f>C27-C30-C31-C32</f>
        <v>0</v>
      </c>
      <c r="F26" s="3748"/>
      <c r="G26" s="3748"/>
      <c r="H26" s="2751" t="s">
        <v>2819</v>
      </c>
    </row>
    <row r="27" spans="1:9">
      <c r="A27" s="2381">
        <v>1</v>
      </c>
      <c r="B27" s="2382" t="s">
        <v>2495</v>
      </c>
      <c r="C27" s="2382"/>
      <c r="D27" s="2382"/>
      <c r="E27" s="3749"/>
      <c r="F27" s="3749"/>
      <c r="G27" s="3749"/>
    </row>
    <row r="28" spans="1:9">
      <c r="A28" s="2383" t="s">
        <v>2496</v>
      </c>
      <c r="B28" s="2382" t="s">
        <v>2497</v>
      </c>
      <c r="C28" s="2382"/>
      <c r="D28" s="2382"/>
      <c r="E28" s="3749"/>
      <c r="F28" s="3749"/>
      <c r="G28" s="3749"/>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40"/>
      <c r="F32" s="3740"/>
      <c r="G32" s="3740"/>
    </row>
    <row r="33" spans="1:7" hidden="1">
      <c r="A33" s="3750" t="s">
        <v>2505</v>
      </c>
      <c r="B33" s="3751"/>
      <c r="C33" s="3751"/>
      <c r="D33" s="3752"/>
      <c r="E33" s="3748"/>
      <c r="F33" s="3748"/>
      <c r="G33" s="3748"/>
    </row>
    <row r="34" spans="1:7" hidden="1">
      <c r="A34" s="2385">
        <v>1</v>
      </c>
      <c r="B34" s="2382" t="s">
        <v>2506</v>
      </c>
      <c r="C34" s="2382"/>
      <c r="D34" s="2382"/>
      <c r="E34" s="3749"/>
      <c r="F34" s="3749"/>
      <c r="G34" s="3749"/>
    </row>
    <row r="35" spans="1:7" hidden="1">
      <c r="A35" s="2385">
        <v>2</v>
      </c>
      <c r="B35" s="2382" t="s">
        <v>2507</v>
      </c>
      <c r="C35" s="2382"/>
      <c r="D35" s="2382"/>
      <c r="E35" s="3749"/>
      <c r="F35" s="3749"/>
      <c r="G35" s="3749"/>
    </row>
    <row r="36" spans="1:7" hidden="1">
      <c r="A36" s="2385">
        <v>3</v>
      </c>
      <c r="B36" s="2382" t="s">
        <v>2508</v>
      </c>
      <c r="C36" s="2382"/>
      <c r="D36" s="2382"/>
      <c r="E36" s="3749"/>
      <c r="F36" s="3749"/>
      <c r="G36" s="3749"/>
    </row>
    <row r="37" spans="1:7" hidden="1">
      <c r="A37" s="2385">
        <v>4</v>
      </c>
      <c r="B37" s="2382" t="s">
        <v>2509</v>
      </c>
      <c r="C37" s="2382"/>
      <c r="D37" s="2382"/>
      <c r="E37" s="3749"/>
      <c r="F37" s="3749"/>
      <c r="G37" s="3749"/>
    </row>
    <row r="38" spans="1:7" hidden="1">
      <c r="A38" s="3750" t="s">
        <v>2510</v>
      </c>
      <c r="B38" s="3751"/>
      <c r="C38" s="3751"/>
      <c r="D38" s="3752"/>
      <c r="E38" s="3748"/>
      <c r="F38" s="3748"/>
      <c r="G38" s="37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1"/>
      <c r="D2" s="3261"/>
      <c r="E2" s="3261"/>
      <c r="F2" s="3261"/>
      <c r="G2" s="3261"/>
    </row>
    <row r="3" spans="1:25" s="1939" customFormat="1" ht="18" customHeight="1">
      <c r="A3" s="1328" t="s">
        <v>1675</v>
      </c>
      <c r="B3" s="418">
        <f ca="1">ROUND(B2*10000/'数据-汇总表'!E3,0)</f>
        <v>0</v>
      </c>
      <c r="C3" s="3261"/>
      <c r="D3" s="3261"/>
      <c r="E3" s="3261"/>
      <c r="F3" s="3261"/>
      <c r="G3" s="3261"/>
    </row>
    <row r="4" spans="1:25" s="1939" customFormat="1" ht="18" customHeight="1">
      <c r="A4" s="419" t="s">
        <v>462</v>
      </c>
      <c r="B4" s="420">
        <f ca="1">ROUND(B2*10000/'数据-汇总表'!D3,0)</f>
        <v>0</v>
      </c>
      <c r="C4" s="3214"/>
      <c r="D4" s="3261"/>
      <c r="E4" s="3261"/>
      <c r="F4" s="3261"/>
      <c r="G4" s="3261"/>
    </row>
    <row r="5" spans="1:25" s="1939" customFormat="1" ht="18" customHeight="1" thickBot="1">
      <c r="A5" s="422"/>
      <c r="B5" s="423">
        <f ca="1">ROUND(B2/('数据-汇总表'!D3/666.67),0)</f>
        <v>0</v>
      </c>
      <c r="C5" s="424" t="s">
        <v>463</v>
      </c>
      <c r="D5" s="3261"/>
      <c r="E5" s="3261"/>
      <c r="F5" s="3261"/>
      <c r="G5" s="3261"/>
    </row>
    <row r="6" spans="1:25" s="2061" customFormat="1" ht="13.5" customHeight="1">
      <c r="A6" s="734"/>
      <c r="B6" s="735" t="s">
        <v>598</v>
      </c>
      <c r="C6" s="736" t="s">
        <v>599</v>
      </c>
      <c r="D6" s="736" t="s">
        <v>600</v>
      </c>
      <c r="E6" s="737" t="s">
        <v>601</v>
      </c>
      <c r="F6" s="737" t="s">
        <v>602</v>
      </c>
      <c r="G6" s="3260" t="s">
        <v>2974</v>
      </c>
    </row>
    <row r="7" spans="1:25" s="2061" customFormat="1" ht="13.5" customHeight="1">
      <c r="A7" s="2320">
        <v>1</v>
      </c>
      <c r="B7" s="738" t="s">
        <v>603</v>
      </c>
      <c r="C7" s="739">
        <f>C8+C9</f>
        <v>0</v>
      </c>
      <c r="D7" s="739"/>
      <c r="E7" s="740"/>
      <c r="F7" s="740"/>
      <c r="G7" s="2329"/>
    </row>
    <row r="8" spans="1:25" s="2061" customFormat="1" ht="13.5" customHeight="1">
      <c r="A8" s="2320" t="s">
        <v>2421</v>
      </c>
      <c r="B8" s="2323" t="s">
        <v>2423</v>
      </c>
      <c r="C8" s="3264">
        <f t="shared" ref="C8:C9" si="0">ROUND(D8*E8/10000,0)</f>
        <v>0</v>
      </c>
      <c r="D8" s="3264">
        <v>0</v>
      </c>
      <c r="E8" s="3265">
        <v>0</v>
      </c>
      <c r="F8" s="740"/>
      <c r="G8" s="741"/>
    </row>
    <row r="9" spans="1:25" s="2061" customFormat="1" ht="13.5" customHeight="1">
      <c r="A9" s="2320" t="s">
        <v>2422</v>
      </c>
      <c r="B9" s="2323" t="s">
        <v>2424</v>
      </c>
      <c r="C9" s="3264">
        <f t="shared" si="0"/>
        <v>0</v>
      </c>
      <c r="D9" s="3264">
        <v>0</v>
      </c>
      <c r="E9" s="3265">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2421</v>
      </c>
      <c r="B11" s="742" t="s">
        <v>604</v>
      </c>
      <c r="C11" s="743">
        <f>'数据-取费表'!B29</f>
        <v>0</v>
      </c>
      <c r="D11" s="744"/>
      <c r="E11" s="743"/>
      <c r="F11" s="745"/>
      <c r="G11" s="2328" t="s">
        <v>2432</v>
      </c>
    </row>
    <row r="12" spans="1:25" s="2061" customFormat="1" ht="13.5" customHeight="1">
      <c r="A12" s="2326" t="s">
        <v>2429</v>
      </c>
      <c r="B12" s="746" t="s">
        <v>605</v>
      </c>
      <c r="C12" s="747">
        <f>ROUND(D12*E12/10000,0)</f>
        <v>664</v>
      </c>
      <c r="D12" s="3264">
        <f>'数据-汇总表'!E5</f>
        <v>41490.493000000002</v>
      </c>
      <c r="E12" s="3264">
        <f>'数据-取费表'!B27</f>
        <v>160</v>
      </c>
      <c r="F12" s="745"/>
      <c r="G12" s="748"/>
    </row>
    <row r="13" spans="1:25" s="2061" customFormat="1" ht="13.5" customHeight="1">
      <c r="A13" s="2326" t="s">
        <v>2428</v>
      </c>
      <c r="B13" s="746" t="s">
        <v>606</v>
      </c>
      <c r="C13" s="747">
        <f>ROUND(D13*E13/10000,0)</f>
        <v>433</v>
      </c>
      <c r="D13" s="3264">
        <f>'数据-汇总表'!E6</f>
        <v>21625</v>
      </c>
      <c r="E13" s="3264">
        <f>'数据-取费表'!B28</f>
        <v>200</v>
      </c>
      <c r="F13" s="745"/>
      <c r="G13" s="748"/>
    </row>
    <row r="14" spans="1:25" s="2061" customFormat="1" ht="13.5" customHeight="1">
      <c r="A14" s="2320" t="s">
        <v>2422</v>
      </c>
      <c r="B14" s="2325" t="s">
        <v>2425</v>
      </c>
      <c r="C14" s="3266">
        <f t="shared" ref="C14:C15" si="1">ROUND(D14*E14/10000,0)</f>
        <v>0</v>
      </c>
      <c r="D14" s="3264">
        <v>0</v>
      </c>
      <c r="E14" s="3265">
        <v>0</v>
      </c>
      <c r="F14" s="2324"/>
      <c r="G14" s="2327" t="s">
        <v>2430</v>
      </c>
    </row>
    <row r="15" spans="1:25" s="2061" customFormat="1" ht="13.5" customHeight="1">
      <c r="A15" s="2320" t="s">
        <v>2427</v>
      </c>
      <c r="B15" s="2325" t="s">
        <v>2426</v>
      </c>
      <c r="C15" s="3266">
        <f t="shared" si="1"/>
        <v>0</v>
      </c>
      <c r="D15" s="3264">
        <v>0</v>
      </c>
      <c r="E15" s="3265">
        <v>0</v>
      </c>
      <c r="F15" s="2324"/>
      <c r="G15" s="2327" t="s">
        <v>2431</v>
      </c>
    </row>
    <row r="16" spans="1:25" s="2062" customFormat="1" ht="48">
      <c r="A16" s="2320">
        <v>3</v>
      </c>
      <c r="B16" s="738" t="s">
        <v>609</v>
      </c>
      <c r="C16" s="3266">
        <f t="shared" ref="C16" si="2">ROUND(D16*E16/10000,0)</f>
        <v>0</v>
      </c>
      <c r="D16" s="3264">
        <v>0</v>
      </c>
      <c r="E16" s="3265">
        <v>0</v>
      </c>
      <c r="F16" s="750"/>
      <c r="G16" s="748"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299">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299">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0.93200000000000005</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3" customFormat="1">
      <c r="A24" s="3262"/>
      <c r="D24" s="1881"/>
      <c r="E24" s="1881"/>
    </row>
    <row r="25" spans="1:25" s="3263" customFormat="1">
      <c r="A25" s="3262"/>
      <c r="D25" s="1881"/>
      <c r="E25" s="1881"/>
    </row>
    <row r="26" spans="1:25" s="3263" customFormat="1">
      <c r="A26" s="3262"/>
      <c r="D26" s="1881"/>
      <c r="E26" s="1881"/>
    </row>
    <row r="27" spans="1:25" s="3263" customFormat="1">
      <c r="A27" s="3262"/>
      <c r="D27" s="1881"/>
      <c r="E27" s="1881"/>
    </row>
    <row r="28" spans="1:25" s="3263" customFormat="1">
      <c r="A28" s="3262"/>
      <c r="D28" s="1881"/>
      <c r="E28" s="1881"/>
    </row>
    <row r="29" spans="1:25" s="3263" customFormat="1">
      <c r="A29" s="3262"/>
      <c r="D29" s="1881"/>
      <c r="E29" s="1881"/>
    </row>
    <row r="30" spans="1:25" s="3263" customFormat="1">
      <c r="A30" s="3262"/>
      <c r="D30" s="1881"/>
      <c r="E30" s="1881"/>
    </row>
    <row r="31" spans="1:25" s="3263" customFormat="1">
      <c r="A31" s="3262"/>
      <c r="D31" s="1881"/>
      <c r="E31" s="1881"/>
    </row>
    <row r="32" spans="1:25" s="3263" customFormat="1">
      <c r="A32" s="3262"/>
      <c r="D32" s="1881"/>
      <c r="E32" s="1881"/>
    </row>
    <row r="33" spans="1:5" s="3263" customFormat="1">
      <c r="A33" s="3262"/>
      <c r="D33" s="1881"/>
      <c r="E33" s="1881"/>
    </row>
    <row r="34" spans="1:5" s="3263" customFormat="1">
      <c r="A34" s="3262"/>
      <c r="D34" s="1881"/>
      <c r="E34" s="1881"/>
    </row>
    <row r="35" spans="1:5" s="3263" customFormat="1">
      <c r="A35" s="3262"/>
      <c r="D35" s="1881"/>
      <c r="E35" s="1881"/>
    </row>
    <row r="36" spans="1:5" s="3263" customFormat="1">
      <c r="A36" s="3262"/>
      <c r="D36" s="1881"/>
      <c r="E36" s="1881"/>
    </row>
    <row r="37" spans="1:5" s="3263" customFormat="1">
      <c r="A37" s="3262"/>
      <c r="D37" s="1881"/>
      <c r="E37" s="1881"/>
    </row>
    <row r="38" spans="1:5" s="3263" customFormat="1">
      <c r="A38" s="3262"/>
      <c r="D38" s="1881"/>
      <c r="E38" s="1881"/>
    </row>
    <row r="39" spans="1:5" s="3263" customFormat="1">
      <c r="A39" s="3262"/>
      <c r="D39" s="1881"/>
      <c r="E39" s="1881"/>
    </row>
    <row r="40" spans="1:5" s="3263" customFormat="1">
      <c r="A40" s="3262"/>
      <c r="D40" s="1881"/>
      <c r="E40" s="1881"/>
    </row>
    <row r="41" spans="1:5" s="3263" customFormat="1">
      <c r="A41" s="3262"/>
      <c r="D41" s="1881"/>
      <c r="E41" s="1881"/>
    </row>
    <row r="42" spans="1:5" s="3263" customFormat="1">
      <c r="A42" s="3262"/>
      <c r="D42" s="1881"/>
      <c r="E42" s="1881"/>
    </row>
    <row r="43" spans="1:5" s="3263" customFormat="1">
      <c r="A43" s="3262"/>
      <c r="D43" s="1881"/>
      <c r="E43" s="1881"/>
    </row>
    <row r="44" spans="1:5" s="3263" customFormat="1">
      <c r="A44" s="3262"/>
      <c r="D44" s="1881"/>
      <c r="E44" s="1881"/>
    </row>
    <row r="45" spans="1:5" s="3263" customFormat="1">
      <c r="A45" s="3262"/>
      <c r="D45" s="1881"/>
      <c r="E45" s="1881"/>
    </row>
    <row r="46" spans="1:5" s="3263" customFormat="1">
      <c r="A46" s="3262"/>
      <c r="D46" s="1881"/>
      <c r="E46" s="1881"/>
    </row>
    <row r="47" spans="1:5" s="3263" customFormat="1">
      <c r="A47" s="3262"/>
      <c r="D47" s="1881"/>
      <c r="E47" s="1881"/>
    </row>
    <row r="48" spans="1:5" s="3263" customFormat="1">
      <c r="A48" s="3262"/>
      <c r="D48" s="1881"/>
      <c r="E48" s="1881"/>
    </row>
    <row r="49" spans="1:5" s="3263" customFormat="1">
      <c r="A49" s="3262"/>
      <c r="D49" s="1881"/>
      <c r="E49" s="1881"/>
    </row>
    <row r="50" spans="1:5" s="3263" customFormat="1">
      <c r="A50" s="3262"/>
      <c r="D50" s="1881"/>
      <c r="E50" s="1881"/>
    </row>
    <row r="51" spans="1:5" s="3263" customFormat="1">
      <c r="A51" s="3262"/>
      <c r="D51" s="1881"/>
      <c r="E51" s="1881"/>
    </row>
    <row r="52" spans="1:5" s="3263" customFormat="1">
      <c r="A52" s="3262"/>
      <c r="D52" s="1881"/>
      <c r="E52" s="1881"/>
    </row>
    <row r="53" spans="1:5" s="3263" customFormat="1">
      <c r="A53" s="3262"/>
      <c r="D53" s="1881"/>
      <c r="E53" s="1881"/>
    </row>
    <row r="54" spans="1:5" s="3263" customFormat="1">
      <c r="A54" s="3262"/>
      <c r="D54" s="1881"/>
      <c r="E54" s="1881"/>
    </row>
    <row r="55" spans="1:5" s="3263" customFormat="1">
      <c r="A55" s="3262"/>
      <c r="D55" s="1881"/>
      <c r="E55" s="1881"/>
    </row>
    <row r="56" spans="1:5" s="3263" customFormat="1">
      <c r="A56" s="3262"/>
      <c r="D56" s="1881"/>
      <c r="E56" s="1881"/>
    </row>
    <row r="57" spans="1:5" s="3263" customFormat="1">
      <c r="A57" s="3262"/>
      <c r="D57" s="1881"/>
      <c r="E57" s="1881"/>
    </row>
    <row r="58" spans="1:5" s="3263" customFormat="1">
      <c r="A58" s="3262"/>
      <c r="D58" s="1881"/>
      <c r="E58" s="1881"/>
    </row>
    <row r="59" spans="1:5" s="3263" customFormat="1">
      <c r="A59" s="3262"/>
      <c r="D59" s="1881"/>
      <c r="E59" s="1881"/>
    </row>
    <row r="60" spans="1:5" s="3263" customFormat="1">
      <c r="A60" s="3262"/>
      <c r="D60" s="1881"/>
      <c r="E60" s="1881"/>
    </row>
    <row r="61" spans="1:5" s="3263" customFormat="1">
      <c r="A61" s="3262"/>
      <c r="D61" s="1881"/>
      <c r="E61" s="1881"/>
    </row>
    <row r="62" spans="1:5" s="3263" customFormat="1">
      <c r="A62" s="3262"/>
      <c r="D62" s="1881"/>
      <c r="E62" s="1881"/>
    </row>
    <row r="63" spans="1:5" s="3263" customFormat="1">
      <c r="A63" s="3262"/>
      <c r="D63" s="1881"/>
      <c r="E63" s="1881"/>
    </row>
  </sheetData>
  <sheetProtection password="CEE9" sheet="1" objects="1" scenarios="1" formatCells="0" formatColumns="0" formatRows="0"/>
  <phoneticPr fontId="16" type="noConversion"/>
  <dataValidations count="1">
    <dataValidation type="list" allowBlank="1" showInputMessage="1" showErrorMessage="1" sqref="G7" xr:uid="{00000000-0002-0000-28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76"/>
  <sheetViews>
    <sheetView view="pageBreakPreview" zoomScale="90" zoomScaleNormal="60" zoomScaleSheetLayoutView="90" workbookViewId="0">
      <selection activeCell="G2" sqref="G2"/>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35</v>
      </c>
      <c r="D1" s="2793" t="s">
        <v>3128</v>
      </c>
      <c r="E1" s="2239" t="s">
        <v>861</v>
      </c>
      <c r="F1" s="2240">
        <f ca="1">J53</f>
        <v>47.98</v>
      </c>
      <c r="G1" s="3252">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0</v>
      </c>
      <c r="C2" s="3257"/>
      <c r="D2" s="3258"/>
      <c r="E2" s="3259"/>
      <c r="F2" s="3259"/>
      <c r="G2" s="3253"/>
      <c r="H2" s="1937"/>
      <c r="I2" s="1937"/>
      <c r="J2" s="1937"/>
      <c r="K2" s="1938"/>
      <c r="L2" s="1937"/>
      <c r="M2" s="1937"/>
    </row>
    <row r="3" spans="1:33" ht="18" customHeight="1" thickBot="1">
      <c r="A3" s="821" t="s">
        <v>513</v>
      </c>
      <c r="B3" s="822">
        <f ca="1">IF(ISERROR(B2*10000/F43),0,ROUND(B2*10000/F43,0))</f>
        <v>0</v>
      </c>
      <c r="C3" s="3257"/>
      <c r="D3" s="3258"/>
      <c r="E3" s="3259"/>
      <c r="F3" s="3259"/>
      <c r="G3" s="3253"/>
      <c r="H3" s="765" t="s">
        <v>689</v>
      </c>
      <c r="I3" s="1313"/>
      <c r="J3" s="1313"/>
      <c r="K3" s="1523"/>
      <c r="L3" s="1313"/>
      <c r="M3" s="1313"/>
    </row>
    <row r="4" spans="1:33" ht="18" customHeight="1">
      <c r="A4" s="766" t="s">
        <v>624</v>
      </c>
      <c r="B4" s="767" t="s">
        <v>625</v>
      </c>
      <c r="C4" s="767" t="s">
        <v>626</v>
      </c>
      <c r="D4" s="767" t="s">
        <v>627</v>
      </c>
      <c r="E4" s="768" t="s">
        <v>628</v>
      </c>
      <c r="F4" s="769"/>
      <c r="G4" s="1942"/>
      <c r="H4" s="766" t="s">
        <v>624</v>
      </c>
      <c r="I4" s="767" t="s">
        <v>625</v>
      </c>
      <c r="J4" s="767" t="s">
        <v>626</v>
      </c>
      <c r="K4" s="767" t="s">
        <v>627</v>
      </c>
      <c r="L4" s="768" t="s">
        <v>628</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2" t="s">
        <v>2442</v>
      </c>
      <c r="C6" s="772">
        <f ca="1">ROUND(F6*F8*F7*(1-F9)/10000,0)</f>
        <v>0</v>
      </c>
      <c r="D6" s="2347" t="s">
        <v>2441</v>
      </c>
      <c r="E6" s="773" t="s">
        <v>631</v>
      </c>
      <c r="F6" s="774">
        <f ca="1">INDIRECT("'数据-取费表'!u"&amp;$G$1)</f>
        <v>0</v>
      </c>
      <c r="G6" s="1942"/>
      <c r="H6" s="2354" t="s">
        <v>1814</v>
      </c>
      <c r="I6" s="3682" t="s">
        <v>2442</v>
      </c>
      <c r="J6" s="772">
        <f ca="1">ROUND(M6*M8*M7*(1-M9)/10000,0)</f>
        <v>0</v>
      </c>
      <c r="K6" s="338" t="s">
        <v>630</v>
      </c>
      <c r="L6" s="773" t="s">
        <v>631</v>
      </c>
      <c r="M6" s="774">
        <f ca="1">INDIRECT("'数据-取费表'!z"&amp;$G$1)</f>
        <v>0</v>
      </c>
    </row>
    <row r="7" spans="1:33" ht="18" customHeight="1">
      <c r="A7" s="2350"/>
      <c r="B7" s="3683"/>
      <c r="C7" s="777"/>
      <c r="D7" s="778"/>
      <c r="E7" s="773" t="s">
        <v>632</v>
      </c>
      <c r="F7" s="774">
        <f ca="1">IF(INDIRECT("'数据-取费表'!ah"&amp;$G$1)="",INDIRECT("'数据-取费表'!k"&amp;$G$1),INDIRECT("'数据-取费表'!ah"&amp;$G$1))</f>
        <v>529</v>
      </c>
      <c r="G7" s="1942"/>
      <c r="H7" s="2339"/>
      <c r="I7" s="3683"/>
      <c r="J7" s="777"/>
      <c r="K7" s="778"/>
      <c r="L7" s="773" t="s">
        <v>632</v>
      </c>
      <c r="M7" s="774">
        <f ca="1">F7</f>
        <v>529</v>
      </c>
    </row>
    <row r="8" spans="1:33" ht="18" customHeight="1">
      <c r="A8" s="2343"/>
      <c r="B8" s="3684"/>
      <c r="C8" s="777"/>
      <c r="D8" s="778"/>
      <c r="E8" s="773" t="s">
        <v>633</v>
      </c>
      <c r="F8" s="774">
        <f ca="1">INDIRECT("'数据-取费表'!ai"&amp;$G$1)</f>
        <v>365</v>
      </c>
      <c r="G8" s="1942"/>
      <c r="H8" s="2339"/>
      <c r="I8" s="3684"/>
      <c r="J8" s="777"/>
      <c r="K8" s="778"/>
      <c r="L8" s="773" t="s">
        <v>633</v>
      </c>
      <c r="M8" s="774">
        <f ca="1">INDIRECT("'数据-取费表'!ai"&amp;$G$1)</f>
        <v>365</v>
      </c>
    </row>
    <row r="9" spans="1:33" ht="18" customHeight="1">
      <c r="A9" s="775"/>
      <c r="B9" s="3685"/>
      <c r="C9" s="777"/>
      <c r="D9" s="778"/>
      <c r="E9" s="773" t="s">
        <v>634</v>
      </c>
      <c r="F9" s="783">
        <f ca="1">INDIRECT("'数据-取费表'!w"&amp;$G$1)</f>
        <v>0</v>
      </c>
      <c r="G9" s="1942"/>
      <c r="H9" s="2355"/>
      <c r="I9" s="3684"/>
      <c r="J9" s="777"/>
      <c r="K9" s="778"/>
      <c r="L9" s="784" t="s">
        <v>634</v>
      </c>
      <c r="M9" s="785">
        <f ca="1">INDIRECT("'数据-取费表'!ab"&amp;$G$1)</f>
        <v>0</v>
      </c>
    </row>
    <row r="10" spans="1:33" ht="18" customHeight="1">
      <c r="A10" s="1742" t="s">
        <v>1815</v>
      </c>
      <c r="B10" s="2344" t="s">
        <v>2438</v>
      </c>
      <c r="C10" s="788">
        <f ca="1">ROUND(IF(F10="押一",C6/12*F11,IF(F10="押二",C6/12*2*F11,IF(F10="押三",C6/12*3*F11,C11*F11))),0)</f>
        <v>0</v>
      </c>
      <c r="D10" s="2351" t="s">
        <v>2916</v>
      </c>
      <c r="E10" s="2348" t="s">
        <v>2443</v>
      </c>
      <c r="F10" s="2462" t="s">
        <v>3129</v>
      </c>
      <c r="G10" s="1942"/>
      <c r="H10" s="2411" t="s">
        <v>1815</v>
      </c>
      <c r="I10" s="2416" t="s">
        <v>2438</v>
      </c>
      <c r="J10" s="772">
        <f ca="1">ROUND(IF(M10="押一",J6/12*M11,IF(M10="押二",J6/12*2*M11,IF(M10="押三",J6/12*3*M11,J11*M11))),0)</f>
        <v>0</v>
      </c>
      <c r="K10" s="2351" t="s">
        <v>2916</v>
      </c>
      <c r="L10" s="2348" t="s">
        <v>2443</v>
      </c>
      <c r="M10" s="2462"/>
    </row>
    <row r="11" spans="1:33" ht="18" customHeight="1">
      <c r="A11" s="779"/>
      <c r="B11" s="2345" t="s">
        <v>2552</v>
      </c>
      <c r="C11" s="2349"/>
      <c r="D11" s="778"/>
      <c r="E11" s="2348" t="s">
        <v>2436</v>
      </c>
      <c r="F11" s="785">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1">
        <f ca="1">ROUND(C29*F13,0)</f>
        <v>0</v>
      </c>
      <c r="D13" s="1746" t="s">
        <v>2283</v>
      </c>
      <c r="E13" s="1746" t="s">
        <v>637</v>
      </c>
      <c r="F13" s="2386">
        <f ca="1">INDIRECT("'数据-取费表'!y"&amp;$G$1)</f>
        <v>0</v>
      </c>
      <c r="G13" s="1942"/>
      <c r="H13" s="1741">
        <v>2</v>
      </c>
      <c r="I13" s="1739" t="s">
        <v>638</v>
      </c>
      <c r="J13" s="1731">
        <f ca="1">ROUND(J14*J15,0)</f>
        <v>0</v>
      </c>
      <c r="K13" s="1733" t="s">
        <v>636</v>
      </c>
      <c r="L13" s="2402"/>
      <c r="M13" s="2403"/>
    </row>
    <row r="14" spans="1:33" ht="18" customHeight="1">
      <c r="A14" s="1574" t="s">
        <v>1821</v>
      </c>
      <c r="B14" s="773" t="s">
        <v>639</v>
      </c>
      <c r="C14" s="793">
        <f ca="1">INDIRECT("'数据-取费表'!m"&amp;$G$1)+INDIRECT("'数据-取费表'!t"&amp;$G$1)</f>
        <v>3813</v>
      </c>
      <c r="D14" s="3281" t="s">
        <v>640</v>
      </c>
      <c r="E14" s="3282"/>
      <c r="F14" s="794"/>
      <c r="G14" s="1942"/>
      <c r="H14" s="1575" t="s">
        <v>1814</v>
      </c>
      <c r="I14" s="2108" t="s">
        <v>2801</v>
      </c>
      <c r="J14" s="52">
        <f ca="1">C29</f>
        <v>5202</v>
      </c>
      <c r="K14" s="25"/>
      <c r="L14" s="790"/>
      <c r="M14" s="791"/>
    </row>
    <row r="15" spans="1:33" s="1944" customFormat="1" ht="18" customHeight="1" thickBot="1">
      <c r="A15" s="1574" t="s">
        <v>1822</v>
      </c>
      <c r="B15" s="773" t="s">
        <v>641</v>
      </c>
      <c r="C15" s="52">
        <f ca="1">ROUND(C14*F15,0)</f>
        <v>191</v>
      </c>
      <c r="D15" s="795" t="s">
        <v>642</v>
      </c>
      <c r="E15" s="795" t="s">
        <v>643</v>
      </c>
      <c r="F15" s="796">
        <f>'数据-取费表'!B33</f>
        <v>0.05</v>
      </c>
      <c r="G15" s="3254"/>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1823</v>
      </c>
      <c r="B16" s="773" t="s">
        <v>644</v>
      </c>
      <c r="C16" s="52">
        <f ca="1">ROUND(INDIRECT("'数据-取费表'!m"&amp;$G$1)*F16,0)</f>
        <v>0</v>
      </c>
      <c r="D16" s="773" t="s">
        <v>642</v>
      </c>
      <c r="E16" s="773" t="s">
        <v>643</v>
      </c>
      <c r="F16" s="798">
        <f ca="1">IF(INDIRECT("'数据-取费表'!c"&amp;$G$1)="住宅",'数据-取费表'!B34,0)</f>
        <v>0</v>
      </c>
      <c r="G16" s="1942"/>
      <c r="H16" s="1741" t="s">
        <v>1738</v>
      </c>
      <c r="I16" s="1739" t="s">
        <v>645</v>
      </c>
      <c r="J16" s="781">
        <f ca="1">ROUND(J17+J22+J23+J24,0)</f>
        <v>438</v>
      </c>
      <c r="K16" s="1733" t="s">
        <v>646</v>
      </c>
      <c r="L16" s="3283"/>
      <c r="M16" s="2341"/>
    </row>
    <row r="17" spans="1:33" s="1944" customFormat="1" ht="18" customHeight="1">
      <c r="A17" s="1574" t="s">
        <v>1877</v>
      </c>
      <c r="B17" s="773" t="s">
        <v>647</v>
      </c>
      <c r="C17" s="52">
        <f ca="1">ROUND(F17*(F43+INDIRECT("'数据-取费表'!S"&amp;$G$1))/10000,0)</f>
        <v>254</v>
      </c>
      <c r="D17" s="773" t="s">
        <v>648</v>
      </c>
      <c r="E17" s="773" t="s">
        <v>649</v>
      </c>
      <c r="F17" s="55">
        <f>'数据-取费表'!B35</f>
        <v>200</v>
      </c>
      <c r="G17" s="3254"/>
      <c r="H17" s="1575" t="s">
        <v>1814</v>
      </c>
      <c r="I17" s="773" t="s">
        <v>650</v>
      </c>
      <c r="J17" s="3014">
        <f ca="1">ROUND(IF(AND(项目基本情况!B11="自然人",项目基本情况!B10="北京市"),J6*M17/(1+'数据-取费表'!C42),J18+J19+J20),0)</f>
        <v>438</v>
      </c>
      <c r="K17" s="3281" t="s">
        <v>651</v>
      </c>
      <c r="L17" s="3280" t="s">
        <v>652</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57</v>
      </c>
      <c r="D18" s="773" t="s">
        <v>642</v>
      </c>
      <c r="E18" s="773" t="s">
        <v>643</v>
      </c>
      <c r="F18" s="798">
        <f>'数据-取费表'!B36</f>
        <v>1.4999999999999999E-2</v>
      </c>
      <c r="G18" s="3254"/>
      <c r="H18" s="1574" t="s">
        <v>1821</v>
      </c>
      <c r="I18" s="773" t="s">
        <v>654</v>
      </c>
      <c r="J18" s="52">
        <f ca="1">ROUND(J6*M18/(1+'数据-取费表'!C42),1)</f>
        <v>0</v>
      </c>
      <c r="K18" s="3280" t="s">
        <v>655</v>
      </c>
      <c r="L18" s="773" t="s">
        <v>643</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1814</v>
      </c>
      <c r="B19" s="773" t="s">
        <v>656</v>
      </c>
      <c r="C19" s="52">
        <f ca="1">SUM(C14:C18)</f>
        <v>4315</v>
      </c>
      <c r="D19" s="258" t="s">
        <v>657</v>
      </c>
      <c r="E19" s="3285"/>
      <c r="F19" s="55"/>
      <c r="G19" s="1942"/>
      <c r="H19" s="1574" t="s">
        <v>1822</v>
      </c>
      <c r="I19" s="773" t="s">
        <v>658</v>
      </c>
      <c r="J19" s="52">
        <f ca="1">IF(K19="按租金收入计税",ROUND(J6*M19/(1+'数据-取费表'!C42),1),ROUND(C29*F33*0.7,1))</f>
        <v>437</v>
      </c>
      <c r="K19" s="799" t="s">
        <v>659</v>
      </c>
      <c r="L19" s="773" t="s">
        <v>643</v>
      </c>
      <c r="M19" s="798">
        <f>IF(K19="按租金收入计税",'数据-取费表'!B51,'数据-取费表'!B50)</f>
        <v>1.2E-2</v>
      </c>
    </row>
    <row r="20" spans="1:33" s="1944" customFormat="1" ht="18" customHeight="1">
      <c r="A20" s="1575" t="s">
        <v>1879</v>
      </c>
      <c r="B20" s="773" t="s">
        <v>660</v>
      </c>
      <c r="C20" s="52">
        <f ca="1">ROUND(C19*F20,0)</f>
        <v>108</v>
      </c>
      <c r="D20" s="800" t="s">
        <v>661</v>
      </c>
      <c r="E20" s="773" t="s">
        <v>643</v>
      </c>
      <c r="F20" s="798">
        <f>'数据-取费表'!B37</f>
        <v>2.5000000000000001E-2</v>
      </c>
      <c r="G20" s="3254"/>
      <c r="H20" s="1577" t="s">
        <v>1823</v>
      </c>
      <c r="I20" s="338" t="s">
        <v>662</v>
      </c>
      <c r="J20" s="53">
        <f ca="1">ROUND(M20*M21/10000,0)</f>
        <v>1</v>
      </c>
      <c r="K20" s="802" t="s">
        <v>663</v>
      </c>
      <c r="L20" s="773" t="s">
        <v>664</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665</v>
      </c>
      <c r="C21" s="52" t="s">
        <v>1754</v>
      </c>
      <c r="D21" s="800" t="s">
        <v>2284</v>
      </c>
      <c r="E21" s="773" t="s">
        <v>667</v>
      </c>
      <c r="F21" s="798">
        <f>'数据-取费表'!B38</f>
        <v>2.5000000000000001E-2</v>
      </c>
      <c r="G21" s="3254"/>
      <c r="H21" s="2356"/>
      <c r="I21" s="782"/>
      <c r="J21" s="68"/>
      <c r="K21" s="804"/>
      <c r="L21" s="773" t="s">
        <v>668</v>
      </c>
      <c r="M21" s="774">
        <f ca="1">INDIRECT("'数据-取费表'!r"&amp;$G$1)</f>
        <v>4652.0599999999995</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669</v>
      </c>
      <c r="C22" s="52"/>
      <c r="D22" s="2421" t="str">
        <f>IF(F23&lt;=1,"单利计息。","复利计息。")&amp;"建造成本、管理费用、销售费用产生的利息。"</f>
        <v>复利计息。建造成本、管理费用、销售费用产生的利息。</v>
      </c>
      <c r="E22" s="3285"/>
      <c r="F22" s="55"/>
      <c r="G22" s="1942"/>
      <c r="H22" s="1575" t="s">
        <v>1879</v>
      </c>
      <c r="I22" s="773" t="s">
        <v>670</v>
      </c>
      <c r="J22" s="52">
        <f ca="1">ROUND(J14*M22,0)</f>
        <v>0</v>
      </c>
      <c r="K22" s="3280" t="s">
        <v>671</v>
      </c>
      <c r="L22" s="773" t="s">
        <v>643</v>
      </c>
      <c r="M22" s="805">
        <f ca="1">INDIRECT("'数据-取费表'!Ak"&amp;$G$1)</f>
        <v>0</v>
      </c>
    </row>
    <row r="23" spans="1:33" s="1944" customFormat="1" ht="18" customHeight="1">
      <c r="A23" s="1574" t="s">
        <v>1821</v>
      </c>
      <c r="B23" s="773" t="s">
        <v>2419</v>
      </c>
      <c r="C23" s="52">
        <f ca="1">ROUND(IF('数据-取费表'!B22&lt;=1,(C19+C20)*F24*F23/2,(C19+C20)*(POWER((1+F24),F23/2)-1)),0)</f>
        <v>144</v>
      </c>
      <c r="D23" s="2420" t="str">
        <f>IF(F23&lt;=1,"(建造成本+管理费用)×利率×(建设周期÷2)","(建造成本+管理费用)×((1+利率)^(建设周期÷2)-1)")</f>
        <v>(建造成本+管理费用)×((1+利率)^(建设周期÷2)-1)</v>
      </c>
      <c r="E23" s="773" t="s">
        <v>672</v>
      </c>
      <c r="F23" s="631">
        <f>'数据-取费表'!B20</f>
        <v>1.5</v>
      </c>
      <c r="G23" s="3254"/>
      <c r="H23" s="1575" t="s">
        <v>1880</v>
      </c>
      <c r="I23" s="773" t="s">
        <v>673</v>
      </c>
      <c r="J23" s="52">
        <f ca="1">ROUND(J13*M23,0)</f>
        <v>0</v>
      </c>
      <c r="K23" s="3280" t="s">
        <v>674</v>
      </c>
      <c r="L23" s="773" t="s">
        <v>643</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675</v>
      </c>
      <c r="C24" s="52">
        <f ca="1">ROUND(IF('数据-取费表'!B22&lt;=1,F21*F24*F23/2,F21*(POWER((1+F24),F23/2)-1)),4)</f>
        <v>8.0000000000000004E-4</v>
      </c>
      <c r="D24" s="2420" t="str">
        <f>IF(F23&lt;=1,"销售费用×利率×(建设周期÷2)","销售费用×((1+利率)^(建设周期÷2)-1)")</f>
        <v>销售费用×((1+利率)^(建设周期÷2)-1)</v>
      </c>
      <c r="E24" s="773" t="s">
        <v>676</v>
      </c>
      <c r="F24" s="807">
        <f ca="1">'数据-取费表'!B40</f>
        <v>4.3499999999999997E-2</v>
      </c>
      <c r="G24" s="3254"/>
      <c r="H24" s="2401" t="s">
        <v>1881</v>
      </c>
      <c r="I24" s="2396" t="s">
        <v>660</v>
      </c>
      <c r="J24" s="2394">
        <f ca="1">ROUND(J5*M24,0)</f>
        <v>0</v>
      </c>
      <c r="K24" s="2395" t="s">
        <v>677</v>
      </c>
      <c r="L24" s="2396" t="s">
        <v>643</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679</v>
      </c>
      <c r="E25" s="3285"/>
      <c r="F25" s="55"/>
      <c r="G25" s="1942"/>
      <c r="H25" s="1741" t="s">
        <v>1766</v>
      </c>
      <c r="I25" s="2719" t="s">
        <v>2798</v>
      </c>
      <c r="J25" s="781">
        <f ca="1">J5-J16</f>
        <v>-438</v>
      </c>
      <c r="K25" s="2398" t="s">
        <v>694</v>
      </c>
      <c r="L25" s="2399"/>
      <c r="M25" s="2400"/>
    </row>
    <row r="26" spans="1:33" ht="18" customHeight="1">
      <c r="A26" s="1574" t="s">
        <v>1821</v>
      </c>
      <c r="B26" s="773" t="s">
        <v>2420</v>
      </c>
      <c r="C26" s="52">
        <f ca="1">ROUND((C19+C20)*F26,0)</f>
        <v>221</v>
      </c>
      <c r="D26" s="800" t="s">
        <v>695</v>
      </c>
      <c r="E26" s="784" t="s">
        <v>696</v>
      </c>
      <c r="F26" s="783">
        <f ca="1">INDIRECT("'数据-取费表'!q"&amp;$G$1)</f>
        <v>0.05</v>
      </c>
      <c r="G26" s="1942"/>
      <c r="H26" s="2352" t="s">
        <v>1770</v>
      </c>
      <c r="I26" s="2109" t="s">
        <v>2803</v>
      </c>
      <c r="J26" s="772">
        <f ca="1">IF(J5&lt;&gt;0,ROUND(J25*(1-((1+M28)/(1+M26))^M27)/(M26-M28),0),0)</f>
        <v>0</v>
      </c>
      <c r="K26" s="802" t="s">
        <v>698</v>
      </c>
      <c r="L26" s="773" t="s">
        <v>2402</v>
      </c>
      <c r="M26" s="783">
        <f ca="1">INDIRECT("'数据-取费表'!I"&amp;$G$1)</f>
        <v>0.05</v>
      </c>
    </row>
    <row r="27" spans="1:33" ht="18" customHeight="1">
      <c r="A27" s="1574" t="s">
        <v>1822</v>
      </c>
      <c r="B27" s="773" t="s">
        <v>680</v>
      </c>
      <c r="C27" s="52">
        <f ca="1">ROUND(F21*F26,4)</f>
        <v>1.2999999999999999E-3</v>
      </c>
      <c r="D27" s="800" t="s">
        <v>700</v>
      </c>
      <c r="E27" s="795"/>
      <c r="F27" s="796"/>
      <c r="G27" s="1942"/>
      <c r="H27" s="2353"/>
      <c r="I27" s="776"/>
      <c r="J27" s="777"/>
      <c r="K27" s="809" t="s">
        <v>701</v>
      </c>
      <c r="L27" s="773" t="s">
        <v>702</v>
      </c>
      <c r="M27" s="810">
        <f ca="1">INDIRECT("'数据-取费表'!ag"&amp;$G$1)</f>
        <v>0</v>
      </c>
    </row>
    <row r="28" spans="1:33" s="1944" customFormat="1" ht="18" customHeight="1">
      <c r="A28" s="1576" t="s">
        <v>1831</v>
      </c>
      <c r="B28" s="773" t="s">
        <v>681</v>
      </c>
      <c r="C28" s="52">
        <f>ROUND(F28/(1+'数据-取费表'!C42),4)</f>
        <v>5.2400000000000002E-2</v>
      </c>
      <c r="D28" s="800" t="s">
        <v>2285</v>
      </c>
      <c r="E28" s="773" t="s">
        <v>643</v>
      </c>
      <c r="F28" s="798">
        <f>'数据-取费表'!B41</f>
        <v>5.5000000000000007E-2</v>
      </c>
      <c r="G28" s="3254"/>
      <c r="H28" s="1741"/>
      <c r="I28" s="780"/>
      <c r="J28" s="781"/>
      <c r="K28" s="804"/>
      <c r="L28" s="773" t="s">
        <v>704</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5202</v>
      </c>
      <c r="D29" s="2395"/>
      <c r="E29" s="2396"/>
      <c r="F29" s="2397"/>
      <c r="G29" s="3254"/>
      <c r="H29" s="811" t="s">
        <v>1777</v>
      </c>
      <c r="I29" s="812" t="s">
        <v>1778</v>
      </c>
      <c r="J29" s="813">
        <f ca="1">ROUND(J26/(1+F40)^F41,0)</f>
        <v>0</v>
      </c>
      <c r="K29" s="814" t="s">
        <v>682</v>
      </c>
      <c r="L29" s="815"/>
      <c r="M29" s="816">
        <f ca="1">INDIRECT("'数据-取费表'!k"&amp;$G$1)</f>
        <v>12284</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1">
        <f ca="1">ROUND(C31+C36+C37+C38,0)</f>
        <v>1</v>
      </c>
      <c r="D30" s="1733" t="s">
        <v>646</v>
      </c>
      <c r="E30" s="3283"/>
      <c r="F30" s="2341"/>
      <c r="G30" s="1942"/>
      <c r="H30" s="1945"/>
      <c r="I30" s="1946"/>
      <c r="J30" s="1947"/>
      <c r="K30" s="1948"/>
      <c r="L30" s="1949"/>
      <c r="M30" s="1950"/>
    </row>
    <row r="31" spans="1:33" ht="18" customHeight="1">
      <c r="A31" s="1575" t="s">
        <v>1814</v>
      </c>
      <c r="B31" s="773" t="s">
        <v>650</v>
      </c>
      <c r="C31" s="3014">
        <f ca="1">ROUND(IF(AND(项目基本情况!B11="自然人",项目基本情况!B10="北京市"),C6*F31/(1+'数据-取费表'!C42),C32+C33+C34),0)</f>
        <v>1</v>
      </c>
      <c r="D31" s="3281" t="s">
        <v>651</v>
      </c>
      <c r="E31" s="3280" t="s">
        <v>684</v>
      </c>
      <c r="F31" s="3013" t="str">
        <f>IF(项目基本情况!B11="企业","——",IF('数据-取费表'!B10="住宅",IF(F6*F7*F8/12/(1+'数据-取费表'!F30)&gt;100000,4%,2.5%),IF(F6*F7*F8/12/(1+'数据-取费表'!F30)&gt;100000,12%,7%)))</f>
        <v>——</v>
      </c>
      <c r="G31" s="1942"/>
      <c r="H31" s="3251" t="s">
        <v>2972</v>
      </c>
      <c r="I31" s="1946"/>
      <c r="J31" s="1947"/>
      <c r="K31" s="1948"/>
      <c r="L31" s="1949"/>
      <c r="M31" s="1950"/>
    </row>
    <row r="32" spans="1:33" ht="18" customHeight="1">
      <c r="A32" s="1574" t="s">
        <v>1821</v>
      </c>
      <c r="B32" s="773" t="s">
        <v>654</v>
      </c>
      <c r="C32" s="52">
        <f ca="1">ROUND(C6*F32/(1+'数据-取费表'!C42),1)</f>
        <v>0</v>
      </c>
      <c r="D32" s="3280" t="s">
        <v>655</v>
      </c>
      <c r="E32" s="773" t="s">
        <v>643</v>
      </c>
      <c r="F32" s="798">
        <f>'数据-取费表'!B41</f>
        <v>5.5000000000000007E-2</v>
      </c>
      <c r="G32" s="1942"/>
      <c r="H32" s="1951"/>
      <c r="I32" s="1952"/>
      <c r="J32" s="1953"/>
      <c r="K32" s="1954"/>
      <c r="L32" s="1955"/>
      <c r="M32" s="1956"/>
    </row>
    <row r="33" spans="1:18" ht="18" customHeight="1">
      <c r="A33" s="1574" t="s">
        <v>1822</v>
      </c>
      <c r="B33" s="773" t="s">
        <v>658</v>
      </c>
      <c r="C33" s="52">
        <f ca="1">IF(D33="按租金收入计税",ROUND(C6*F33/(1+'数据-取费表'!C42),1),IF(D33="按房产原值计税",ROUND(C29*F33*0.7,1),INDIRECT("'数据-取费表'!Aj"&amp;$G$1)))</f>
        <v>0</v>
      </c>
      <c r="D33" s="799" t="s">
        <v>3130</v>
      </c>
      <c r="E33" s="773" t="s">
        <v>643</v>
      </c>
      <c r="F33" s="798">
        <f>IF(D33="按租金收入计税",'数据-取费表'!B51,'数据-取费表'!B50)</f>
        <v>0.12</v>
      </c>
      <c r="G33" s="1942"/>
      <c r="H33" s="1957"/>
      <c r="I33" s="1957"/>
      <c r="J33" s="1957"/>
      <c r="K33" s="1958"/>
      <c r="L33" s="1957"/>
      <c r="M33" s="1957"/>
    </row>
    <row r="34" spans="1:18" ht="18" customHeight="1">
      <c r="A34" s="1577" t="s">
        <v>1823</v>
      </c>
      <c r="B34" s="338" t="s">
        <v>662</v>
      </c>
      <c r="C34" s="53">
        <f ca="1">ROUND(F34*F35/10000,1)</f>
        <v>0.7</v>
      </c>
      <c r="D34" s="802" t="s">
        <v>663</v>
      </c>
      <c r="E34" s="773" t="s">
        <v>664</v>
      </c>
      <c r="F34" s="631">
        <f>'数据-取费表'!B52</f>
        <v>1.5</v>
      </c>
      <c r="G34" s="1942"/>
      <c r="H34" s="1945"/>
      <c r="I34" s="823" t="s">
        <v>1803</v>
      </c>
      <c r="J34" s="824"/>
      <c r="K34" s="1960"/>
      <c r="L34" s="1959"/>
      <c r="M34" s="1959"/>
    </row>
    <row r="35" spans="1:18" ht="18" customHeight="1">
      <c r="A35" s="803"/>
      <c r="B35" s="782"/>
      <c r="C35" s="68"/>
      <c r="D35" s="804"/>
      <c r="E35" s="773" t="s">
        <v>668</v>
      </c>
      <c r="F35" s="774">
        <f ca="1">INDIRECT("'数据-取费表'!r"&amp;$G$1)</f>
        <v>4652.0599999999995</v>
      </c>
      <c r="G35" s="1942"/>
      <c r="H35" s="1945"/>
      <c r="I35" s="825" t="s">
        <v>1804</v>
      </c>
      <c r="J35" s="826">
        <f ca="1">ROUND(C13*J36,0)</f>
        <v>0</v>
      </c>
      <c r="K35" s="1958"/>
      <c r="L35" s="1957"/>
      <c r="M35" s="1957"/>
    </row>
    <row r="36" spans="1:18" ht="18" customHeight="1">
      <c r="A36" s="1575" t="s">
        <v>1879</v>
      </c>
      <c r="B36" s="773" t="s">
        <v>670</v>
      </c>
      <c r="C36" s="52">
        <f ca="1">ROUND(C29*F36,1)</f>
        <v>0</v>
      </c>
      <c r="D36" s="3280" t="s">
        <v>685</v>
      </c>
      <c r="E36" s="773" t="s">
        <v>643</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3280" t="s">
        <v>674</v>
      </c>
      <c r="E37" s="773" t="s">
        <v>643</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677</v>
      </c>
      <c r="E38" s="2396" t="s">
        <v>643</v>
      </c>
      <c r="F38" s="2392">
        <f ca="1">INDIRECT("'数据-取费表'!Am"&amp;$G$1)</f>
        <v>0</v>
      </c>
      <c r="G38" s="1942"/>
      <c r="H38" s="1957"/>
      <c r="I38" s="831" t="s">
        <v>1807</v>
      </c>
      <c r="J38" s="832"/>
      <c r="K38" s="1962"/>
      <c r="L38" s="1957"/>
      <c r="M38" s="1957"/>
    </row>
    <row r="39" spans="1:18" ht="24.6" customHeight="1" thickTop="1">
      <c r="A39" s="1741" t="s">
        <v>1766</v>
      </c>
      <c r="B39" s="2719" t="s">
        <v>2798</v>
      </c>
      <c r="C39" s="781">
        <f ca="1">C5-C30</f>
        <v>-1</v>
      </c>
      <c r="D39" s="2398" t="s">
        <v>694</v>
      </c>
      <c r="E39" s="2399"/>
      <c r="F39" s="2400"/>
      <c r="G39" s="1942"/>
      <c r="H39" s="1957"/>
      <c r="I39" s="825" t="s">
        <v>1808</v>
      </c>
      <c r="J39" s="833">
        <f ca="1">ROUND(J35/C39,3)</f>
        <v>0</v>
      </c>
      <c r="K39" s="1962"/>
      <c r="L39" s="1957"/>
      <c r="M39" s="1957"/>
    </row>
    <row r="40" spans="1:18" ht="18" customHeight="1">
      <c r="A40" s="770" t="s">
        <v>1770</v>
      </c>
      <c r="B40" s="2109" t="s">
        <v>2287</v>
      </c>
      <c r="C40" s="772">
        <f ca="1">ROUND(C39*(1-((1+F42)/(1+F40))^F41)/(F40-F42),0)</f>
        <v>0</v>
      </c>
      <c r="D40" s="802" t="s">
        <v>698</v>
      </c>
      <c r="E40" s="773" t="s">
        <v>2402</v>
      </c>
      <c r="F40" s="783">
        <f ca="1">INDIRECT("'数据-取费表'!I"&amp;$G$1)</f>
        <v>0.05</v>
      </c>
      <c r="G40" s="1942"/>
      <c r="H40" s="1942"/>
      <c r="I40" s="825" t="s">
        <v>1809</v>
      </c>
      <c r="J40" s="833">
        <f ca="1">1-J39</f>
        <v>1</v>
      </c>
      <c r="K40" s="1962"/>
      <c r="L40" s="1942"/>
      <c r="M40" s="1942"/>
    </row>
    <row r="41" spans="1:18" ht="18" customHeight="1">
      <c r="A41" s="775"/>
      <c r="B41" s="776"/>
      <c r="C41" s="777"/>
      <c r="D41" s="809" t="s">
        <v>1798</v>
      </c>
      <c r="E41" s="773" t="s">
        <v>702</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704</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12284</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3131</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49.48</v>
      </c>
      <c r="M48" s="3256"/>
      <c r="O48" s="2250" t="s">
        <v>2362</v>
      </c>
      <c r="P48" s="2251" t="s">
        <v>2388</v>
      </c>
      <c r="Q48" s="2252">
        <f ca="1">C40+J29</f>
        <v>0</v>
      </c>
      <c r="R48" s="2251" t="s">
        <v>2363</v>
      </c>
    </row>
    <row r="49" spans="1:18" s="1939" customFormat="1" ht="18" customHeight="1" thickBot="1">
      <c r="A49" s="775"/>
      <c r="B49" s="776"/>
      <c r="C49" s="777"/>
      <c r="D49" s="778"/>
      <c r="E49" s="773" t="s">
        <v>632</v>
      </c>
      <c r="F49" s="774">
        <f ca="1">F7</f>
        <v>529</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633</v>
      </c>
      <c r="F50" s="774">
        <f ca="1">F8</f>
        <v>365</v>
      </c>
      <c r="G50" s="1974"/>
      <c r="H50" s="1972"/>
      <c r="I50" s="2794" t="s">
        <v>2330</v>
      </c>
      <c r="J50" s="2801">
        <f>SUMPRODUCT((I63:I65=J47)*(J62:L62=J48)*(J63:L65))</f>
        <v>60</v>
      </c>
      <c r="K50" s="2805" t="s">
        <v>2336</v>
      </c>
      <c r="L50" s="2236"/>
      <c r="M50" s="3256"/>
      <c r="O50" s="2253" t="s">
        <v>2366</v>
      </c>
      <c r="P50" s="2251" t="s">
        <v>2390</v>
      </c>
      <c r="Q50" s="2252">
        <f ca="1">C29</f>
        <v>5202</v>
      </c>
      <c r="R50" s="2251" t="s">
        <v>2363</v>
      </c>
    </row>
    <row r="51" spans="1:18" s="1939" customFormat="1" ht="18" customHeight="1" thickBot="1">
      <c r="A51" s="775"/>
      <c r="B51" s="776"/>
      <c r="C51" s="777"/>
      <c r="D51" s="778"/>
      <c r="E51" s="773" t="s">
        <v>634</v>
      </c>
      <c r="F51" s="2223"/>
      <c r="H51" s="1972"/>
      <c r="I51" s="2798" t="s">
        <v>2331</v>
      </c>
      <c r="J51" s="2802">
        <f>IF(J49="",J50,J49+J50-YEAR('数据-取费表'!B2))</f>
        <v>61</v>
      </c>
      <c r="K51" s="2794" t="s">
        <v>2337</v>
      </c>
      <c r="L51" s="2808">
        <f ca="1">ROUND(-PV(INDIRECT("'数据-取费表'!h"&amp;$G$1),J51,(C39-C13*J36),0),0)</f>
        <v>-21</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2916</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2920</v>
      </c>
      <c r="J53" s="2853">
        <f ca="1">IF(M47="住宅",IF(D1="——",MAX(J51,L48),MAX(J51,L48-'数据-取费表'!B20)),IF(D1="——",MIN(J51,L48),MIN(J51,L48-'数据-取费表'!B20)))</f>
        <v>47.98</v>
      </c>
      <c r="K53" s="3680" t="s">
        <v>2909</v>
      </c>
      <c r="L53" s="3681"/>
      <c r="M53" s="3256"/>
      <c r="O53" s="2253" t="s">
        <v>2371</v>
      </c>
      <c r="P53" s="2251" t="s">
        <v>2372</v>
      </c>
      <c r="Q53" s="2252">
        <f ca="1">J53</f>
        <v>47.98</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2286</v>
      </c>
      <c r="C56" s="52">
        <f ca="1">C29</f>
        <v>5202</v>
      </c>
      <c r="D56" s="3280"/>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1</v>
      </c>
      <c r="D57" s="25" t="s">
        <v>646</v>
      </c>
      <c r="E57" s="3285"/>
      <c r="F57" s="55"/>
      <c r="I57" s="2814" t="s">
        <v>2341</v>
      </c>
      <c r="J57" s="2815" t="str">
        <f ca="1">IF(OR(M47="住宅",J51&lt;L48,J56="是"),"——",J51-L48)</f>
        <v>——</v>
      </c>
      <c r="K57" s="2794" t="s">
        <v>2346</v>
      </c>
      <c r="L57" s="1819" t="str">
        <f ca="1">IF(L48&lt;J51,"——",IF(L55="比较法",L49,IF(L55="基准地价",L50,L51)))</f>
        <v>——</v>
      </c>
      <c r="M57" s="3256"/>
      <c r="O57" s="2250" t="s">
        <v>2362</v>
      </c>
      <c r="P57" s="2251" t="s">
        <v>2388</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1</v>
      </c>
      <c r="D58" s="3281" t="s">
        <v>651</v>
      </c>
      <c r="E58" s="3280"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3280" t="s">
        <v>655</v>
      </c>
      <c r="E59" s="773" t="s">
        <v>643</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658</v>
      </c>
      <c r="C60" s="52">
        <f ca="1">IF(D60="按租金收入计税",ROUND(C48*F60/(1+'数据-取费表'!C42),1),IF(D60="按房产原值计税",ROUND(C56*F60*0.7,1),INDIRECT("'数据-取费表'!Aj"&amp;$G$1)))</f>
        <v>0</v>
      </c>
      <c r="D60" s="3280" t="str">
        <f>D33</f>
        <v>按租金收入计税</v>
      </c>
      <c r="E60" s="773" t="s">
        <v>643</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0.7</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4652.0599999999995</v>
      </c>
      <c r="I62" s="2819" t="s">
        <v>2350</v>
      </c>
      <c r="J62" s="2820" t="s">
        <v>2351</v>
      </c>
      <c r="K62" s="2820" t="s">
        <v>2352</v>
      </c>
      <c r="L62" s="2820" t="s">
        <v>2333</v>
      </c>
      <c r="M62" s="2821" t="s">
        <v>2888</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3280" t="s">
        <v>685</v>
      </c>
      <c r="E63" s="773" t="s">
        <v>643</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3280" t="s">
        <v>674</v>
      </c>
      <c r="E64" s="773" t="s">
        <v>643</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3280" t="s">
        <v>677</v>
      </c>
      <c r="E65" s="773" t="s">
        <v>643</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-1</v>
      </c>
      <c r="D66" s="3281" t="s">
        <v>694</v>
      </c>
      <c r="E66" s="3284"/>
      <c r="F66" s="808"/>
      <c r="K66" s="1965"/>
      <c r="O66" s="2250" t="s">
        <v>2362</v>
      </c>
      <c r="P66" s="2251" t="s">
        <v>2388</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702</v>
      </c>
      <c r="F68" s="810">
        <f ca="1">F41</f>
        <v>0</v>
      </c>
      <c r="O68" s="2253" t="s">
        <v>2366</v>
      </c>
      <c r="P68" s="2251" t="s">
        <v>2396</v>
      </c>
      <c r="Q68" s="2257">
        <f ca="1">L51</f>
        <v>-21</v>
      </c>
      <c r="R68" s="2258" t="s">
        <v>2399</v>
      </c>
    </row>
    <row r="69" spans="1:18" ht="20.25" thickBot="1">
      <c r="A69" s="779"/>
      <c r="B69" s="780"/>
      <c r="C69" s="781"/>
      <c r="D69" s="804"/>
      <c r="E69" s="773" t="s">
        <v>704</v>
      </c>
      <c r="F69" s="2223"/>
      <c r="O69" s="2253" t="s">
        <v>2367</v>
      </c>
      <c r="P69" s="2259" t="s">
        <v>2381</v>
      </c>
      <c r="Q69" s="2252">
        <f ca="1">ROUND(Q70-Q71*Q72,0)</f>
        <v>-1</v>
      </c>
      <c r="R69" s="2255"/>
    </row>
    <row r="70" spans="1:18" ht="15.75" thickBot="1">
      <c r="A70" s="811" t="s">
        <v>1777</v>
      </c>
      <c r="B70" s="812" t="s">
        <v>1800</v>
      </c>
      <c r="C70" s="813">
        <f ca="1">ROUND(C67*10000/F70,0)</f>
        <v>0</v>
      </c>
      <c r="D70" s="814" t="s">
        <v>1801</v>
      </c>
      <c r="E70" s="815" t="s">
        <v>1802</v>
      </c>
      <c r="F70" s="816">
        <f ca="1">F43</f>
        <v>12284</v>
      </c>
      <c r="O70" s="2253" t="s">
        <v>2382</v>
      </c>
      <c r="P70" s="2259" t="s">
        <v>2383</v>
      </c>
      <c r="Q70" s="2252">
        <f ca="1">C39</f>
        <v>-1</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67" priority="6">
      <formula>$L$48&gt;$J$51</formula>
    </cfRule>
  </conditionalFormatting>
  <conditionalFormatting sqref="I55">
    <cfRule type="expression" dxfId="66" priority="7">
      <formula>$J$51&gt;$L$48</formula>
    </cfRule>
  </conditionalFormatting>
  <conditionalFormatting sqref="I60">
    <cfRule type="expression" dxfId="65" priority="5">
      <formula>$J$51&gt;$L$48</formula>
    </cfRule>
  </conditionalFormatting>
  <conditionalFormatting sqref="K60">
    <cfRule type="expression" dxfId="64" priority="4">
      <formula>$L$48&gt;$J$51</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D1" xr:uid="{00000000-0002-0000-2900-000000000000}">
      <formula1>"土地（套用方法）,——"</formula1>
    </dataValidation>
    <dataValidation type="list" allowBlank="1" showInputMessage="1" showErrorMessage="1" sqref="F10 M10 F52" xr:uid="{00000000-0002-0000-2900-000001000000}">
      <formula1>"押一,押二,押三,自定义"</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J56" xr:uid="{00000000-0002-0000-2900-000004000000}">
      <formula1>判定</formula1>
    </dataValidation>
    <dataValidation type="list" allowBlank="1" showInputMessage="1" showErrorMessage="1" sqref="D33"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C1:C3" xr:uid="{00000000-0002-0000-2900-000007000000}">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750</v>
      </c>
      <c r="C1" s="497" t="s">
        <v>714</v>
      </c>
      <c r="D1" s="2222"/>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633" t="s">
        <v>516</v>
      </c>
      <c r="D4" s="3634"/>
      <c r="E4" s="3668" t="s">
        <v>517</v>
      </c>
      <c r="F4" s="3669"/>
      <c r="G4" s="3633" t="s">
        <v>518</v>
      </c>
      <c r="H4" s="3634"/>
      <c r="I4" s="3633" t="s">
        <v>519</v>
      </c>
      <c r="J4" s="3634"/>
      <c r="K4" s="507" t="s">
        <v>520</v>
      </c>
      <c r="L4" s="2012"/>
      <c r="M4" s="2013"/>
      <c r="N4" s="2013"/>
      <c r="O4" s="2013"/>
      <c r="P4" s="3635" t="s">
        <v>521</v>
      </c>
      <c r="Q4" s="3636"/>
      <c r="R4" s="3641" t="s">
        <v>517</v>
      </c>
      <c r="S4" s="3642"/>
      <c r="T4" s="3641" t="s">
        <v>518</v>
      </c>
      <c r="U4" s="3642"/>
      <c r="V4" s="3628" t="s">
        <v>519</v>
      </c>
      <c r="W4" s="3628"/>
      <c r="X4" s="1499"/>
      <c r="Y4" s="3641" t="s">
        <v>521</v>
      </c>
      <c r="Z4" s="3642"/>
      <c r="AA4" s="3630" t="s">
        <v>517</v>
      </c>
      <c r="AB4" s="3628" t="s">
        <v>518</v>
      </c>
      <c r="AC4" s="3630" t="s">
        <v>519</v>
      </c>
    </row>
    <row r="5" spans="1:29" ht="15">
      <c r="A5" s="508"/>
      <c r="B5" s="509"/>
      <c r="C5" s="3672" t="s">
        <v>2875</v>
      </c>
      <c r="D5" s="3673"/>
      <c r="E5" s="3676" t="s">
        <v>2876</v>
      </c>
      <c r="F5" s="3677"/>
      <c r="G5" s="3672" t="s">
        <v>2877</v>
      </c>
      <c r="H5" s="3673"/>
      <c r="I5" s="3672" t="s">
        <v>2878</v>
      </c>
      <c r="J5" s="3673"/>
      <c r="K5" s="507"/>
      <c r="L5" s="2012"/>
      <c r="M5" s="2013"/>
      <c r="N5" s="2013"/>
      <c r="O5" s="2013"/>
      <c r="P5" s="3637"/>
      <c r="Q5" s="3638"/>
      <c r="R5" s="3643"/>
      <c r="S5" s="3644"/>
      <c r="T5" s="3643"/>
      <c r="U5" s="3644"/>
      <c r="V5" s="3628"/>
      <c r="W5" s="3628"/>
      <c r="X5" s="1499"/>
      <c r="Y5" s="3643"/>
      <c r="Z5" s="3644"/>
      <c r="AA5" s="3631"/>
      <c r="AB5" s="3628"/>
      <c r="AC5" s="3631"/>
    </row>
    <row r="6" spans="1:29" ht="15.75" thickBot="1">
      <c r="A6" s="510"/>
      <c r="B6" s="511"/>
      <c r="C6" s="3670" t="s">
        <v>2879</v>
      </c>
      <c r="D6" s="3671"/>
      <c r="E6" s="3674" t="s">
        <v>2879</v>
      </c>
      <c r="F6" s="3675"/>
      <c r="G6" s="3670" t="s">
        <v>2879</v>
      </c>
      <c r="H6" s="3671"/>
      <c r="I6" s="3670" t="s">
        <v>2879</v>
      </c>
      <c r="J6" s="3671"/>
      <c r="K6" s="507" t="s">
        <v>522</v>
      </c>
      <c r="L6" s="2012"/>
      <c r="M6" s="2013"/>
      <c r="N6" s="2013"/>
      <c r="O6" s="2013"/>
      <c r="P6" s="3639"/>
      <c r="Q6" s="3640"/>
      <c r="R6" s="3643"/>
      <c r="S6" s="3644"/>
      <c r="T6" s="3645"/>
      <c r="U6" s="3646"/>
      <c r="V6" s="3628"/>
      <c r="W6" s="3628"/>
      <c r="X6" s="1499"/>
      <c r="Y6" s="3645"/>
      <c r="Z6" s="3646"/>
      <c r="AA6" s="3632"/>
      <c r="AB6" s="3628"/>
      <c r="AC6" s="3632"/>
    </row>
    <row r="7" spans="1:29" s="1200" customFormat="1" ht="15.75" thickBot="1">
      <c r="A7" s="2626"/>
      <c r="B7" s="2633" t="s">
        <v>523</v>
      </c>
      <c r="C7" s="512">
        <f>'数据-取费表'!B2</f>
        <v>44532</v>
      </c>
      <c r="D7" s="513">
        <v>100</v>
      </c>
      <c r="E7" s="514"/>
      <c r="F7" s="515">
        <f>SUMIF(58:58,YEAR(E7)&amp;"-"&amp;MONTH(E7),59:59)</f>
        <v>0</v>
      </c>
      <c r="G7" s="514"/>
      <c r="H7" s="513">
        <f>SUMIF(58:58,YEAR(G7)&amp;"-"&amp;MONTH(G7),59:59)</f>
        <v>0</v>
      </c>
      <c r="I7" s="514"/>
      <c r="J7" s="513">
        <f>SUMIF(58:58,YEAR(I7)&amp;"-"&amp;MONTH(I7),59:59)</f>
        <v>0</v>
      </c>
      <c r="K7" s="517"/>
      <c r="L7" s="2014"/>
      <c r="M7" s="2015"/>
      <c r="N7" s="2015"/>
      <c r="O7" s="2015"/>
      <c r="P7" s="3658" t="s">
        <v>524</v>
      </c>
      <c r="Q7" s="3660"/>
      <c r="R7" s="1500" t="s">
        <v>8</v>
      </c>
      <c r="S7" s="1501">
        <f t="shared" ref="S7:S15" si="0">F7</f>
        <v>0</v>
      </c>
      <c r="T7" s="1500" t="s">
        <v>8</v>
      </c>
      <c r="U7" s="1501">
        <f t="shared" ref="U7:U15" si="1">H7</f>
        <v>0</v>
      </c>
      <c r="V7" s="1500" t="s">
        <v>8</v>
      </c>
      <c r="W7" s="1501">
        <f t="shared" ref="W7:W15" si="2">J7</f>
        <v>0</v>
      </c>
      <c r="X7" s="1502"/>
      <c r="Y7" s="3658" t="s">
        <v>524</v>
      </c>
      <c r="Z7" s="3659"/>
      <c r="AA7" s="1503" t="e">
        <f>D7/F7</f>
        <v>#DIV/0!</v>
      </c>
      <c r="AB7" s="1503" t="e">
        <f>D7/H7</f>
        <v>#DIV/0!</v>
      </c>
      <c r="AC7" s="1503" t="e">
        <f>D7/J7</f>
        <v>#DIV/0!</v>
      </c>
    </row>
    <row r="8" spans="1:29" s="1200"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658" t="s">
        <v>527</v>
      </c>
      <c r="Q8" s="3659"/>
      <c r="R8" s="1500" t="s">
        <v>8</v>
      </c>
      <c r="S8" s="1501">
        <f t="shared" si="0"/>
        <v>0</v>
      </c>
      <c r="T8" s="1500" t="s">
        <v>8</v>
      </c>
      <c r="U8" s="1501">
        <f t="shared" si="1"/>
        <v>0</v>
      </c>
      <c r="V8" s="1500" t="s">
        <v>8</v>
      </c>
      <c r="W8" s="1501">
        <f t="shared" si="2"/>
        <v>0</v>
      </c>
      <c r="X8" s="1502"/>
      <c r="Y8" s="3658" t="s">
        <v>527</v>
      </c>
      <c r="Z8" s="3659"/>
      <c r="AA8" s="1503" t="e">
        <f t="shared" ref="AA8:AA46" si="3">D8/F8</f>
        <v>#DIV/0!</v>
      </c>
      <c r="AB8" s="1503" t="e">
        <f t="shared" ref="AB8:AB46" si="4">D8/H8</f>
        <v>#DIV/0!</v>
      </c>
      <c r="AC8" s="1503" t="e">
        <f t="shared" ref="AC8:AC46" si="5">D8/J8</f>
        <v>#DIV/0!</v>
      </c>
    </row>
    <row r="9" spans="1:29" s="1200" customFormat="1" ht="15">
      <c r="A9" s="2628"/>
      <c r="B9" s="2635" t="s">
        <v>2733</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627" t="s">
        <v>529</v>
      </c>
      <c r="Q9" s="1131" t="str">
        <f t="shared" ref="Q9:Q15" si="6">B9</f>
        <v>用途</v>
      </c>
      <c r="R9" s="1500" t="s">
        <v>8</v>
      </c>
      <c r="S9" s="1501">
        <f t="shared" si="0"/>
        <v>100</v>
      </c>
      <c r="T9" s="1500" t="s">
        <v>8</v>
      </c>
      <c r="U9" s="1501">
        <f t="shared" si="1"/>
        <v>100</v>
      </c>
      <c r="V9" s="1500" t="s">
        <v>8</v>
      </c>
      <c r="W9" s="1501">
        <f t="shared" si="2"/>
        <v>100</v>
      </c>
      <c r="X9" s="1502"/>
      <c r="Y9" s="3573"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627"/>
      <c r="Q11" s="1131" t="str">
        <f t="shared" si="6"/>
        <v>容积率</v>
      </c>
      <c r="R11" s="1500" t="s">
        <v>8</v>
      </c>
      <c r="S11" s="1501" t="e">
        <f t="shared" si="0"/>
        <v>#N/A</v>
      </c>
      <c r="T11" s="1500" t="s">
        <v>8</v>
      </c>
      <c r="U11" s="1501" t="e">
        <f t="shared" si="1"/>
        <v>#N/A</v>
      </c>
      <c r="V11" s="1500" t="s">
        <v>8</v>
      </c>
      <c r="W11" s="1501" t="e">
        <f t="shared" si="2"/>
        <v>#N/A</v>
      </c>
      <c r="X11" s="1502"/>
      <c r="Y11" s="3573"/>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SUMIF(70:70,E12,71:71)-SUMIF(70:70,C12,71:71)+100</f>
        <v>100</v>
      </c>
      <c r="G12" s="898"/>
      <c r="H12" s="252">
        <f>SUMIF(70:70,G12,71:71)-SUMIF(70:70,C12,71:71)+100</f>
        <v>100</v>
      </c>
      <c r="I12" s="532"/>
      <c r="J12" s="252">
        <f>SUMIF(70:70,I12,71:71)-SUMIF(70:70,C12,71:71)+100</f>
        <v>100</v>
      </c>
      <c r="K12" s="574"/>
      <c r="L12" s="2014"/>
      <c r="M12" s="2015"/>
      <c r="N12" s="2015"/>
      <c r="O12" s="2016"/>
      <c r="P12" s="3627"/>
      <c r="Q12" s="1131">
        <f t="shared" si="6"/>
        <v>111</v>
      </c>
      <c r="R12" s="1500" t="s">
        <v>8</v>
      </c>
      <c r="S12" s="1501">
        <f t="shared" si="0"/>
        <v>100</v>
      </c>
      <c r="T12" s="1500" t="s">
        <v>8</v>
      </c>
      <c r="U12" s="1501">
        <f t="shared" si="1"/>
        <v>100</v>
      </c>
      <c r="V12" s="1500" t="s">
        <v>8</v>
      </c>
      <c r="W12" s="1501">
        <f t="shared" si="2"/>
        <v>100</v>
      </c>
      <c r="X12" s="1502"/>
      <c r="Y12" s="3573"/>
      <c r="Z12" s="1130">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898"/>
      <c r="H13" s="533">
        <f>SUMIF(72:72,G13,73:73)-SUMIF(72:72,C13,73:73)+100</f>
        <v>100</v>
      </c>
      <c r="I13" s="532"/>
      <c r="J13" s="533">
        <f>SUMIF(72:72,I13,73:73)-SUMIF(72:72,C13,73:73)+100</f>
        <v>100</v>
      </c>
      <c r="K13" s="574"/>
      <c r="L13" s="2021"/>
      <c r="M13" s="2013"/>
      <c r="N13" s="2013"/>
      <c r="O13" s="2020"/>
      <c r="P13" s="3627"/>
      <c r="Q13" s="1131">
        <f t="shared" si="6"/>
        <v>111</v>
      </c>
      <c r="R13" s="1500" t="s">
        <v>8</v>
      </c>
      <c r="S13" s="1501">
        <f t="shared" si="0"/>
        <v>100</v>
      </c>
      <c r="T13" s="1500" t="s">
        <v>8</v>
      </c>
      <c r="U13" s="1501">
        <f t="shared" si="1"/>
        <v>100</v>
      </c>
      <c r="V13" s="1500" t="s">
        <v>8</v>
      </c>
      <c r="W13" s="1501">
        <f t="shared" si="2"/>
        <v>100</v>
      </c>
      <c r="X13" s="1502"/>
      <c r="Y13" s="3573"/>
      <c r="Z13" s="1130">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898"/>
      <c r="H14" s="539">
        <f>SUMIF(74:74,G14,75:75)-SUMIF(74:74,C14,75:75)+100</f>
        <v>100</v>
      </c>
      <c r="I14" s="532"/>
      <c r="J14" s="539">
        <f>SUMIF(74:74,I14,75:75)-SUMIF(74:74,C14,75:75)+100</f>
        <v>100</v>
      </c>
      <c r="K14" s="574"/>
      <c r="L14" s="2021"/>
      <c r="M14" s="2013"/>
      <c r="N14" s="2013"/>
      <c r="O14" s="2020"/>
      <c r="P14" s="3627"/>
      <c r="Q14" s="1131">
        <f t="shared" si="6"/>
        <v>111</v>
      </c>
      <c r="R14" s="1500" t="s">
        <v>8</v>
      </c>
      <c r="S14" s="1501">
        <f t="shared" si="0"/>
        <v>100</v>
      </c>
      <c r="T14" s="1500" t="s">
        <v>8</v>
      </c>
      <c r="U14" s="1501">
        <f t="shared" si="1"/>
        <v>100</v>
      </c>
      <c r="V14" s="1500" t="s">
        <v>8</v>
      </c>
      <c r="W14" s="1501">
        <f t="shared" si="2"/>
        <v>100</v>
      </c>
      <c r="X14" s="1502"/>
      <c r="Y14" s="3573"/>
      <c r="Z14" s="1130">
        <f t="shared" si="7"/>
        <v>111</v>
      </c>
      <c r="AA14" s="1503">
        <f t="shared" si="3"/>
        <v>1</v>
      </c>
      <c r="AB14" s="1503">
        <f t="shared" si="4"/>
        <v>1</v>
      </c>
      <c r="AC14" s="1503">
        <f t="shared" si="5"/>
        <v>1</v>
      </c>
    </row>
    <row r="15" spans="1:29" ht="15">
      <c r="A15" s="2624" t="s">
        <v>2731</v>
      </c>
      <c r="B15" s="163"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4"/>
      <c r="L15" s="2021"/>
      <c r="M15" s="2013"/>
      <c r="N15" s="2013"/>
      <c r="O15" s="2020"/>
      <c r="P15" s="3661" t="s">
        <v>534</v>
      </c>
      <c r="Q15" s="1504" t="str">
        <f t="shared" si="6"/>
        <v>商业繁华度</v>
      </c>
      <c r="R15" s="1505" t="s">
        <v>8</v>
      </c>
      <c r="S15" s="1506">
        <f t="shared" si="0"/>
        <v>100</v>
      </c>
      <c r="T15" s="1505" t="s">
        <v>8</v>
      </c>
      <c r="U15" s="1506">
        <f t="shared" si="1"/>
        <v>100</v>
      </c>
      <c r="V15" s="1505" t="s">
        <v>8</v>
      </c>
      <c r="W15" s="1506">
        <f t="shared" si="2"/>
        <v>100</v>
      </c>
      <c r="X15" s="1499"/>
      <c r="Y15" s="3661"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62"/>
      <c r="Q16" s="1504"/>
      <c r="R16" s="1505"/>
      <c r="S16" s="1506"/>
      <c r="T16" s="1505"/>
      <c r="U16" s="1506"/>
      <c r="V16" s="1505"/>
      <c r="W16" s="1506"/>
      <c r="X16" s="1499"/>
      <c r="Y16" s="3662"/>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100</v>
      </c>
      <c r="I17" s="555"/>
      <c r="J17" s="558">
        <f>SUMIF(78:78,I18,79:79)-SUMIF(78:78,C18,79:79)+100</f>
        <v>100</v>
      </c>
      <c r="K17" s="884"/>
      <c r="L17" s="2021"/>
      <c r="M17" s="2013"/>
      <c r="N17" s="2013"/>
      <c r="O17" s="2020"/>
      <c r="P17" s="3662"/>
      <c r="Q17" s="1504" t="str">
        <f>B17</f>
        <v>交通便捷度</v>
      </c>
      <c r="R17" s="1505" t="s">
        <v>8</v>
      </c>
      <c r="S17" s="1506">
        <f>F17</f>
        <v>100</v>
      </c>
      <c r="T17" s="1505" t="s">
        <v>8</v>
      </c>
      <c r="U17" s="1506">
        <f>H17</f>
        <v>100</v>
      </c>
      <c r="V17" s="1505" t="s">
        <v>8</v>
      </c>
      <c r="W17" s="1506">
        <f>J17</f>
        <v>100</v>
      </c>
      <c r="X17" s="1499"/>
      <c r="Y17" s="3662"/>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62"/>
      <c r="Q18" s="1504"/>
      <c r="R18" s="1505"/>
      <c r="S18" s="1506"/>
      <c r="T18" s="1505"/>
      <c r="U18" s="1506"/>
      <c r="V18" s="1505"/>
      <c r="W18" s="1506"/>
      <c r="X18" s="1499"/>
      <c r="Y18" s="3662"/>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4"/>
      <c r="L19" s="2021"/>
      <c r="M19" s="2013"/>
      <c r="N19" s="2013"/>
      <c r="O19" s="2020"/>
      <c r="P19" s="3662"/>
      <c r="Q19" s="1504" t="str">
        <f>B19</f>
        <v>公共配套设施</v>
      </c>
      <c r="R19" s="1505" t="s">
        <v>8</v>
      </c>
      <c r="S19" s="1506">
        <f>F19</f>
        <v>100</v>
      </c>
      <c r="T19" s="1505" t="s">
        <v>8</v>
      </c>
      <c r="U19" s="1506">
        <f>H19</f>
        <v>100</v>
      </c>
      <c r="V19" s="1505" t="s">
        <v>8</v>
      </c>
      <c r="W19" s="1506">
        <f>J19</f>
        <v>100</v>
      </c>
      <c r="X19" s="1499"/>
      <c r="Y19" s="3662"/>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5"/>
      <c r="L20" s="2021"/>
      <c r="M20" s="2013"/>
      <c r="N20" s="2013"/>
      <c r="O20" s="2020"/>
      <c r="P20" s="3662"/>
      <c r="Q20" s="1504"/>
      <c r="R20" s="1505"/>
      <c r="S20" s="1506"/>
      <c r="T20" s="1505"/>
      <c r="U20" s="1506"/>
      <c r="V20" s="1505"/>
      <c r="W20" s="1506"/>
      <c r="X20" s="1499"/>
      <c r="Y20" s="3662"/>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4"/>
      <c r="L21" s="2021"/>
      <c r="M21" s="2013"/>
      <c r="N21" s="2013"/>
      <c r="O21" s="2020"/>
      <c r="P21" s="3662"/>
      <c r="Q21" s="2426" t="str">
        <f>B21</f>
        <v>基础设施水平</v>
      </c>
      <c r="R21" s="1505" t="s">
        <v>8</v>
      </c>
      <c r="S21" s="1506">
        <f>F21</f>
        <v>100</v>
      </c>
      <c r="T21" s="1505" t="s">
        <v>8</v>
      </c>
      <c r="U21" s="1506">
        <f>H21</f>
        <v>100</v>
      </c>
      <c r="V21" s="1505" t="s">
        <v>8</v>
      </c>
      <c r="W21" s="1506">
        <f>J21</f>
        <v>100</v>
      </c>
      <c r="X21" s="2428"/>
      <c r="Y21" s="3662"/>
      <c r="Z21" s="2427" t="str">
        <f>Q21</f>
        <v>基础设施水平</v>
      </c>
      <c r="AA21" s="1508">
        <f t="shared" ref="AA21" si="8">D21/F21</f>
        <v>1</v>
      </c>
      <c r="AB21" s="1508">
        <f t="shared" ref="AB21" si="9">D21/H21</f>
        <v>1</v>
      </c>
      <c r="AC21" s="1508">
        <f t="shared" ref="AC21" si="10">D21/J21</f>
        <v>1</v>
      </c>
    </row>
    <row r="22" spans="1:29" ht="15">
      <c r="A22" s="525"/>
      <c r="B22" s="908"/>
      <c r="C22" s="861"/>
      <c r="D22" s="548"/>
      <c r="E22" s="569"/>
      <c r="F22" s="550"/>
      <c r="G22" s="569"/>
      <c r="H22" s="548"/>
      <c r="I22" s="569"/>
      <c r="J22" s="548"/>
      <c r="K22" s="2443"/>
      <c r="L22" s="2021"/>
      <c r="M22" s="2013"/>
      <c r="N22" s="2013"/>
      <c r="O22" s="2020"/>
      <c r="P22" s="3662"/>
      <c r="Q22" s="2426"/>
      <c r="R22" s="1505"/>
      <c r="S22" s="1506"/>
      <c r="T22" s="1505"/>
      <c r="U22" s="1506"/>
      <c r="V22" s="1505"/>
      <c r="W22" s="1506"/>
      <c r="X22" s="2428"/>
      <c r="Y22" s="3662"/>
      <c r="Z22" s="2427"/>
      <c r="AA22" s="1508">
        <v>1</v>
      </c>
      <c r="AB22" s="1508">
        <v>1</v>
      </c>
      <c r="AC22" s="1508">
        <v>1</v>
      </c>
    </row>
    <row r="23" spans="1:29" ht="15">
      <c r="A23" s="525"/>
      <c r="B23" s="859" t="s">
        <v>297</v>
      </c>
      <c r="C23" s="886"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84"/>
      <c r="L23" s="2021"/>
      <c r="M23" s="2013"/>
      <c r="N23" s="2013"/>
      <c r="O23" s="2020"/>
      <c r="P23" s="3662"/>
      <c r="Q23" s="1504" t="str">
        <f>B23</f>
        <v>自然及人文环境</v>
      </c>
      <c r="R23" s="1505" t="s">
        <v>8</v>
      </c>
      <c r="S23" s="1506">
        <f>F23</f>
        <v>100</v>
      </c>
      <c r="T23" s="1505" t="s">
        <v>8</v>
      </c>
      <c r="U23" s="1506">
        <f>H23</f>
        <v>100</v>
      </c>
      <c r="V23" s="1505" t="s">
        <v>8</v>
      </c>
      <c r="W23" s="1506">
        <f>J23</f>
        <v>100</v>
      </c>
      <c r="X23" s="1499"/>
      <c r="Y23" s="3662"/>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5"/>
      <c r="L24" s="2021"/>
      <c r="M24" s="2013"/>
      <c r="N24" s="2013"/>
      <c r="O24" s="2020"/>
      <c r="P24" s="3662"/>
      <c r="Q24" s="1504"/>
      <c r="R24" s="1505"/>
      <c r="S24" s="1506"/>
      <c r="T24" s="1505"/>
      <c r="U24" s="1506"/>
      <c r="V24" s="1505"/>
      <c r="W24" s="1506"/>
      <c r="X24" s="1499"/>
      <c r="Y24" s="3662"/>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662"/>
      <c r="Q25" s="1504" t="str">
        <f t="shared" ref="Q25:Q46" si="11">B25</f>
        <v>临街状况</v>
      </c>
      <c r="R25" s="1505" t="s">
        <v>8</v>
      </c>
      <c r="S25" s="1506">
        <f>F25</f>
        <v>100</v>
      </c>
      <c r="T25" s="1505" t="s">
        <v>8</v>
      </c>
      <c r="U25" s="1506">
        <f>H25</f>
        <v>100</v>
      </c>
      <c r="V25" s="1505" t="s">
        <v>8</v>
      </c>
      <c r="W25" s="1506">
        <f>J25</f>
        <v>100</v>
      </c>
      <c r="X25" s="1499"/>
      <c r="Y25" s="3662"/>
      <c r="Z25" s="1507" t="str">
        <f>Q25</f>
        <v>临街状况</v>
      </c>
      <c r="AA25" s="1508">
        <f t="shared" si="3"/>
        <v>1</v>
      </c>
      <c r="AB25" s="1508">
        <f t="shared" si="4"/>
        <v>1</v>
      </c>
      <c r="AC25" s="1508">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662"/>
      <c r="Q26" s="1504" t="str">
        <f t="shared" si="11"/>
        <v>平面位置/可视性</v>
      </c>
      <c r="R26" s="1505" t="s">
        <v>8</v>
      </c>
      <c r="S26" s="1506">
        <f>F26</f>
        <v>100</v>
      </c>
      <c r="T26" s="1505" t="s">
        <v>8</v>
      </c>
      <c r="U26" s="1506">
        <f>H26</f>
        <v>100</v>
      </c>
      <c r="V26" s="1505" t="s">
        <v>8</v>
      </c>
      <c r="W26" s="1506">
        <f>J26</f>
        <v>100</v>
      </c>
      <c r="X26" s="1499"/>
      <c r="Y26" s="3662"/>
      <c r="Z26" s="1507" t="str">
        <f>Q26</f>
        <v>平面位置/可视性</v>
      </c>
      <c r="AA26" s="1508">
        <f t="shared" si="3"/>
        <v>1</v>
      </c>
      <c r="AB26" s="1508">
        <f t="shared" si="4"/>
        <v>1</v>
      </c>
      <c r="AC26" s="1508">
        <f t="shared" si="5"/>
        <v>1</v>
      </c>
    </row>
    <row r="27" spans="1:29" s="1200" customFormat="1" ht="15">
      <c r="A27" s="529"/>
      <c r="B27" s="859" t="s">
        <v>752</v>
      </c>
      <c r="C27" s="887"/>
      <c r="D27" s="863">
        <v>100</v>
      </c>
      <c r="E27" s="887"/>
      <c r="F27" s="864">
        <f>SUMIF(90:90,E27,91:91)-SUMIF(90:90,C27,91:91)+100</f>
        <v>100</v>
      </c>
      <c r="G27" s="887"/>
      <c r="H27" s="863">
        <f>SUMIF(90:90,G27,91:91)-SUMIF(90:90,C27,91:91)+100</f>
        <v>100</v>
      </c>
      <c r="I27" s="887"/>
      <c r="J27" s="863">
        <f>SUMIF(90:90,I27,91:91)-SUMIF(90:90,C27,91:91)+100</f>
        <v>100</v>
      </c>
      <c r="K27" s="577"/>
      <c r="L27" s="2014"/>
      <c r="M27" s="2015"/>
      <c r="N27" s="2015"/>
      <c r="O27" s="2016"/>
      <c r="P27" s="3662"/>
      <c r="Q27" s="1131" t="str">
        <f t="shared" si="11"/>
        <v>人流量</v>
      </c>
      <c r="R27" s="1500" t="s">
        <v>8</v>
      </c>
      <c r="S27" s="1501">
        <f>F27</f>
        <v>100</v>
      </c>
      <c r="T27" s="1500" t="s">
        <v>8</v>
      </c>
      <c r="U27" s="1501">
        <f>H27</f>
        <v>100</v>
      </c>
      <c r="V27" s="1500" t="s">
        <v>8</v>
      </c>
      <c r="W27" s="1501">
        <f>J27</f>
        <v>100</v>
      </c>
      <c r="X27" s="1502"/>
      <c r="Y27" s="3662"/>
      <c r="Z27" s="1130" t="str">
        <f>Q27</f>
        <v>人流量</v>
      </c>
      <c r="AA27" s="1508">
        <f>D27/F27</f>
        <v>1</v>
      </c>
      <c r="AB27" s="1508">
        <f>D27/H27</f>
        <v>1</v>
      </c>
      <c r="AC27" s="1508">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662"/>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62"/>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662"/>
      <c r="Q29" s="1504">
        <f t="shared" si="11"/>
        <v>111</v>
      </c>
      <c r="R29" s="1505" t="s">
        <v>8</v>
      </c>
      <c r="S29" s="1506">
        <f t="shared" si="12"/>
        <v>100</v>
      </c>
      <c r="T29" s="1505" t="s">
        <v>8</v>
      </c>
      <c r="U29" s="1506">
        <f t="shared" si="13"/>
        <v>100</v>
      </c>
      <c r="V29" s="1505" t="s">
        <v>8</v>
      </c>
      <c r="W29" s="1506">
        <f t="shared" si="14"/>
        <v>100</v>
      </c>
      <c r="X29" s="1499"/>
      <c r="Y29" s="3662"/>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662"/>
      <c r="Q30" s="1504">
        <f t="shared" si="11"/>
        <v>111</v>
      </c>
      <c r="R30" s="1505" t="s">
        <v>8</v>
      </c>
      <c r="S30" s="1506">
        <f t="shared" si="12"/>
        <v>100</v>
      </c>
      <c r="T30" s="1505" t="s">
        <v>8</v>
      </c>
      <c r="U30" s="1506">
        <f t="shared" si="13"/>
        <v>100</v>
      </c>
      <c r="V30" s="1505" t="s">
        <v>8</v>
      </c>
      <c r="W30" s="1506">
        <f t="shared" si="14"/>
        <v>100</v>
      </c>
      <c r="X30" s="1499"/>
      <c r="Y30" s="3662"/>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662"/>
      <c r="Q31" s="1504">
        <f t="shared" si="11"/>
        <v>111</v>
      </c>
      <c r="R31" s="1505" t="s">
        <v>8</v>
      </c>
      <c r="S31" s="1506">
        <f t="shared" si="12"/>
        <v>100</v>
      </c>
      <c r="T31" s="1505" t="s">
        <v>8</v>
      </c>
      <c r="U31" s="1506">
        <f t="shared" si="13"/>
        <v>100</v>
      </c>
      <c r="V31" s="1505" t="s">
        <v>8</v>
      </c>
      <c r="W31" s="1506">
        <f t="shared" si="14"/>
        <v>100</v>
      </c>
      <c r="X31" s="1499"/>
      <c r="Y31" s="3662"/>
      <c r="Z31" s="1507">
        <f t="shared" si="15"/>
        <v>111</v>
      </c>
      <c r="AA31" s="1508">
        <f t="shared" si="3"/>
        <v>1</v>
      </c>
      <c r="AB31" s="1508">
        <f t="shared" si="4"/>
        <v>1</v>
      </c>
      <c r="AC31" s="1508">
        <f t="shared" si="5"/>
        <v>1</v>
      </c>
    </row>
    <row r="32" spans="1:29" ht="15">
      <c r="A32" s="2621" t="s">
        <v>2732</v>
      </c>
      <c r="B32" s="169"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663" t="s">
        <v>544</v>
      </c>
      <c r="Q32" s="1504" t="str">
        <f t="shared" si="11"/>
        <v>商业类型</v>
      </c>
      <c r="R32" s="1505" t="s">
        <v>8</v>
      </c>
      <c r="S32" s="1506">
        <f t="shared" si="12"/>
        <v>100</v>
      </c>
      <c r="T32" s="1505" t="s">
        <v>8</v>
      </c>
      <c r="U32" s="1506">
        <f t="shared" si="13"/>
        <v>100</v>
      </c>
      <c r="V32" s="1505" t="s">
        <v>8</v>
      </c>
      <c r="W32" s="1506">
        <f t="shared" si="14"/>
        <v>100</v>
      </c>
      <c r="X32" s="1499"/>
      <c r="Y32" s="3664" t="s">
        <v>544</v>
      </c>
      <c r="Z32" s="1507" t="str">
        <f t="shared" si="15"/>
        <v>商业类型</v>
      </c>
      <c r="AA32" s="1508">
        <f t="shared" si="3"/>
        <v>1</v>
      </c>
      <c r="AB32" s="1508">
        <f t="shared" si="4"/>
        <v>1</v>
      </c>
      <c r="AC32" s="1508">
        <f t="shared" si="5"/>
        <v>1</v>
      </c>
    </row>
    <row r="33" spans="1:29" s="1290"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664"/>
      <c r="Q33" s="1533" t="str">
        <f t="shared" si="11"/>
        <v>项目建筑规模</v>
      </c>
      <c r="R33" s="1509" t="s">
        <v>8</v>
      </c>
      <c r="S33" s="1510" t="e">
        <f t="shared" si="12"/>
        <v>#N/A</v>
      </c>
      <c r="T33" s="1509" t="s">
        <v>8</v>
      </c>
      <c r="U33" s="1510" t="e">
        <f t="shared" si="13"/>
        <v>#N/A</v>
      </c>
      <c r="V33" s="1509" t="s">
        <v>8</v>
      </c>
      <c r="W33" s="1510" t="e">
        <f t="shared" si="14"/>
        <v>#N/A</v>
      </c>
      <c r="X33" s="1511"/>
      <c r="Y33" s="3664"/>
      <c r="Z33" s="1512" t="str">
        <f t="shared" si="15"/>
        <v>项目建筑规模</v>
      </c>
      <c r="AA33" s="1508" t="e">
        <f t="shared" si="3"/>
        <v>#N/A</v>
      </c>
      <c r="AB33" s="1508" t="e">
        <f t="shared" si="4"/>
        <v>#N/A</v>
      </c>
      <c r="AC33" s="1508"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664"/>
      <c r="Q34" s="1504" t="str">
        <f t="shared" si="11"/>
        <v>建筑结构</v>
      </c>
      <c r="R34" s="1505" t="s">
        <v>8</v>
      </c>
      <c r="S34" s="1506">
        <f t="shared" si="12"/>
        <v>100</v>
      </c>
      <c r="T34" s="1505" t="s">
        <v>8</v>
      </c>
      <c r="U34" s="1506">
        <f t="shared" si="13"/>
        <v>100</v>
      </c>
      <c r="V34" s="1505" t="s">
        <v>8</v>
      </c>
      <c r="W34" s="1506">
        <f t="shared" si="14"/>
        <v>100</v>
      </c>
      <c r="X34" s="1499"/>
      <c r="Y34" s="3664"/>
      <c r="Z34" s="1507" t="str">
        <f t="shared" si="15"/>
        <v>建筑结构</v>
      </c>
      <c r="AA34" s="1508">
        <f t="shared" si="3"/>
        <v>1</v>
      </c>
      <c r="AB34" s="1508">
        <f t="shared" si="4"/>
        <v>1</v>
      </c>
      <c r="AC34" s="1508">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664"/>
      <c r="Q35" s="1504" t="str">
        <f t="shared" si="11"/>
        <v>公共部分装修</v>
      </c>
      <c r="R35" s="1505" t="s">
        <v>8</v>
      </c>
      <c r="S35" s="1506">
        <f t="shared" si="12"/>
        <v>100</v>
      </c>
      <c r="T35" s="1505" t="s">
        <v>8</v>
      </c>
      <c r="U35" s="1506">
        <f t="shared" si="13"/>
        <v>100</v>
      </c>
      <c r="V35" s="1505" t="s">
        <v>8</v>
      </c>
      <c r="W35" s="1506">
        <f t="shared" si="14"/>
        <v>100</v>
      </c>
      <c r="X35" s="1499"/>
      <c r="Y35" s="3664"/>
      <c r="Z35" s="1507" t="str">
        <f t="shared" si="15"/>
        <v>公共部分装修</v>
      </c>
      <c r="AA35" s="1508">
        <f t="shared" si="3"/>
        <v>1</v>
      </c>
      <c r="AB35" s="1508">
        <f t="shared" si="4"/>
        <v>1</v>
      </c>
      <c r="AC35" s="1508">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664"/>
      <c r="Q36" s="1504" t="str">
        <f t="shared" si="11"/>
        <v>成新度</v>
      </c>
      <c r="R36" s="1505" t="s">
        <v>8</v>
      </c>
      <c r="S36" s="1506" t="e">
        <f t="shared" si="12"/>
        <v>#N/A</v>
      </c>
      <c r="T36" s="1505" t="s">
        <v>8</v>
      </c>
      <c r="U36" s="1506" t="e">
        <f t="shared" si="13"/>
        <v>#N/A</v>
      </c>
      <c r="V36" s="1505" t="s">
        <v>8</v>
      </c>
      <c r="W36" s="1506" t="e">
        <f t="shared" si="14"/>
        <v>#N/A</v>
      </c>
      <c r="X36" s="1499"/>
      <c r="Y36" s="3664"/>
      <c r="Z36" s="1507" t="str">
        <f t="shared" si="15"/>
        <v>成新度</v>
      </c>
      <c r="AA36" s="1508" t="e">
        <f t="shared" si="3"/>
        <v>#N/A</v>
      </c>
      <c r="AB36" s="1508" t="e">
        <f t="shared" si="4"/>
        <v>#N/A</v>
      </c>
      <c r="AC36" s="1508" t="e">
        <f t="shared" si="5"/>
        <v>#N/A</v>
      </c>
    </row>
    <row r="37" spans="1:29" s="1200" customFormat="1" ht="15">
      <c r="A37" s="593"/>
      <c r="B37" s="1806"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664"/>
      <c r="Q37" s="1131" t="str">
        <f t="shared" si="11"/>
        <v>市政基础设施</v>
      </c>
      <c r="R37" s="1500" t="s">
        <v>8</v>
      </c>
      <c r="S37" s="1501">
        <f t="shared" si="12"/>
        <v>100</v>
      </c>
      <c r="T37" s="1500" t="s">
        <v>8</v>
      </c>
      <c r="U37" s="1501">
        <f t="shared" si="13"/>
        <v>100</v>
      </c>
      <c r="V37" s="1500" t="s">
        <v>8</v>
      </c>
      <c r="W37" s="1501">
        <f t="shared" si="14"/>
        <v>100</v>
      </c>
      <c r="X37" s="1502"/>
      <c r="Y37" s="3664"/>
      <c r="Z37" s="1130" t="str">
        <f t="shared" si="15"/>
        <v>市政基础设施</v>
      </c>
      <c r="AA37" s="1503">
        <f t="shared" si="3"/>
        <v>1</v>
      </c>
      <c r="AB37" s="1503">
        <f t="shared" si="4"/>
        <v>1</v>
      </c>
      <c r="AC37" s="1503">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664" t="s">
        <v>759</v>
      </c>
      <c r="Q38" s="1504" t="str">
        <f t="shared" si="11"/>
        <v>业态</v>
      </c>
      <c r="R38" s="1505" t="s">
        <v>8</v>
      </c>
      <c r="S38" s="1506">
        <f t="shared" si="12"/>
        <v>100</v>
      </c>
      <c r="T38" s="1505" t="s">
        <v>8</v>
      </c>
      <c r="U38" s="1506">
        <f t="shared" si="13"/>
        <v>100</v>
      </c>
      <c r="V38" s="1505" t="s">
        <v>8</v>
      </c>
      <c r="W38" s="1506">
        <f t="shared" si="14"/>
        <v>100</v>
      </c>
      <c r="X38" s="1499"/>
      <c r="Y38" s="3664" t="s">
        <v>759</v>
      </c>
      <c r="Z38" s="1507" t="str">
        <f t="shared" si="15"/>
        <v>业态</v>
      </c>
      <c r="AA38" s="1508">
        <f t="shared" si="3"/>
        <v>1</v>
      </c>
      <c r="AB38" s="1508">
        <f t="shared" si="4"/>
        <v>1</v>
      </c>
      <c r="AC38" s="1508">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64"/>
      <c r="Q39" s="1504" t="str">
        <f t="shared" si="11"/>
        <v>层高</v>
      </c>
      <c r="R39" s="1505" t="s">
        <v>8</v>
      </c>
      <c r="S39" s="1506">
        <f t="shared" si="12"/>
        <v>100</v>
      </c>
      <c r="T39" s="1505" t="s">
        <v>8</v>
      </c>
      <c r="U39" s="1506">
        <f t="shared" si="13"/>
        <v>100</v>
      </c>
      <c r="V39" s="1505" t="s">
        <v>8</v>
      </c>
      <c r="W39" s="1506">
        <f t="shared" si="14"/>
        <v>100</v>
      </c>
      <c r="X39" s="1499"/>
      <c r="Y39" s="3664"/>
      <c r="Z39" s="1507" t="str">
        <f t="shared" si="15"/>
        <v>层高</v>
      </c>
      <c r="AA39" s="1508">
        <f t="shared" si="3"/>
        <v>1</v>
      </c>
      <c r="AB39" s="1508">
        <f t="shared" si="4"/>
        <v>1</v>
      </c>
      <c r="AC39" s="1508">
        <f t="shared" si="5"/>
        <v>1</v>
      </c>
    </row>
    <row r="40" spans="1:29" ht="15">
      <c r="A40" s="587"/>
      <c r="B40" s="520" t="s">
        <v>761</v>
      </c>
      <c r="C40" s="888"/>
      <c r="D40" s="533">
        <v>100</v>
      </c>
      <c r="E40" s="889"/>
      <c r="F40" s="568">
        <f>SUMIF(118:118,E40,119:119)-SUMIF(118:118,C40,119:119)+100</f>
        <v>100</v>
      </c>
      <c r="G40" s="889"/>
      <c r="H40" s="533">
        <f>SUMIF(118:118,G40,119:119)-SUMIF(118:118,C40,119:119)+100</f>
        <v>100</v>
      </c>
      <c r="I40" s="889"/>
      <c r="J40" s="533">
        <f>SUMIF(118:118,I40,119:119)-SUMIF(118:118,C40,119:119)+100</f>
        <v>100</v>
      </c>
      <c r="K40" s="574"/>
      <c r="L40" s="2021"/>
      <c r="M40" s="2013"/>
      <c r="N40" s="2013"/>
      <c r="O40" s="2020"/>
      <c r="P40" s="3664"/>
      <c r="Q40" s="1504" t="str">
        <f t="shared" si="11"/>
        <v>单套建筑面积</v>
      </c>
      <c r="R40" s="1505" t="s">
        <v>8</v>
      </c>
      <c r="S40" s="1506">
        <f t="shared" si="12"/>
        <v>100</v>
      </c>
      <c r="T40" s="1505" t="s">
        <v>8</v>
      </c>
      <c r="U40" s="1506">
        <f t="shared" si="13"/>
        <v>100</v>
      </c>
      <c r="V40" s="1505" t="s">
        <v>8</v>
      </c>
      <c r="W40" s="1506">
        <f t="shared" si="14"/>
        <v>100</v>
      </c>
      <c r="X40" s="1499"/>
      <c r="Y40" s="3664"/>
      <c r="Z40" s="1507" t="str">
        <f t="shared" si="15"/>
        <v>单套建筑面积</v>
      </c>
      <c r="AA40" s="1508">
        <f t="shared" si="3"/>
        <v>1</v>
      </c>
      <c r="AB40" s="1508">
        <f t="shared" si="4"/>
        <v>1</v>
      </c>
      <c r="AC40" s="1508">
        <f t="shared" si="5"/>
        <v>1</v>
      </c>
    </row>
    <row r="41" spans="1:29" s="1290" customFormat="1" ht="15">
      <c r="A41" s="596"/>
      <c r="B41" s="890"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664"/>
      <c r="Q41" s="1533" t="str">
        <f t="shared" si="11"/>
        <v>进深比</v>
      </c>
      <c r="R41" s="1509" t="s">
        <v>8</v>
      </c>
      <c r="S41" s="1510">
        <f t="shared" si="12"/>
        <v>100</v>
      </c>
      <c r="T41" s="1509" t="s">
        <v>8</v>
      </c>
      <c r="U41" s="1510">
        <f t="shared" si="13"/>
        <v>100</v>
      </c>
      <c r="V41" s="1509" t="s">
        <v>8</v>
      </c>
      <c r="W41" s="1510">
        <f t="shared" si="14"/>
        <v>100</v>
      </c>
      <c r="X41" s="1511"/>
      <c r="Y41" s="3664"/>
      <c r="Z41" s="1512" t="str">
        <f t="shared" si="15"/>
        <v>进深比</v>
      </c>
      <c r="AA41" s="1508">
        <f t="shared" si="3"/>
        <v>1</v>
      </c>
      <c r="AB41" s="1508">
        <f t="shared" si="4"/>
        <v>1</v>
      </c>
      <c r="AC41" s="1508">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664"/>
      <c r="Q42" s="1504" t="str">
        <f t="shared" si="11"/>
        <v>内部装修</v>
      </c>
      <c r="R42" s="1505" t="s">
        <v>8</v>
      </c>
      <c r="S42" s="1506">
        <f t="shared" si="12"/>
        <v>100</v>
      </c>
      <c r="T42" s="1505" t="s">
        <v>8</v>
      </c>
      <c r="U42" s="1506">
        <f t="shared" si="13"/>
        <v>100</v>
      </c>
      <c r="V42" s="1505" t="s">
        <v>8</v>
      </c>
      <c r="W42" s="1506">
        <f t="shared" si="14"/>
        <v>100</v>
      </c>
      <c r="X42" s="1499"/>
      <c r="Y42" s="3664"/>
      <c r="Z42" s="1507" t="str">
        <f t="shared" si="15"/>
        <v>内部装修</v>
      </c>
      <c r="AA42" s="1508">
        <f t="shared" si="3"/>
        <v>1</v>
      </c>
      <c r="AB42" s="1508">
        <f t="shared" si="4"/>
        <v>1</v>
      </c>
      <c r="AC42" s="1508">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664"/>
      <c r="Q43" s="1504" t="str">
        <f t="shared" si="11"/>
        <v>内部装修维护情况</v>
      </c>
      <c r="R43" s="1505" t="s">
        <v>8</v>
      </c>
      <c r="S43" s="1506">
        <f t="shared" si="12"/>
        <v>100</v>
      </c>
      <c r="T43" s="1505" t="s">
        <v>8</v>
      </c>
      <c r="U43" s="1506">
        <f t="shared" si="13"/>
        <v>100</v>
      </c>
      <c r="V43" s="1505" t="s">
        <v>8</v>
      </c>
      <c r="W43" s="1506">
        <f t="shared" si="14"/>
        <v>100</v>
      </c>
      <c r="X43" s="1499"/>
      <c r="Y43" s="3664"/>
      <c r="Z43" s="1507" t="str">
        <f t="shared" si="15"/>
        <v>内部装修维护情况</v>
      </c>
      <c r="AA43" s="1508">
        <f t="shared" si="3"/>
        <v>1</v>
      </c>
      <c r="AB43" s="1508">
        <f t="shared" si="4"/>
        <v>1</v>
      </c>
      <c r="AC43" s="1508">
        <f t="shared" si="5"/>
        <v>1</v>
      </c>
    </row>
    <row r="44" spans="1:29" s="1200"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664"/>
      <c r="Q44" s="1131">
        <f t="shared" si="11"/>
        <v>111</v>
      </c>
      <c r="R44" s="1500" t="s">
        <v>8</v>
      </c>
      <c r="S44" s="1501">
        <f t="shared" si="12"/>
        <v>100</v>
      </c>
      <c r="T44" s="1500" t="s">
        <v>8</v>
      </c>
      <c r="U44" s="1501">
        <f t="shared" si="13"/>
        <v>100</v>
      </c>
      <c r="V44" s="1500" t="s">
        <v>8</v>
      </c>
      <c r="W44" s="1501">
        <f t="shared" si="14"/>
        <v>100</v>
      </c>
      <c r="X44" s="1502"/>
      <c r="Y44" s="3664"/>
      <c r="Z44" s="1130">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664"/>
      <c r="Q45" s="1504">
        <f t="shared" si="11"/>
        <v>111</v>
      </c>
      <c r="R45" s="1505" t="s">
        <v>8</v>
      </c>
      <c r="S45" s="1506">
        <f t="shared" si="12"/>
        <v>100</v>
      </c>
      <c r="T45" s="1505" t="s">
        <v>8</v>
      </c>
      <c r="U45" s="1506">
        <f t="shared" si="13"/>
        <v>100</v>
      </c>
      <c r="V45" s="1505" t="s">
        <v>8</v>
      </c>
      <c r="W45" s="1506">
        <f t="shared" si="14"/>
        <v>100</v>
      </c>
      <c r="X45" s="1499"/>
      <c r="Y45" s="3664"/>
      <c r="Z45" s="1507">
        <f t="shared" si="15"/>
        <v>111</v>
      </c>
      <c r="AA45" s="1508">
        <f t="shared" si="3"/>
        <v>1</v>
      </c>
      <c r="AB45" s="1508">
        <f t="shared" si="4"/>
        <v>1</v>
      </c>
      <c r="AC45" s="1508">
        <f t="shared" si="5"/>
        <v>1</v>
      </c>
    </row>
    <row r="46" spans="1:29" ht="15.75" thickBot="1">
      <c r="A46" s="872"/>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667"/>
      <c r="Q46" s="1504">
        <f t="shared" si="11"/>
        <v>111</v>
      </c>
      <c r="R46" s="1505" t="s">
        <v>8</v>
      </c>
      <c r="S46" s="1506">
        <f t="shared" si="12"/>
        <v>100</v>
      </c>
      <c r="T46" s="1505" t="s">
        <v>8</v>
      </c>
      <c r="U46" s="1506">
        <f t="shared" si="13"/>
        <v>100</v>
      </c>
      <c r="V46" s="1505" t="s">
        <v>8</v>
      </c>
      <c r="W46" s="1506">
        <f t="shared" si="14"/>
        <v>100</v>
      </c>
      <c r="X46" s="1499"/>
      <c r="Y46" s="3667"/>
      <c r="Z46" s="1507">
        <f t="shared" si="15"/>
        <v>111</v>
      </c>
      <c r="AA46" s="1508">
        <f t="shared" si="3"/>
        <v>1</v>
      </c>
      <c r="AB46" s="1508">
        <f t="shared" si="4"/>
        <v>1</v>
      </c>
      <c r="AC46" s="1508">
        <f t="shared" si="5"/>
        <v>1</v>
      </c>
    </row>
    <row r="47" spans="1:29" ht="15">
      <c r="A47" s="600" t="s">
        <v>729</v>
      </c>
      <c r="B47" s="873"/>
      <c r="C47" s="2467" t="s">
        <v>1</v>
      </c>
      <c r="D47" s="2468"/>
      <c r="E47" s="2469"/>
      <c r="F47" s="2470"/>
      <c r="G47" s="2471"/>
      <c r="H47" s="2472"/>
      <c r="I47" s="2469"/>
      <c r="J47" s="2472"/>
      <c r="K47" s="1538"/>
      <c r="L47" s="2023"/>
      <c r="M47" s="2024"/>
      <c r="N47" s="2013"/>
      <c r="O47" s="2024"/>
      <c r="P47" s="3627" t="str">
        <f>A47</f>
        <v>成交单价（元/平方米）</v>
      </c>
      <c r="Q47" s="3627"/>
      <c r="R47" s="3666">
        <f>E47</f>
        <v>0</v>
      </c>
      <c r="S47" s="3666"/>
      <c r="T47" s="3666">
        <f>G47</f>
        <v>0</v>
      </c>
      <c r="U47" s="3666"/>
      <c r="V47" s="3666">
        <f>I47</f>
        <v>0</v>
      </c>
      <c r="W47" s="3666"/>
      <c r="X47" s="1494"/>
      <c r="Y47" s="1513"/>
      <c r="Z47" s="1494"/>
      <c r="AA47" s="1494"/>
      <c r="AB47" s="1494"/>
      <c r="AC47" s="1494"/>
    </row>
    <row r="48" spans="1:29" ht="15.75" thickBot="1">
      <c r="A48" s="608" t="s">
        <v>2737</v>
      </c>
      <c r="B48" s="874"/>
      <c r="C48" s="2473" t="e">
        <f>R49</f>
        <v>#DIV/0!</v>
      </c>
      <c r="D48" s="3009" t="s">
        <v>2949</v>
      </c>
      <c r="E48" s="2474" t="e">
        <f>R48</f>
        <v>#DIV/0!</v>
      </c>
      <c r="F48" s="3010"/>
      <c r="G48" s="2473" t="e">
        <f>T48</f>
        <v>#DIV/0!</v>
      </c>
      <c r="H48" s="3010"/>
      <c r="I48" s="2474" t="e">
        <f>V48</f>
        <v>#DIV/0!</v>
      </c>
      <c r="J48" s="3010"/>
      <c r="K48" s="3018">
        <f>F48+H48+J48</f>
        <v>0</v>
      </c>
      <c r="L48" s="2023"/>
      <c r="M48" s="2024"/>
      <c r="N48" s="2013"/>
      <c r="O48" s="2024"/>
      <c r="P48" s="3627" t="str">
        <f>A48</f>
        <v>比较价格（元/平方米）</v>
      </c>
      <c r="Q48" s="3627"/>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494"/>
      <c r="Y48" s="1494"/>
      <c r="Z48" s="1494"/>
      <c r="AA48" s="1494"/>
      <c r="AB48" s="1494"/>
      <c r="AC48" s="1494"/>
    </row>
    <row r="49" spans="1:29" ht="15.75" thickBot="1">
      <c r="A49" s="612" t="s">
        <v>2881</v>
      </c>
      <c r="B49" s="613"/>
      <c r="C49" s="2475" t="e">
        <f>R49</f>
        <v>#DIV/0!</v>
      </c>
      <c r="D49" s="2475"/>
      <c r="E49" s="2475"/>
      <c r="F49" s="2475"/>
      <c r="G49" s="2475"/>
      <c r="H49" s="2475"/>
      <c r="I49" s="2475"/>
      <c r="J49" s="2475"/>
      <c r="K49" s="1539"/>
      <c r="L49" s="2023"/>
      <c r="M49" s="2024"/>
      <c r="N49" s="2013"/>
      <c r="O49" s="2024"/>
      <c r="P49" s="3624" t="str">
        <f>A49</f>
        <v>估价对象XX用房的比较价格（楼面单价，元/平方米）</v>
      </c>
      <c r="Q49" s="3625"/>
      <c r="R49" s="3665" t="e">
        <f>IF(F1="售价",ROUND(IF(D48="简单平均",AVERAGE(R48:V48),R48*F48+T48*H48+V48*J48),0),ROUND(IF(D48="简单平均",AVERAGE(R48:V48),R48*F48+T48*H48+V48*J48),1))</f>
        <v>#DIV/0!</v>
      </c>
      <c r="S49" s="3665"/>
      <c r="T49" s="3665"/>
      <c r="U49" s="3665"/>
      <c r="V49" s="3665"/>
      <c r="W49" s="3665"/>
      <c r="X49" s="1494"/>
      <c r="Y49" s="1494"/>
      <c r="Z49" s="1494"/>
      <c r="AA49" s="1494"/>
      <c r="AB49" s="1494"/>
      <c r="AC49" s="1494"/>
    </row>
    <row r="50" spans="1:29">
      <c r="A50" s="3207"/>
      <c r="B50" s="3207"/>
      <c r="C50" s="3207"/>
      <c r="D50" s="3207"/>
      <c r="E50" s="3207"/>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6"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5"/>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664" t="s">
        <v>764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tr">
        <f>B26</f>
        <v>平面位置/可视性</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6"/>
      <c r="M92" s="877"/>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765</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9"/>
      <c r="B112" s="1807" t="s">
        <v>2535</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766</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768</v>
      </c>
      <c r="C118" s="895"/>
      <c r="D118" s="895"/>
      <c r="E118" s="895"/>
      <c r="F118" s="895"/>
      <c r="G118" s="895"/>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9"/>
      <c r="B120" s="664" t="s">
        <v>769</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770</v>
      </c>
      <c r="C1" s="497" t="s">
        <v>714</v>
      </c>
      <c r="D1" s="837"/>
      <c r="E1" s="499"/>
      <c r="F1" s="2521"/>
      <c r="G1" s="1529" t="s">
        <v>715</v>
      </c>
      <c r="H1" s="499"/>
      <c r="I1" s="499"/>
      <c r="J1" s="499"/>
      <c r="K1" s="500"/>
      <c r="L1" s="3203"/>
      <c r="M1" s="3204"/>
      <c r="N1" s="3204"/>
      <c r="O1" s="3204"/>
      <c r="P1" s="3267"/>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3267"/>
      <c r="Q2" s="2011"/>
      <c r="R2" s="2011"/>
      <c r="S2" s="2011"/>
      <c r="T2" s="2011"/>
      <c r="U2" s="2011"/>
      <c r="V2" s="2011"/>
      <c r="W2" s="2011"/>
      <c r="X2" s="2011"/>
      <c r="Y2" s="2011"/>
      <c r="Z2" s="2011"/>
      <c r="AA2" s="2011"/>
      <c r="AB2" s="2011"/>
      <c r="AC2" s="3205"/>
    </row>
    <row r="3" spans="1:29" s="1287"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67"/>
      <c r="Q3" s="2011"/>
      <c r="R3" s="2011"/>
      <c r="S3" s="2011"/>
      <c r="T3" s="2011"/>
      <c r="U3" s="2011"/>
      <c r="V3" s="2011"/>
      <c r="W3" s="2011"/>
      <c r="X3" s="2011"/>
      <c r="Y3" s="2011"/>
      <c r="Z3" s="2011"/>
      <c r="AA3" s="2011"/>
      <c r="AB3" s="2011"/>
      <c r="AC3" s="3205"/>
    </row>
    <row r="4" spans="1:29" ht="15">
      <c r="A4" s="505" t="s">
        <v>515</v>
      </c>
      <c r="B4" s="506"/>
      <c r="C4" s="3633" t="s">
        <v>516</v>
      </c>
      <c r="D4" s="3634"/>
      <c r="E4" s="3668" t="s">
        <v>517</v>
      </c>
      <c r="F4" s="3669"/>
      <c r="G4" s="3633" t="s">
        <v>518</v>
      </c>
      <c r="H4" s="3634"/>
      <c r="I4" s="3633" t="s">
        <v>519</v>
      </c>
      <c r="J4" s="3634"/>
      <c r="K4" s="507" t="s">
        <v>520</v>
      </c>
      <c r="L4" s="2012"/>
      <c r="M4" s="2013"/>
      <c r="N4" s="2013"/>
      <c r="O4" s="2013"/>
      <c r="P4" s="3754" t="s">
        <v>521</v>
      </c>
      <c r="Q4" s="3636"/>
      <c r="R4" s="3641" t="s">
        <v>517</v>
      </c>
      <c r="S4" s="3642"/>
      <c r="T4" s="3641" t="s">
        <v>518</v>
      </c>
      <c r="U4" s="3642"/>
      <c r="V4" s="3628" t="s">
        <v>519</v>
      </c>
      <c r="W4" s="3628"/>
      <c r="X4" s="1499"/>
      <c r="Y4" s="3641" t="s">
        <v>521</v>
      </c>
      <c r="Z4" s="3642"/>
      <c r="AA4" s="3630" t="s">
        <v>517</v>
      </c>
      <c r="AB4" s="3630" t="s">
        <v>518</v>
      </c>
      <c r="AC4" s="3630" t="s">
        <v>519</v>
      </c>
    </row>
    <row r="5" spans="1:29" ht="15">
      <c r="A5" s="508"/>
      <c r="B5" s="509"/>
      <c r="C5" s="3672" t="s">
        <v>2875</v>
      </c>
      <c r="D5" s="3673"/>
      <c r="E5" s="3676" t="s">
        <v>2876</v>
      </c>
      <c r="F5" s="3677"/>
      <c r="G5" s="3672" t="s">
        <v>2877</v>
      </c>
      <c r="H5" s="3673"/>
      <c r="I5" s="3672" t="s">
        <v>2878</v>
      </c>
      <c r="J5" s="3673"/>
      <c r="K5" s="507"/>
      <c r="L5" s="2012"/>
      <c r="M5" s="2013"/>
      <c r="N5" s="2013"/>
      <c r="O5" s="2013"/>
      <c r="P5" s="3755"/>
      <c r="Q5" s="3638"/>
      <c r="R5" s="3643"/>
      <c r="S5" s="3644"/>
      <c r="T5" s="3643"/>
      <c r="U5" s="3644"/>
      <c r="V5" s="3628"/>
      <c r="W5" s="3628"/>
      <c r="X5" s="1499"/>
      <c r="Y5" s="3643"/>
      <c r="Z5" s="3644"/>
      <c r="AA5" s="3631"/>
      <c r="AB5" s="3631"/>
      <c r="AC5" s="3631"/>
    </row>
    <row r="6" spans="1:29" ht="15.75" thickBot="1">
      <c r="A6" s="510"/>
      <c r="B6" s="511"/>
      <c r="C6" s="3670" t="s">
        <v>2879</v>
      </c>
      <c r="D6" s="3671"/>
      <c r="E6" s="3674" t="s">
        <v>2879</v>
      </c>
      <c r="F6" s="3675"/>
      <c r="G6" s="3670" t="s">
        <v>2879</v>
      </c>
      <c r="H6" s="3671"/>
      <c r="I6" s="3670" t="s">
        <v>2879</v>
      </c>
      <c r="J6" s="3671"/>
      <c r="K6" s="507" t="s">
        <v>522</v>
      </c>
      <c r="L6" s="2012"/>
      <c r="M6" s="2013"/>
      <c r="N6" s="2013"/>
      <c r="O6" s="2013"/>
      <c r="P6" s="3756"/>
      <c r="Q6" s="3640"/>
      <c r="R6" s="3643"/>
      <c r="S6" s="3644"/>
      <c r="T6" s="3645"/>
      <c r="U6" s="3646"/>
      <c r="V6" s="3628"/>
      <c r="W6" s="3628"/>
      <c r="X6" s="1499"/>
      <c r="Y6" s="3645"/>
      <c r="Z6" s="3646"/>
      <c r="AA6" s="3632"/>
      <c r="AB6" s="3632"/>
      <c r="AC6" s="3632"/>
    </row>
    <row r="7" spans="1:29" s="1200" customFormat="1" ht="15.75" thickBot="1">
      <c r="A7" s="2626"/>
      <c r="B7" s="2633" t="s">
        <v>523</v>
      </c>
      <c r="C7" s="512">
        <f>'数据-取费表'!B2</f>
        <v>44532</v>
      </c>
      <c r="D7" s="513">
        <v>100</v>
      </c>
      <c r="E7" s="514"/>
      <c r="F7" s="515">
        <f>SUMIF(59:59,YEAR(E7)&amp;"-"&amp;MONTH(E7),60:60)</f>
        <v>0</v>
      </c>
      <c r="G7" s="514"/>
      <c r="H7" s="513">
        <f>SUMIF(59:59,YEAR(G7)&amp;"-"&amp;MONTH(G7),60:60)</f>
        <v>0</v>
      </c>
      <c r="I7" s="514"/>
      <c r="J7" s="513">
        <f>SUMIF(59:59,YEAR(I7)&amp;"-"&amp;MONTH(I7),60:60)</f>
        <v>0</v>
      </c>
      <c r="K7" s="517"/>
      <c r="L7" s="2014"/>
      <c r="M7" s="2015"/>
      <c r="N7" s="2015"/>
      <c r="O7" s="2015"/>
      <c r="P7" s="3660" t="s">
        <v>524</v>
      </c>
      <c r="Q7" s="3660"/>
      <c r="R7" s="1500" t="s">
        <v>8</v>
      </c>
      <c r="S7" s="1501">
        <f t="shared" ref="S7:S15" si="0">F7</f>
        <v>0</v>
      </c>
      <c r="T7" s="1500" t="s">
        <v>8</v>
      </c>
      <c r="U7" s="1501">
        <f t="shared" ref="U7:U15" si="1">H7</f>
        <v>0</v>
      </c>
      <c r="V7" s="1500" t="s">
        <v>8</v>
      </c>
      <c r="W7" s="1501">
        <f t="shared" ref="W7:W15" si="2">J7</f>
        <v>0</v>
      </c>
      <c r="X7" s="1502"/>
      <c r="Y7" s="3658" t="s">
        <v>524</v>
      </c>
      <c r="Z7" s="3659"/>
      <c r="AA7" s="1503" t="e">
        <f>D7/F7</f>
        <v>#DIV/0!</v>
      </c>
      <c r="AB7" s="1503" t="e">
        <f>D7/H7</f>
        <v>#DIV/0!</v>
      </c>
      <c r="AC7" s="1503" t="e">
        <f>D7/J7</f>
        <v>#DIV/0!</v>
      </c>
    </row>
    <row r="8" spans="1:29" s="1200"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660" t="s">
        <v>527</v>
      </c>
      <c r="Q8" s="3659"/>
      <c r="R8" s="1500" t="s">
        <v>8</v>
      </c>
      <c r="S8" s="1501">
        <f t="shared" si="0"/>
        <v>0</v>
      </c>
      <c r="T8" s="1500" t="s">
        <v>8</v>
      </c>
      <c r="U8" s="1501">
        <f t="shared" si="1"/>
        <v>0</v>
      </c>
      <c r="V8" s="1500" t="s">
        <v>8</v>
      </c>
      <c r="W8" s="1501">
        <f t="shared" si="2"/>
        <v>0</v>
      </c>
      <c r="X8" s="1502"/>
      <c r="Y8" s="3658" t="s">
        <v>527</v>
      </c>
      <c r="Z8" s="3659"/>
      <c r="AA8" s="1503" t="e">
        <f t="shared" ref="AA8:AA47" si="3">D8/F8</f>
        <v>#DIV/0!</v>
      </c>
      <c r="AB8" s="1503" t="e">
        <f t="shared" ref="AB8:AB47" si="4">D8/H8</f>
        <v>#DIV/0!</v>
      </c>
      <c r="AC8" s="1503" t="e">
        <f t="shared" ref="AC8:AC47" si="5">D8/J8</f>
        <v>#DIV/0!</v>
      </c>
    </row>
    <row r="9" spans="1:29" s="1200" customFormat="1" ht="15">
      <c r="A9" s="2628"/>
      <c r="B9" s="2635" t="s">
        <v>2733</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627" t="s">
        <v>529</v>
      </c>
      <c r="Q9" s="1131" t="str">
        <f t="shared" ref="Q9:Q15" si="6">B9</f>
        <v>用途</v>
      </c>
      <c r="R9" s="1500" t="s">
        <v>8</v>
      </c>
      <c r="S9" s="1501">
        <f t="shared" si="0"/>
        <v>100</v>
      </c>
      <c r="T9" s="1500" t="s">
        <v>8</v>
      </c>
      <c r="U9" s="1501">
        <f t="shared" si="1"/>
        <v>100</v>
      </c>
      <c r="V9" s="1500" t="s">
        <v>8</v>
      </c>
      <c r="W9" s="1501">
        <f t="shared" si="2"/>
        <v>100</v>
      </c>
      <c r="X9" s="1502"/>
      <c r="Y9" s="3573"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627"/>
      <c r="Q11" s="1131" t="str">
        <f t="shared" si="6"/>
        <v>容积率</v>
      </c>
      <c r="R11" s="1500" t="s">
        <v>8</v>
      </c>
      <c r="S11" s="1501" t="e">
        <f t="shared" si="0"/>
        <v>#N/A</v>
      </c>
      <c r="T11" s="1500" t="s">
        <v>8</v>
      </c>
      <c r="U11" s="1501" t="e">
        <f t="shared" si="1"/>
        <v>#N/A</v>
      </c>
      <c r="V11" s="1500" t="s">
        <v>8</v>
      </c>
      <c r="W11" s="1501" t="e">
        <f t="shared" si="2"/>
        <v>#N/A</v>
      </c>
      <c r="X11" s="1502"/>
      <c r="Y11" s="3573"/>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21"/>
      <c r="F12" s="252">
        <f>SUMIF(71:71,E12,72:72)-SUMIF(71:71,C12,72:72)+100</f>
        <v>100</v>
      </c>
      <c r="G12" s="896"/>
      <c r="H12" s="252">
        <f>SUMIF(71:71,G12,72:72)-SUMIF(71:71,C12,72:72)+100</f>
        <v>100</v>
      </c>
      <c r="I12" s="521"/>
      <c r="J12" s="252">
        <f>SUMIF(71:71,I12,72:72)-SUMIF(71:71,C12,72:72)+100</f>
        <v>100</v>
      </c>
      <c r="K12" s="574"/>
      <c r="L12" s="2014"/>
      <c r="M12" s="2015"/>
      <c r="N12" s="2015"/>
      <c r="O12" s="2015"/>
      <c r="P12" s="3627"/>
      <c r="Q12" s="1131">
        <f t="shared" si="6"/>
        <v>111</v>
      </c>
      <c r="R12" s="1500" t="s">
        <v>8</v>
      </c>
      <c r="S12" s="1501">
        <f t="shared" si="0"/>
        <v>100</v>
      </c>
      <c r="T12" s="1500" t="s">
        <v>8</v>
      </c>
      <c r="U12" s="1501">
        <f t="shared" si="1"/>
        <v>100</v>
      </c>
      <c r="V12" s="1500" t="s">
        <v>8</v>
      </c>
      <c r="W12" s="1501">
        <f t="shared" si="2"/>
        <v>100</v>
      </c>
      <c r="X12" s="1502"/>
      <c r="Y12" s="3573"/>
      <c r="Z12" s="1130">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6"/>
      <c r="H13" s="533">
        <f>SUMIF(73:73,G13,74:74)-SUMIF(73:73,C13,74:74)+100</f>
        <v>100</v>
      </c>
      <c r="I13" s="521"/>
      <c r="J13" s="533">
        <f>SUMIF(73:73,I13,74:74)-SUMIF(73:73,C13,74:74)+100</f>
        <v>100</v>
      </c>
      <c r="K13" s="574"/>
      <c r="L13" s="2021"/>
      <c r="M13" s="2013"/>
      <c r="N13" s="2013"/>
      <c r="O13" s="2013"/>
      <c r="P13" s="3627"/>
      <c r="Q13" s="1131">
        <f t="shared" si="6"/>
        <v>111</v>
      </c>
      <c r="R13" s="1500" t="s">
        <v>8</v>
      </c>
      <c r="S13" s="1501">
        <f t="shared" si="0"/>
        <v>100</v>
      </c>
      <c r="T13" s="1500" t="s">
        <v>8</v>
      </c>
      <c r="U13" s="1501">
        <f t="shared" si="1"/>
        <v>100</v>
      </c>
      <c r="V13" s="1500" t="s">
        <v>8</v>
      </c>
      <c r="W13" s="1501">
        <f t="shared" si="2"/>
        <v>100</v>
      </c>
      <c r="X13" s="1502"/>
      <c r="Y13" s="3573"/>
      <c r="Z13" s="1130">
        <f t="shared" si="7"/>
        <v>111</v>
      </c>
      <c r="AA13" s="1503">
        <f t="shared" si="3"/>
        <v>1</v>
      </c>
      <c r="AB13" s="1503">
        <f t="shared" si="4"/>
        <v>1</v>
      </c>
      <c r="AC13" s="1503">
        <f t="shared" si="5"/>
        <v>1</v>
      </c>
    </row>
    <row r="14" spans="1:29" ht="15.75" thickBot="1">
      <c r="A14" s="2632"/>
      <c r="B14" s="2638">
        <v>111</v>
      </c>
      <c r="C14" s="538"/>
      <c r="D14" s="539">
        <v>100</v>
      </c>
      <c r="E14" s="897"/>
      <c r="F14" s="539">
        <f>SUMIF(75:75,E14,76:76)-SUMIF(75:75,C14,76:76)+100</f>
        <v>100</v>
      </c>
      <c r="G14" s="896"/>
      <c r="H14" s="539">
        <f>SUMIF(75:75,G14,76:76)-SUMIF(75:75,C14,76:76)+100</f>
        <v>100</v>
      </c>
      <c r="I14" s="521"/>
      <c r="J14" s="539">
        <f>SUMIF(75:75,I14,76:76)-SUMIF(75:75,C14,76:76)+100</f>
        <v>100</v>
      </c>
      <c r="K14" s="574"/>
      <c r="L14" s="2021"/>
      <c r="M14" s="2013"/>
      <c r="N14" s="2013"/>
      <c r="O14" s="2013"/>
      <c r="P14" s="3627"/>
      <c r="Q14" s="1131">
        <f t="shared" si="6"/>
        <v>111</v>
      </c>
      <c r="R14" s="1500" t="s">
        <v>8</v>
      </c>
      <c r="S14" s="1501">
        <f t="shared" si="0"/>
        <v>100</v>
      </c>
      <c r="T14" s="1500" t="s">
        <v>8</v>
      </c>
      <c r="U14" s="1501">
        <f t="shared" si="1"/>
        <v>100</v>
      </c>
      <c r="V14" s="1500" t="s">
        <v>8</v>
      </c>
      <c r="W14" s="1501">
        <f t="shared" si="2"/>
        <v>100</v>
      </c>
      <c r="X14" s="1502"/>
      <c r="Y14" s="3573"/>
      <c r="Z14" s="1130">
        <f t="shared" si="7"/>
        <v>111</v>
      </c>
      <c r="AA14" s="1503">
        <f t="shared" si="3"/>
        <v>1</v>
      </c>
      <c r="AB14" s="1503">
        <f t="shared" si="4"/>
        <v>1</v>
      </c>
      <c r="AC14" s="1503">
        <f t="shared" si="5"/>
        <v>1</v>
      </c>
    </row>
    <row r="15" spans="1:29" ht="15">
      <c r="A15" s="2624" t="s">
        <v>2731</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4"/>
      <c r="L15" s="2021"/>
      <c r="M15" s="2013"/>
      <c r="N15" s="2013"/>
      <c r="O15" s="2013"/>
      <c r="P15" s="3661" t="s">
        <v>534</v>
      </c>
      <c r="Q15" s="1504" t="str">
        <f t="shared" si="6"/>
        <v>办公集聚程度</v>
      </c>
      <c r="R15" s="1505" t="s">
        <v>8</v>
      </c>
      <c r="S15" s="1506">
        <f t="shared" si="0"/>
        <v>100</v>
      </c>
      <c r="T15" s="1505" t="s">
        <v>8</v>
      </c>
      <c r="U15" s="1506">
        <f t="shared" si="1"/>
        <v>100</v>
      </c>
      <c r="V15" s="1505" t="s">
        <v>8</v>
      </c>
      <c r="W15" s="1506">
        <f t="shared" si="2"/>
        <v>100</v>
      </c>
      <c r="X15" s="1499"/>
      <c r="Y15" s="3661"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5"/>
      <c r="L16" s="2021"/>
      <c r="M16" s="2013"/>
      <c r="N16" s="2013"/>
      <c r="O16" s="2013"/>
      <c r="P16" s="3662"/>
      <c r="Q16" s="1504"/>
      <c r="R16" s="1505"/>
      <c r="S16" s="1506"/>
      <c r="T16" s="1505"/>
      <c r="U16" s="1506"/>
      <c r="V16" s="1505"/>
      <c r="W16" s="1506"/>
      <c r="X16" s="1499"/>
      <c r="Y16" s="3662"/>
      <c r="Z16" s="1507"/>
      <c r="AA16" s="1508">
        <v>1</v>
      </c>
      <c r="AB16" s="1508">
        <v>1</v>
      </c>
      <c r="AC16" s="1508">
        <v>1</v>
      </c>
    </row>
    <row r="17" spans="1:29" ht="15">
      <c r="A17" s="525"/>
      <c r="B17" s="553" t="s">
        <v>296</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84"/>
      <c r="L17" s="2021"/>
      <c r="M17" s="2013"/>
      <c r="N17" s="2013"/>
      <c r="O17" s="2013"/>
      <c r="P17" s="3662"/>
      <c r="Q17" s="1504" t="str">
        <f>B17</f>
        <v>交通便捷度</v>
      </c>
      <c r="R17" s="1505" t="s">
        <v>8</v>
      </c>
      <c r="S17" s="1506">
        <f>F17</f>
        <v>100</v>
      </c>
      <c r="T17" s="1505" t="s">
        <v>8</v>
      </c>
      <c r="U17" s="1506">
        <f>H17</f>
        <v>100</v>
      </c>
      <c r="V17" s="1505" t="s">
        <v>8</v>
      </c>
      <c r="W17" s="1506">
        <f>J17</f>
        <v>100</v>
      </c>
      <c r="X17" s="1499"/>
      <c r="Y17" s="3662"/>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5"/>
      <c r="L18" s="2021"/>
      <c r="M18" s="2013"/>
      <c r="N18" s="2013"/>
      <c r="O18" s="2013"/>
      <c r="P18" s="3662"/>
      <c r="Q18" s="1504"/>
      <c r="R18" s="1505"/>
      <c r="S18" s="1506"/>
      <c r="T18" s="1505"/>
      <c r="U18" s="1506"/>
      <c r="V18" s="1505"/>
      <c r="W18" s="1506"/>
      <c r="X18" s="1499"/>
      <c r="Y18" s="3662"/>
      <c r="Z18" s="1507"/>
      <c r="AA18" s="1508">
        <v>1</v>
      </c>
      <c r="AB18" s="1508">
        <v>1</v>
      </c>
      <c r="AC18" s="1508">
        <v>1</v>
      </c>
    </row>
    <row r="19" spans="1:29" ht="15">
      <c r="A19" s="525"/>
      <c r="B19" s="2444"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4"/>
      <c r="L19" s="2021"/>
      <c r="M19" s="2013"/>
      <c r="N19" s="2013"/>
      <c r="O19" s="2013"/>
      <c r="P19" s="3662"/>
      <c r="Q19" s="1504" t="str">
        <f>B19</f>
        <v>公共配套设施</v>
      </c>
      <c r="R19" s="1505" t="s">
        <v>8</v>
      </c>
      <c r="S19" s="1506">
        <f>F19</f>
        <v>100</v>
      </c>
      <c r="T19" s="1505" t="s">
        <v>8</v>
      </c>
      <c r="U19" s="1506">
        <f>H19</f>
        <v>100</v>
      </c>
      <c r="V19" s="1505" t="s">
        <v>8</v>
      </c>
      <c r="W19" s="1506">
        <f>J19</f>
        <v>100</v>
      </c>
      <c r="X19" s="1499"/>
      <c r="Y19" s="3662"/>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5"/>
      <c r="L20" s="2021"/>
      <c r="M20" s="2013"/>
      <c r="N20" s="2013"/>
      <c r="O20" s="2013"/>
      <c r="P20" s="3662"/>
      <c r="Q20" s="1504"/>
      <c r="R20" s="1505"/>
      <c r="S20" s="1506"/>
      <c r="T20" s="1505"/>
      <c r="U20" s="1506"/>
      <c r="V20" s="1505"/>
      <c r="W20" s="1506"/>
      <c r="X20" s="1499"/>
      <c r="Y20" s="3662"/>
      <c r="Z20" s="1507"/>
      <c r="AA20" s="1508">
        <v>1</v>
      </c>
      <c r="AB20" s="1508">
        <v>1</v>
      </c>
      <c r="AC20" s="1508">
        <v>1</v>
      </c>
    </row>
    <row r="21" spans="1:29" ht="15">
      <c r="A21" s="525"/>
      <c r="B21" s="2432"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4"/>
      <c r="L21" s="2021"/>
      <c r="M21" s="2013"/>
      <c r="N21" s="2013"/>
      <c r="O21" s="2013"/>
      <c r="P21" s="3662"/>
      <c r="Q21" s="2426" t="str">
        <f>B21</f>
        <v>基础设施水平</v>
      </c>
      <c r="R21" s="1505" t="s">
        <v>8</v>
      </c>
      <c r="S21" s="1506">
        <f>F21</f>
        <v>100</v>
      </c>
      <c r="T21" s="1505" t="s">
        <v>8</v>
      </c>
      <c r="U21" s="1506">
        <f>H21</f>
        <v>100</v>
      </c>
      <c r="V21" s="1505" t="s">
        <v>8</v>
      </c>
      <c r="W21" s="1506">
        <f>J21</f>
        <v>100</v>
      </c>
      <c r="X21" s="2428"/>
      <c r="Y21" s="3662"/>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662"/>
      <c r="Q22" s="2426"/>
      <c r="R22" s="1505"/>
      <c r="S22" s="1506"/>
      <c r="T22" s="1505"/>
      <c r="U22" s="1506"/>
      <c r="V22" s="1505"/>
      <c r="W22" s="1506"/>
      <c r="X22" s="2428"/>
      <c r="Y22" s="3662"/>
      <c r="Z22" s="2427"/>
      <c r="AA22" s="1508">
        <v>1</v>
      </c>
      <c r="AB22" s="1508">
        <v>1</v>
      </c>
      <c r="AC22" s="1508">
        <v>1</v>
      </c>
    </row>
    <row r="23" spans="1:29" ht="15">
      <c r="A23" s="525"/>
      <c r="B23" s="553" t="s">
        <v>771</v>
      </c>
      <c r="C23" s="566" t="str">
        <f>估价对象房地状况!C9</f>
        <v>一般</v>
      </c>
      <c r="D23" s="552">
        <v>100</v>
      </c>
      <c r="E23" s="557"/>
      <c r="F23" s="552">
        <f>SUMIF(85:85,E24,86:86)-SUMIF(85:85,C24,86:86)+100</f>
        <v>100</v>
      </c>
      <c r="G23" s="555"/>
      <c r="H23" s="552">
        <f>SUMIF(85:85,G24,86:86)-SUMIF(85:85,C24,86:86)+100</f>
        <v>100</v>
      </c>
      <c r="I23" s="555"/>
      <c r="J23" s="552">
        <f>SUMIF(85:85,I24,86:86)-SUMIF(85:85,C24,86:86)+100</f>
        <v>100</v>
      </c>
      <c r="K23" s="884"/>
      <c r="L23" s="2021"/>
      <c r="M23" s="2013"/>
      <c r="N23" s="2013"/>
      <c r="O23" s="2013"/>
      <c r="P23" s="3662"/>
      <c r="Q23" s="1504" t="str">
        <f>B23</f>
        <v>环境质量</v>
      </c>
      <c r="R23" s="1505" t="s">
        <v>8</v>
      </c>
      <c r="S23" s="1506">
        <f>F23</f>
        <v>100</v>
      </c>
      <c r="T23" s="1505" t="s">
        <v>8</v>
      </c>
      <c r="U23" s="1506">
        <f>H23</f>
        <v>100</v>
      </c>
      <c r="V23" s="1505" t="s">
        <v>8</v>
      </c>
      <c r="W23" s="1506">
        <f>J23</f>
        <v>100</v>
      </c>
      <c r="X23" s="1499"/>
      <c r="Y23" s="3662"/>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5"/>
      <c r="L24" s="2021"/>
      <c r="M24" s="2013"/>
      <c r="N24" s="2013"/>
      <c r="O24" s="2013"/>
      <c r="P24" s="3662"/>
      <c r="Q24" s="1504"/>
      <c r="R24" s="1505"/>
      <c r="S24" s="1506"/>
      <c r="T24" s="1505"/>
      <c r="U24" s="1506"/>
      <c r="V24" s="1505"/>
      <c r="W24" s="1506"/>
      <c r="X24" s="1499"/>
      <c r="Y24" s="3662"/>
      <c r="Z24" s="1507"/>
      <c r="AA24" s="1508">
        <v>1</v>
      </c>
      <c r="AB24" s="1508">
        <v>1</v>
      </c>
      <c r="AC24" s="1508">
        <v>1</v>
      </c>
    </row>
    <row r="25" spans="1:29" ht="27">
      <c r="A25" s="508"/>
      <c r="B25" s="553" t="s">
        <v>542</v>
      </c>
      <c r="C25" s="898"/>
      <c r="D25" s="533">
        <v>100</v>
      </c>
      <c r="E25" s="532"/>
      <c r="F25" s="533">
        <f>SUMIF(87:87,E26,88:88)-SUMIF(87:87,C26,88:88)+100</f>
        <v>100</v>
      </c>
      <c r="G25" s="898"/>
      <c r="H25" s="533">
        <f>SUMIF(87:87,G26,88:88)-SUMIF(87:87,C26,88:88)+100</f>
        <v>100</v>
      </c>
      <c r="I25" s="532"/>
      <c r="J25" s="533">
        <f>SUMIF(87:87,I26,88:88)-SUMIF(87:87,C26,88:88)+100</f>
        <v>100</v>
      </c>
      <c r="K25" s="884"/>
      <c r="L25" s="2021"/>
      <c r="M25" s="2013"/>
      <c r="N25" s="2013"/>
      <c r="O25" s="2013"/>
      <c r="P25" s="3662"/>
      <c r="Q25" s="1504" t="str">
        <f>B25</f>
        <v>毗邻道路的类型与等级</v>
      </c>
      <c r="R25" s="1505" t="s">
        <v>8</v>
      </c>
      <c r="S25" s="1506">
        <f>F25</f>
        <v>100</v>
      </c>
      <c r="T25" s="1505" t="s">
        <v>8</v>
      </c>
      <c r="U25" s="1506">
        <f>H25</f>
        <v>100</v>
      </c>
      <c r="V25" s="1505" t="s">
        <v>8</v>
      </c>
      <c r="W25" s="1506">
        <f>J25</f>
        <v>100</v>
      </c>
      <c r="X25" s="1499"/>
      <c r="Y25" s="3662"/>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5"/>
      <c r="L26" s="2021"/>
      <c r="M26" s="2013"/>
      <c r="N26" s="2013"/>
      <c r="O26" s="2013"/>
      <c r="P26" s="3662"/>
      <c r="Q26" s="1504"/>
      <c r="R26" s="1505"/>
      <c r="S26" s="1506"/>
      <c r="T26" s="1505"/>
      <c r="U26" s="1506"/>
      <c r="V26" s="1505"/>
      <c r="W26" s="1506"/>
      <c r="X26" s="1499"/>
      <c r="Y26" s="3662"/>
      <c r="Z26" s="1507"/>
      <c r="AA26" s="1508">
        <v>1</v>
      </c>
      <c r="AB26" s="1508">
        <v>1</v>
      </c>
      <c r="AC26" s="1508">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662"/>
      <c r="Q27" s="1504" t="str">
        <f t="shared" ref="Q27:Q47" si="11">B27</f>
        <v>楼层</v>
      </c>
      <c r="R27" s="1505" t="s">
        <v>8</v>
      </c>
      <c r="S27" s="1506">
        <f>F27</f>
        <v>100</v>
      </c>
      <c r="T27" s="1505" t="s">
        <v>8</v>
      </c>
      <c r="U27" s="1506">
        <f>H27</f>
        <v>100</v>
      </c>
      <c r="V27" s="1505" t="s">
        <v>8</v>
      </c>
      <c r="W27" s="1506">
        <f>J27</f>
        <v>100</v>
      </c>
      <c r="X27" s="1499"/>
      <c r="Y27" s="3662"/>
      <c r="Z27" s="1507" t="str">
        <f>Q27</f>
        <v>楼层</v>
      </c>
      <c r="AA27" s="1508">
        <f t="shared" si="3"/>
        <v>1</v>
      </c>
      <c r="AB27" s="1508">
        <f t="shared" si="4"/>
        <v>1</v>
      </c>
      <c r="AC27" s="1508">
        <f t="shared" si="5"/>
        <v>1</v>
      </c>
    </row>
    <row r="28" spans="1:29" s="1200" customFormat="1" ht="15">
      <c r="A28" s="529"/>
      <c r="B28" s="553" t="s">
        <v>772</v>
      </c>
      <c r="C28" s="899"/>
      <c r="D28" s="863">
        <v>100</v>
      </c>
      <c r="E28" s="887"/>
      <c r="F28" s="863">
        <f>SUMIF(91:91,E28,92:92)-SUMIF(91:91,C28,92:92)+100</f>
        <v>100</v>
      </c>
      <c r="G28" s="899"/>
      <c r="H28" s="863">
        <f>SUMIF(91:91,G28,92:92)-SUMIF(91:91,C28,92:92)+100</f>
        <v>100</v>
      </c>
      <c r="I28" s="887"/>
      <c r="J28" s="863">
        <f>SUMIF(91:91,I28,92:92)-SUMIF(91:91,C28,92:92)+100</f>
        <v>100</v>
      </c>
      <c r="K28" s="577"/>
      <c r="L28" s="2014"/>
      <c r="M28" s="2015"/>
      <c r="N28" s="2015"/>
      <c r="O28" s="2015"/>
      <c r="P28" s="3662"/>
      <c r="Q28" s="1131" t="str">
        <f t="shared" si="11"/>
        <v>朝向</v>
      </c>
      <c r="R28" s="1500" t="s">
        <v>8</v>
      </c>
      <c r="S28" s="1501">
        <f>F28</f>
        <v>100</v>
      </c>
      <c r="T28" s="1500" t="s">
        <v>8</v>
      </c>
      <c r="U28" s="1501">
        <f>H28</f>
        <v>100</v>
      </c>
      <c r="V28" s="1500" t="s">
        <v>8</v>
      </c>
      <c r="W28" s="1501">
        <f>J28</f>
        <v>100</v>
      </c>
      <c r="X28" s="1502"/>
      <c r="Y28" s="3662"/>
      <c r="Z28" s="1130" t="str">
        <f>Q28</f>
        <v>朝向</v>
      </c>
      <c r="AA28" s="1508">
        <f>D28/F28</f>
        <v>1</v>
      </c>
      <c r="AB28" s="1508">
        <f>D28/H28</f>
        <v>1</v>
      </c>
      <c r="AC28" s="1508">
        <f>D28/J28</f>
        <v>1</v>
      </c>
    </row>
    <row r="29" spans="1:29" ht="15">
      <c r="A29" s="525"/>
      <c r="B29" s="578">
        <v>111</v>
      </c>
      <c r="C29" s="898"/>
      <c r="D29" s="533">
        <v>100</v>
      </c>
      <c r="E29" s="521"/>
      <c r="F29" s="533">
        <f>SUMIF(93:93,E29,94:94)-SUMIF(93:93,C29,94:94)+100</f>
        <v>100</v>
      </c>
      <c r="G29" s="896"/>
      <c r="H29" s="533">
        <f>SUMIF(93:93,G29,94:94)-SUMIF(93:93,C29,94:94)+100</f>
        <v>100</v>
      </c>
      <c r="I29" s="521"/>
      <c r="J29" s="533">
        <f>SUMIF(93:93,I29,94:94)-SUMIF(93:93,C29,94:94)+100</f>
        <v>100</v>
      </c>
      <c r="K29" s="574"/>
      <c r="L29" s="2021"/>
      <c r="M29" s="2013"/>
      <c r="N29" s="2013"/>
      <c r="O29" s="2013"/>
      <c r="P29" s="3662"/>
      <c r="Q29" s="1504">
        <f t="shared" si="11"/>
        <v>111</v>
      </c>
      <c r="R29" s="1505" t="s">
        <v>8</v>
      </c>
      <c r="S29" s="1506">
        <f t="shared" ref="S29:S47" si="12">F29</f>
        <v>100</v>
      </c>
      <c r="T29" s="1505" t="s">
        <v>8</v>
      </c>
      <c r="U29" s="1506">
        <f t="shared" ref="U29:U47" si="13">H29</f>
        <v>100</v>
      </c>
      <c r="V29" s="1505" t="s">
        <v>8</v>
      </c>
      <c r="W29" s="1506">
        <f t="shared" ref="W29:W47" si="14">J29</f>
        <v>100</v>
      </c>
      <c r="X29" s="1499"/>
      <c r="Y29" s="3662"/>
      <c r="Z29" s="1507">
        <f t="shared" ref="Z29:Z47" si="15">Q29</f>
        <v>111</v>
      </c>
      <c r="AA29" s="1508">
        <f t="shared" si="3"/>
        <v>1</v>
      </c>
      <c r="AB29" s="1508">
        <f t="shared" si="4"/>
        <v>1</v>
      </c>
      <c r="AC29" s="1508">
        <f t="shared" si="5"/>
        <v>1</v>
      </c>
    </row>
    <row r="30" spans="1:29" ht="15">
      <c r="A30" s="525"/>
      <c r="B30" s="578">
        <v>111</v>
      </c>
      <c r="C30" s="898"/>
      <c r="D30" s="533">
        <v>100</v>
      </c>
      <c r="E30" s="521"/>
      <c r="F30" s="533">
        <f>SUMIF(95:95,E30,96:96)-SUMIF(95:95,C30,96:96)+100</f>
        <v>100</v>
      </c>
      <c r="G30" s="896"/>
      <c r="H30" s="533">
        <f>SUMIF(95:95,G30,96:96)-SUMIF(95:95,C30,96:96)+100</f>
        <v>100</v>
      </c>
      <c r="I30" s="521"/>
      <c r="J30" s="533">
        <f>SUMIF(95:95,I30,96:96)-SUMIF(95:95,C30,96:96)+100</f>
        <v>100</v>
      </c>
      <c r="K30" s="574"/>
      <c r="L30" s="2021"/>
      <c r="M30" s="2013"/>
      <c r="N30" s="2013"/>
      <c r="O30" s="2013"/>
      <c r="P30" s="3662"/>
      <c r="Q30" s="1504">
        <f t="shared" si="11"/>
        <v>111</v>
      </c>
      <c r="R30" s="1505" t="s">
        <v>8</v>
      </c>
      <c r="S30" s="1506">
        <f t="shared" si="12"/>
        <v>100</v>
      </c>
      <c r="T30" s="1505" t="s">
        <v>8</v>
      </c>
      <c r="U30" s="1506">
        <f t="shared" si="13"/>
        <v>100</v>
      </c>
      <c r="V30" s="1505" t="s">
        <v>8</v>
      </c>
      <c r="W30" s="1506">
        <f t="shared" si="14"/>
        <v>100</v>
      </c>
      <c r="X30" s="1499"/>
      <c r="Y30" s="3662"/>
      <c r="Z30" s="1507">
        <f t="shared" si="15"/>
        <v>111</v>
      </c>
      <c r="AA30" s="1508">
        <f t="shared" si="3"/>
        <v>1</v>
      </c>
      <c r="AB30" s="1508">
        <f t="shared" si="4"/>
        <v>1</v>
      </c>
      <c r="AC30" s="1508">
        <f t="shared" si="5"/>
        <v>1</v>
      </c>
    </row>
    <row r="31" spans="1:29" ht="15">
      <c r="A31" s="525"/>
      <c r="B31" s="578">
        <v>111</v>
      </c>
      <c r="C31" s="898"/>
      <c r="D31" s="533">
        <v>100</v>
      </c>
      <c r="E31" s="521"/>
      <c r="F31" s="533">
        <f>SUMIF(97:97,E31,98:98)-SUMIF(97:97,C31,98:98)+100</f>
        <v>100</v>
      </c>
      <c r="G31" s="896"/>
      <c r="H31" s="533">
        <f>SUMIF(97:97,G31,98:98)-SUMIF(97:97,C31,98:98)+100</f>
        <v>100</v>
      </c>
      <c r="I31" s="521"/>
      <c r="J31" s="533">
        <f>SUMIF(97:97,I31,98:98)-SUMIF(97:97,C31,98:98)+100</f>
        <v>100</v>
      </c>
      <c r="K31" s="574"/>
      <c r="L31" s="2021"/>
      <c r="M31" s="2013"/>
      <c r="N31" s="2013"/>
      <c r="O31" s="2013"/>
      <c r="P31" s="3662"/>
      <c r="Q31" s="1504">
        <f t="shared" si="11"/>
        <v>111</v>
      </c>
      <c r="R31" s="1505" t="s">
        <v>8</v>
      </c>
      <c r="S31" s="1506">
        <f t="shared" si="12"/>
        <v>100</v>
      </c>
      <c r="T31" s="1505" t="s">
        <v>8</v>
      </c>
      <c r="U31" s="1506">
        <f t="shared" si="13"/>
        <v>100</v>
      </c>
      <c r="V31" s="1505" t="s">
        <v>8</v>
      </c>
      <c r="W31" s="1506">
        <f t="shared" si="14"/>
        <v>100</v>
      </c>
      <c r="X31" s="1499"/>
      <c r="Y31" s="3662"/>
      <c r="Z31" s="1507">
        <f t="shared" si="15"/>
        <v>111</v>
      </c>
      <c r="AA31" s="1508">
        <f t="shared" si="3"/>
        <v>1</v>
      </c>
      <c r="AB31" s="1508">
        <f t="shared" si="4"/>
        <v>1</v>
      </c>
      <c r="AC31" s="1508">
        <f t="shared" si="5"/>
        <v>1</v>
      </c>
    </row>
    <row r="32" spans="1:29" ht="15.75" thickBot="1">
      <c r="A32" s="536"/>
      <c r="B32" s="900">
        <v>111</v>
      </c>
      <c r="C32" s="901"/>
      <c r="D32" s="539">
        <v>100</v>
      </c>
      <c r="E32" s="897"/>
      <c r="F32" s="539">
        <f>SUMIF(99:99,E32,100:100)-SUMIF(99:99,C32,100:100)+100</f>
        <v>100</v>
      </c>
      <c r="G32" s="896"/>
      <c r="H32" s="539">
        <f>SUMIF(99:99,G32,100:100)-SUMIF(99:99,C32,100:100)+100</f>
        <v>100</v>
      </c>
      <c r="I32" s="521"/>
      <c r="J32" s="539">
        <f>SUMIF(99:99,I32,100:100)-SUMIF(99:99,C32,100:100)+100</f>
        <v>100</v>
      </c>
      <c r="K32" s="574"/>
      <c r="L32" s="2021"/>
      <c r="M32" s="2013"/>
      <c r="N32" s="2013"/>
      <c r="O32" s="2013"/>
      <c r="P32" s="3662"/>
      <c r="Q32" s="1504">
        <f t="shared" si="11"/>
        <v>111</v>
      </c>
      <c r="R32" s="1505" t="s">
        <v>8</v>
      </c>
      <c r="S32" s="1506">
        <f t="shared" si="12"/>
        <v>100</v>
      </c>
      <c r="T32" s="1505" t="s">
        <v>8</v>
      </c>
      <c r="U32" s="1506">
        <f t="shared" si="13"/>
        <v>100</v>
      </c>
      <c r="V32" s="1505" t="s">
        <v>8</v>
      </c>
      <c r="W32" s="1506">
        <f t="shared" si="14"/>
        <v>100</v>
      </c>
      <c r="X32" s="1499"/>
      <c r="Y32" s="3662"/>
      <c r="Z32" s="1507">
        <f t="shared" si="15"/>
        <v>111</v>
      </c>
      <c r="AA32" s="1508">
        <f t="shared" si="3"/>
        <v>1</v>
      </c>
      <c r="AB32" s="1508">
        <f t="shared" si="4"/>
        <v>1</v>
      </c>
      <c r="AC32" s="1508">
        <f t="shared" si="5"/>
        <v>1</v>
      </c>
    </row>
    <row r="33" spans="1:29" ht="15">
      <c r="A33" s="2621" t="s">
        <v>2732</v>
      </c>
      <c r="B33" s="169" t="s">
        <v>773</v>
      </c>
      <c r="C33" s="902"/>
      <c r="D33" s="590">
        <v>100</v>
      </c>
      <c r="E33" s="902"/>
      <c r="F33" s="568">
        <f>SUMIF(101:101,E33,102:102)-SUMIF(101:101,C33,102:102)+100</f>
        <v>100</v>
      </c>
      <c r="G33" s="902"/>
      <c r="H33" s="533">
        <f>SUMIF(101:101,G33,102:102)-SUMIF(101:101,C33,102:102)+100</f>
        <v>100</v>
      </c>
      <c r="I33" s="902"/>
      <c r="J33" s="590">
        <f>SUMIF(101:101,I33,102:102)-SUMIF(101:101,C33,102:102)+100</f>
        <v>100</v>
      </c>
      <c r="K33" s="577"/>
      <c r="L33" s="2021"/>
      <c r="M33" s="2013"/>
      <c r="N33" s="2013"/>
      <c r="O33" s="2013"/>
      <c r="P33" s="3663" t="s">
        <v>544</v>
      </c>
      <c r="Q33" s="1504" t="str">
        <f t="shared" si="11"/>
        <v>建筑类型</v>
      </c>
      <c r="R33" s="1505" t="s">
        <v>8</v>
      </c>
      <c r="S33" s="1506">
        <f t="shared" si="12"/>
        <v>100</v>
      </c>
      <c r="T33" s="1505" t="s">
        <v>8</v>
      </c>
      <c r="U33" s="1506">
        <f t="shared" si="13"/>
        <v>100</v>
      </c>
      <c r="V33" s="1505" t="s">
        <v>8</v>
      </c>
      <c r="W33" s="1506">
        <f t="shared" si="14"/>
        <v>100</v>
      </c>
      <c r="X33" s="1499"/>
      <c r="Y33" s="3664" t="s">
        <v>544</v>
      </c>
      <c r="Z33" s="1507" t="str">
        <f t="shared" si="15"/>
        <v>建筑类型</v>
      </c>
      <c r="AA33" s="1508">
        <f t="shared" si="3"/>
        <v>1</v>
      </c>
      <c r="AB33" s="1508">
        <f t="shared" si="4"/>
        <v>1</v>
      </c>
      <c r="AC33" s="1508">
        <f t="shared" si="5"/>
        <v>1</v>
      </c>
    </row>
    <row r="34" spans="1:29" s="1290"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664"/>
      <c r="Q34" s="1533" t="str">
        <f t="shared" si="11"/>
        <v>项目建筑规模</v>
      </c>
      <c r="R34" s="1509" t="s">
        <v>8</v>
      </c>
      <c r="S34" s="1510" t="e">
        <f t="shared" si="12"/>
        <v>#N/A</v>
      </c>
      <c r="T34" s="1509" t="s">
        <v>8</v>
      </c>
      <c r="U34" s="1510" t="e">
        <f t="shared" si="13"/>
        <v>#N/A</v>
      </c>
      <c r="V34" s="1509" t="s">
        <v>8</v>
      </c>
      <c r="W34" s="1510" t="e">
        <f t="shared" si="14"/>
        <v>#N/A</v>
      </c>
      <c r="X34" s="1511"/>
      <c r="Y34" s="3664"/>
      <c r="Z34" s="1512" t="str">
        <f t="shared" si="15"/>
        <v>项目建筑规模</v>
      </c>
      <c r="AA34" s="1508" t="e">
        <f t="shared" si="3"/>
        <v>#N/A</v>
      </c>
      <c r="AB34" s="1508" t="e">
        <f t="shared" si="4"/>
        <v>#N/A</v>
      </c>
      <c r="AC34" s="1508"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664"/>
      <c r="Q35" s="1504" t="str">
        <f t="shared" si="11"/>
        <v>建筑结构</v>
      </c>
      <c r="R35" s="1505" t="s">
        <v>8</v>
      </c>
      <c r="S35" s="1506">
        <f t="shared" si="12"/>
        <v>100</v>
      </c>
      <c r="T35" s="1505" t="s">
        <v>8</v>
      </c>
      <c r="U35" s="1506">
        <f t="shared" si="13"/>
        <v>100</v>
      </c>
      <c r="V35" s="1505" t="s">
        <v>8</v>
      </c>
      <c r="W35" s="1506">
        <f t="shared" si="14"/>
        <v>100</v>
      </c>
      <c r="X35" s="1499"/>
      <c r="Y35" s="3664"/>
      <c r="Z35" s="1507" t="str">
        <f t="shared" si="15"/>
        <v>建筑结构</v>
      </c>
      <c r="AA35" s="1508">
        <f t="shared" si="3"/>
        <v>1</v>
      </c>
      <c r="AB35" s="1508">
        <f t="shared" si="4"/>
        <v>1</v>
      </c>
      <c r="AC35" s="1508">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664"/>
      <c r="Q36" s="1504" t="str">
        <f t="shared" si="11"/>
        <v>公共部分装修</v>
      </c>
      <c r="R36" s="1505" t="s">
        <v>8</v>
      </c>
      <c r="S36" s="1506">
        <f t="shared" si="12"/>
        <v>100</v>
      </c>
      <c r="T36" s="1505" t="s">
        <v>8</v>
      </c>
      <c r="U36" s="1506">
        <f t="shared" si="13"/>
        <v>100</v>
      </c>
      <c r="V36" s="1505" t="s">
        <v>8</v>
      </c>
      <c r="W36" s="1506">
        <f t="shared" si="14"/>
        <v>100</v>
      </c>
      <c r="X36" s="1499"/>
      <c r="Y36" s="3664"/>
      <c r="Z36" s="1507" t="str">
        <f t="shared" si="15"/>
        <v>公共部分装修</v>
      </c>
      <c r="AA36" s="1508">
        <f t="shared" si="3"/>
        <v>1</v>
      </c>
      <c r="AB36" s="1508">
        <f t="shared" si="4"/>
        <v>1</v>
      </c>
      <c r="AC36" s="1508">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664"/>
      <c r="Q37" s="1504" t="str">
        <f t="shared" si="11"/>
        <v>成新度</v>
      </c>
      <c r="R37" s="1505" t="s">
        <v>8</v>
      </c>
      <c r="S37" s="1506" t="e">
        <f t="shared" si="12"/>
        <v>#N/A</v>
      </c>
      <c r="T37" s="1505" t="s">
        <v>8</v>
      </c>
      <c r="U37" s="1506" t="e">
        <f t="shared" si="13"/>
        <v>#N/A</v>
      </c>
      <c r="V37" s="1505" t="s">
        <v>8</v>
      </c>
      <c r="W37" s="1506" t="e">
        <f t="shared" si="14"/>
        <v>#N/A</v>
      </c>
      <c r="X37" s="1499"/>
      <c r="Y37" s="3664"/>
      <c r="Z37" s="1507" t="str">
        <f t="shared" si="15"/>
        <v>成新度</v>
      </c>
      <c r="AA37" s="1508" t="e">
        <f t="shared" si="3"/>
        <v>#N/A</v>
      </c>
      <c r="AB37" s="1508" t="e">
        <f t="shared" si="4"/>
        <v>#N/A</v>
      </c>
      <c r="AC37" s="1508" t="e">
        <f t="shared" si="5"/>
        <v>#N/A</v>
      </c>
    </row>
    <row r="38" spans="1:29" s="1200"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664"/>
      <c r="Q38" s="1131" t="str">
        <f t="shared" si="11"/>
        <v>写字楼等级</v>
      </c>
      <c r="R38" s="1500" t="s">
        <v>8</v>
      </c>
      <c r="S38" s="1501">
        <f t="shared" si="12"/>
        <v>100</v>
      </c>
      <c r="T38" s="1500" t="s">
        <v>8</v>
      </c>
      <c r="U38" s="1501">
        <f t="shared" si="13"/>
        <v>100</v>
      </c>
      <c r="V38" s="1500" t="s">
        <v>8</v>
      </c>
      <c r="W38" s="1501">
        <f t="shared" si="14"/>
        <v>100</v>
      </c>
      <c r="X38" s="1502"/>
      <c r="Y38" s="3664"/>
      <c r="Z38" s="1130" t="str">
        <f t="shared" si="15"/>
        <v>写字楼等级</v>
      </c>
      <c r="AA38" s="1503">
        <f t="shared" si="3"/>
        <v>1</v>
      </c>
      <c r="AB38" s="1503">
        <f t="shared" si="4"/>
        <v>1</v>
      </c>
      <c r="AC38" s="1503">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664" t="s">
        <v>544</v>
      </c>
      <c r="Q39" s="1504" t="str">
        <f t="shared" si="11"/>
        <v>物业管理</v>
      </c>
      <c r="R39" s="1505" t="s">
        <v>8</v>
      </c>
      <c r="S39" s="1506">
        <f t="shared" si="12"/>
        <v>100</v>
      </c>
      <c r="T39" s="1505" t="s">
        <v>8</v>
      </c>
      <c r="U39" s="1506">
        <f t="shared" si="13"/>
        <v>100</v>
      </c>
      <c r="V39" s="1505" t="s">
        <v>8</v>
      </c>
      <c r="W39" s="1506">
        <f t="shared" si="14"/>
        <v>100</v>
      </c>
      <c r="X39" s="1499"/>
      <c r="Y39" s="3664" t="s">
        <v>544</v>
      </c>
      <c r="Z39" s="1507" t="str">
        <f t="shared" si="15"/>
        <v>物业管理</v>
      </c>
      <c r="AA39" s="1508">
        <f t="shared" si="3"/>
        <v>1</v>
      </c>
      <c r="AB39" s="1508">
        <f t="shared" si="4"/>
        <v>1</v>
      </c>
      <c r="AC39" s="1508">
        <f t="shared" si="5"/>
        <v>1</v>
      </c>
    </row>
    <row r="40" spans="1:29" ht="15">
      <c r="A40" s="587"/>
      <c r="B40" s="1806"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664"/>
      <c r="Q40" s="1504" t="str">
        <f t="shared" si="11"/>
        <v>市政基础设施</v>
      </c>
      <c r="R40" s="1505" t="s">
        <v>8</v>
      </c>
      <c r="S40" s="1506">
        <f t="shared" si="12"/>
        <v>100</v>
      </c>
      <c r="T40" s="1505" t="s">
        <v>8</v>
      </c>
      <c r="U40" s="1506">
        <f t="shared" si="13"/>
        <v>100</v>
      </c>
      <c r="V40" s="1505" t="s">
        <v>8</v>
      </c>
      <c r="W40" s="1506">
        <f t="shared" si="14"/>
        <v>100</v>
      </c>
      <c r="X40" s="1499"/>
      <c r="Y40" s="3664"/>
      <c r="Z40" s="1507" t="str">
        <f t="shared" si="15"/>
        <v>市政基础设施</v>
      </c>
      <c r="AA40" s="1508">
        <f t="shared" si="3"/>
        <v>1</v>
      </c>
      <c r="AB40" s="1508">
        <f t="shared" si="4"/>
        <v>1</v>
      </c>
      <c r="AC40" s="1508">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664"/>
      <c r="Q41" s="1504" t="str">
        <f t="shared" si="11"/>
        <v>层高</v>
      </c>
      <c r="R41" s="1505" t="s">
        <v>8</v>
      </c>
      <c r="S41" s="1506">
        <f t="shared" si="12"/>
        <v>100</v>
      </c>
      <c r="T41" s="1505" t="s">
        <v>8</v>
      </c>
      <c r="U41" s="1506">
        <f t="shared" si="13"/>
        <v>100</v>
      </c>
      <c r="V41" s="1505" t="s">
        <v>8</v>
      </c>
      <c r="W41" s="1506">
        <f t="shared" si="14"/>
        <v>100</v>
      </c>
      <c r="X41" s="1499"/>
      <c r="Y41" s="3664"/>
      <c r="Z41" s="1507" t="str">
        <f t="shared" si="15"/>
        <v>层高</v>
      </c>
      <c r="AA41" s="1508">
        <f t="shared" si="3"/>
        <v>1</v>
      </c>
      <c r="AB41" s="1508">
        <f t="shared" si="4"/>
        <v>1</v>
      </c>
      <c r="AC41" s="1508">
        <f t="shared" si="5"/>
        <v>1</v>
      </c>
    </row>
    <row r="42" spans="1:29" s="1290" customFormat="1" ht="15">
      <c r="A42" s="596"/>
      <c r="B42" s="890"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664"/>
      <c r="Q42" s="1533" t="str">
        <f t="shared" si="11"/>
        <v>单套建筑面积</v>
      </c>
      <c r="R42" s="1509" t="s">
        <v>8</v>
      </c>
      <c r="S42" s="1510">
        <f t="shared" si="12"/>
        <v>100</v>
      </c>
      <c r="T42" s="1509" t="s">
        <v>8</v>
      </c>
      <c r="U42" s="1510">
        <f t="shared" si="13"/>
        <v>100</v>
      </c>
      <c r="V42" s="1509" t="s">
        <v>8</v>
      </c>
      <c r="W42" s="1510">
        <f t="shared" si="14"/>
        <v>100</v>
      </c>
      <c r="X42" s="1511"/>
      <c r="Y42" s="3664"/>
      <c r="Z42" s="1512" t="str">
        <f t="shared" si="15"/>
        <v>单套建筑面积</v>
      </c>
      <c r="AA42" s="1508">
        <f t="shared" si="3"/>
        <v>1</v>
      </c>
      <c r="AB42" s="1508">
        <f t="shared" si="4"/>
        <v>1</v>
      </c>
      <c r="AC42" s="1508">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664"/>
      <c r="Q43" s="1504" t="str">
        <f t="shared" si="11"/>
        <v>内部装修</v>
      </c>
      <c r="R43" s="1505" t="s">
        <v>8</v>
      </c>
      <c r="S43" s="1506">
        <f t="shared" si="12"/>
        <v>100</v>
      </c>
      <c r="T43" s="1505" t="s">
        <v>8</v>
      </c>
      <c r="U43" s="1506">
        <f t="shared" si="13"/>
        <v>100</v>
      </c>
      <c r="V43" s="1505" t="s">
        <v>8</v>
      </c>
      <c r="W43" s="1506">
        <f t="shared" si="14"/>
        <v>100</v>
      </c>
      <c r="X43" s="1499"/>
      <c r="Y43" s="3664"/>
      <c r="Z43" s="1507" t="str">
        <f t="shared" si="15"/>
        <v>内部装修</v>
      </c>
      <c r="AA43" s="1508">
        <f t="shared" si="3"/>
        <v>1</v>
      </c>
      <c r="AB43" s="1508">
        <f t="shared" si="4"/>
        <v>1</v>
      </c>
      <c r="AC43" s="1508">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664"/>
      <c r="Q44" s="1504" t="str">
        <f t="shared" si="11"/>
        <v>内部装修维护情况</v>
      </c>
      <c r="R44" s="1505" t="s">
        <v>8</v>
      </c>
      <c r="S44" s="1506">
        <f t="shared" si="12"/>
        <v>100</v>
      </c>
      <c r="T44" s="1505" t="s">
        <v>8</v>
      </c>
      <c r="U44" s="1506">
        <f t="shared" si="13"/>
        <v>100</v>
      </c>
      <c r="V44" s="1505" t="s">
        <v>8</v>
      </c>
      <c r="W44" s="1506">
        <f t="shared" si="14"/>
        <v>100</v>
      </c>
      <c r="X44" s="1499"/>
      <c r="Y44" s="3664"/>
      <c r="Z44" s="1507" t="str">
        <f t="shared" si="15"/>
        <v>内部装修维护情况</v>
      </c>
      <c r="AA44" s="1508">
        <f t="shared" si="3"/>
        <v>1</v>
      </c>
      <c r="AB44" s="1508">
        <f t="shared" si="4"/>
        <v>1</v>
      </c>
      <c r="AC44" s="1508">
        <f t="shared" si="5"/>
        <v>1</v>
      </c>
    </row>
    <row r="45" spans="1:29" s="1200"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664"/>
      <c r="Q45" s="1131">
        <f t="shared" si="11"/>
        <v>111</v>
      </c>
      <c r="R45" s="1500" t="s">
        <v>8</v>
      </c>
      <c r="S45" s="1501">
        <f t="shared" si="12"/>
        <v>100</v>
      </c>
      <c r="T45" s="1500" t="s">
        <v>8</v>
      </c>
      <c r="U45" s="1501">
        <f t="shared" si="13"/>
        <v>100</v>
      </c>
      <c r="V45" s="1500" t="s">
        <v>8</v>
      </c>
      <c r="W45" s="1501">
        <f t="shared" si="14"/>
        <v>100</v>
      </c>
      <c r="X45" s="1502"/>
      <c r="Y45" s="3664"/>
      <c r="Z45" s="1130">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664"/>
      <c r="Q46" s="1504">
        <f t="shared" si="11"/>
        <v>111</v>
      </c>
      <c r="R46" s="1505" t="s">
        <v>8</v>
      </c>
      <c r="S46" s="1506">
        <f t="shared" si="12"/>
        <v>100</v>
      </c>
      <c r="T46" s="1505" t="s">
        <v>8</v>
      </c>
      <c r="U46" s="1506">
        <f t="shared" si="13"/>
        <v>100</v>
      </c>
      <c r="V46" s="1505" t="s">
        <v>8</v>
      </c>
      <c r="W46" s="1506">
        <f t="shared" si="14"/>
        <v>100</v>
      </c>
      <c r="X46" s="1499"/>
      <c r="Y46" s="3664"/>
      <c r="Z46" s="1507">
        <f t="shared" si="15"/>
        <v>111</v>
      </c>
      <c r="AA46" s="1508">
        <f t="shared" si="3"/>
        <v>1</v>
      </c>
      <c r="AB46" s="1508">
        <f t="shared" si="4"/>
        <v>1</v>
      </c>
      <c r="AC46" s="1508">
        <f t="shared" si="5"/>
        <v>1</v>
      </c>
    </row>
    <row r="47" spans="1:29" ht="15.75" thickBot="1">
      <c r="A47" s="872"/>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667"/>
      <c r="Q47" s="1504">
        <f t="shared" si="11"/>
        <v>111</v>
      </c>
      <c r="R47" s="1505" t="s">
        <v>8</v>
      </c>
      <c r="S47" s="1506">
        <f t="shared" si="12"/>
        <v>100</v>
      </c>
      <c r="T47" s="1505" t="s">
        <v>8</v>
      </c>
      <c r="U47" s="1506">
        <f t="shared" si="13"/>
        <v>100</v>
      </c>
      <c r="V47" s="1505" t="s">
        <v>8</v>
      </c>
      <c r="W47" s="1506">
        <f t="shared" si="14"/>
        <v>100</v>
      </c>
      <c r="X47" s="1499"/>
      <c r="Y47" s="3667"/>
      <c r="Z47" s="1507">
        <f t="shared" si="15"/>
        <v>111</v>
      </c>
      <c r="AA47" s="1508">
        <f t="shared" si="3"/>
        <v>1</v>
      </c>
      <c r="AB47" s="1508">
        <f t="shared" si="4"/>
        <v>1</v>
      </c>
      <c r="AC47" s="1508">
        <f t="shared" si="5"/>
        <v>1</v>
      </c>
    </row>
    <row r="48" spans="1:29" ht="15">
      <c r="A48" s="600" t="s">
        <v>729</v>
      </c>
      <c r="B48" s="873"/>
      <c r="C48" s="2467" t="s">
        <v>1</v>
      </c>
      <c r="D48" s="2468"/>
      <c r="E48" s="2469"/>
      <c r="F48" s="2470"/>
      <c r="G48" s="2471"/>
      <c r="H48" s="2472"/>
      <c r="I48" s="2469"/>
      <c r="J48" s="2472"/>
      <c r="K48" s="1538"/>
      <c r="L48" s="2023"/>
      <c r="M48" s="2013"/>
      <c r="N48" s="2013"/>
      <c r="O48" s="2013"/>
      <c r="P48" s="3625" t="str">
        <f>A48</f>
        <v>成交单价（元/平方米）</v>
      </c>
      <c r="Q48" s="3627"/>
      <c r="R48" s="3666">
        <f>E48</f>
        <v>0</v>
      </c>
      <c r="S48" s="3666"/>
      <c r="T48" s="3666">
        <f>G48</f>
        <v>0</v>
      </c>
      <c r="U48" s="3666"/>
      <c r="V48" s="3666">
        <f>I48</f>
        <v>0</v>
      </c>
      <c r="W48" s="3666"/>
      <c r="X48" s="1494"/>
      <c r="Y48" s="1513"/>
      <c r="Z48" s="1494"/>
      <c r="AA48" s="1494"/>
      <c r="AB48" s="1494"/>
      <c r="AC48" s="1494"/>
    </row>
    <row r="49" spans="1:29" ht="15.75" thickBot="1">
      <c r="A49" s="608" t="s">
        <v>2737</v>
      </c>
      <c r="B49" s="874"/>
      <c r="C49" s="2473" t="e">
        <f>R50</f>
        <v>#DIV/0!</v>
      </c>
      <c r="D49" s="3009" t="s">
        <v>2949</v>
      </c>
      <c r="E49" s="2474" t="e">
        <f>R49</f>
        <v>#DIV/0!</v>
      </c>
      <c r="F49" s="3010"/>
      <c r="G49" s="2473" t="e">
        <f>T49</f>
        <v>#DIV/0!</v>
      </c>
      <c r="H49" s="3010"/>
      <c r="I49" s="2474" t="e">
        <f>V49</f>
        <v>#DIV/0!</v>
      </c>
      <c r="J49" s="3010"/>
      <c r="K49" s="3018">
        <f>F49+H49+J49</f>
        <v>0</v>
      </c>
      <c r="L49" s="2023"/>
      <c r="M49" s="2013"/>
      <c r="N49" s="2013"/>
      <c r="O49" s="2013"/>
      <c r="P49" s="3625" t="str">
        <f>A49</f>
        <v>比较价格（元/平方米）</v>
      </c>
      <c r="Q49" s="3627"/>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94"/>
      <c r="Y49" s="1494"/>
      <c r="Z49" s="1494"/>
      <c r="AA49" s="1494"/>
      <c r="AB49" s="1494"/>
      <c r="AC49" s="1494"/>
    </row>
    <row r="50" spans="1:29" ht="15.75" thickBot="1">
      <c r="A50" s="612" t="s">
        <v>2881</v>
      </c>
      <c r="B50" s="613"/>
      <c r="C50" s="2475" t="e">
        <f>R50</f>
        <v>#DIV/0!</v>
      </c>
      <c r="D50" s="2475"/>
      <c r="E50" s="2475"/>
      <c r="F50" s="2475"/>
      <c r="G50" s="2475"/>
      <c r="H50" s="2475"/>
      <c r="I50" s="2475"/>
      <c r="J50" s="2475"/>
      <c r="K50" s="1539"/>
      <c r="L50" s="2023"/>
      <c r="M50" s="2013"/>
      <c r="N50" s="2013"/>
      <c r="O50" s="2013"/>
      <c r="P50" s="3753" t="str">
        <f>A50</f>
        <v>估价对象XX用房的比较价格（楼面单价，元/平方米）</v>
      </c>
      <c r="Q50" s="3625"/>
      <c r="R50" s="3665" t="e">
        <f>IF(F1="售价",ROUND(IF(D49="简单平均",AVERAGE(R49:V49),R49*F49+T49*H49+V49*J49),0),ROUND(IF(D49="简单平均",AVERAGE(R49:V49),R49*F49+T49*H49+V49*J49),1))</f>
        <v>#DIV/0!</v>
      </c>
      <c r="S50" s="3665"/>
      <c r="T50" s="3665"/>
      <c r="U50" s="3665"/>
      <c r="V50" s="3665"/>
      <c r="W50" s="3665"/>
      <c r="X50" s="1494"/>
      <c r="Y50" s="1494"/>
      <c r="Z50" s="1494"/>
      <c r="AA50" s="1494"/>
      <c r="AB50" s="1494"/>
      <c r="AC50" s="1494"/>
    </row>
    <row r="51" spans="1:29">
      <c r="A51" s="3207"/>
      <c r="B51" s="3207"/>
      <c r="C51" s="3207"/>
      <c r="D51" s="3207"/>
      <c r="E51" s="3207"/>
      <c r="F51" s="3207"/>
      <c r="G51" s="3209"/>
      <c r="H51" s="3207"/>
      <c r="I51" s="3207"/>
      <c r="J51" s="3207"/>
      <c r="K51" s="3210"/>
      <c r="L51" s="2028"/>
      <c r="M51" s="2024"/>
      <c r="N51" s="2024"/>
      <c r="O51" s="2024"/>
      <c r="P51" s="2085"/>
      <c r="Q51" s="2024"/>
      <c r="R51" s="2024"/>
      <c r="S51" s="2024"/>
      <c r="T51" s="2024"/>
      <c r="U51" s="2024"/>
      <c r="V51" s="2024"/>
      <c r="W51" s="2024"/>
      <c r="X51" s="2024"/>
      <c r="Y51" s="2024"/>
      <c r="Z51" s="2024"/>
      <c r="AA51" s="2024"/>
      <c r="AB51" s="2024"/>
      <c r="AC51" s="2024"/>
    </row>
    <row r="52" spans="1:29">
      <c r="A52" s="3207"/>
      <c r="B52" s="3207"/>
      <c r="C52" s="3207"/>
      <c r="D52" s="3207"/>
      <c r="E52" s="3207"/>
      <c r="F52" s="3207"/>
      <c r="G52" s="3207"/>
      <c r="H52" s="3207"/>
      <c r="I52" s="3207"/>
      <c r="J52" s="3207"/>
      <c r="K52" s="3210"/>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0"/>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0"/>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1"/>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5">
      <c r="A59" s="636" t="s">
        <v>523</v>
      </c>
      <c r="B59" s="637"/>
      <c r="C59" s="2516" t="str">
        <f>YEAR(C7)&amp;"-"&amp;MONTH(C7)</f>
        <v>2021-12</v>
      </c>
      <c r="D59" s="2518">
        <f>EDATE(C59,-1)</f>
        <v>44501</v>
      </c>
      <c r="E59" s="2518">
        <f t="shared" ref="E59:O59" si="16">EDATE(D59,-1)</f>
        <v>44470</v>
      </c>
      <c r="F59" s="2518">
        <f t="shared" si="16"/>
        <v>44440</v>
      </c>
      <c r="G59" s="2518">
        <f t="shared" si="16"/>
        <v>44409</v>
      </c>
      <c r="H59" s="2518">
        <f t="shared" si="16"/>
        <v>44378</v>
      </c>
      <c r="I59" s="2518">
        <f t="shared" si="16"/>
        <v>44348</v>
      </c>
      <c r="J59" s="2518">
        <f t="shared" si="16"/>
        <v>44317</v>
      </c>
      <c r="K59" s="2518">
        <f t="shared" si="16"/>
        <v>44287</v>
      </c>
      <c r="L59" s="2518">
        <f t="shared" si="16"/>
        <v>44256</v>
      </c>
      <c r="M59" s="2518">
        <f t="shared" si="16"/>
        <v>44228</v>
      </c>
      <c r="N59" s="2518">
        <f t="shared" si="16"/>
        <v>44197</v>
      </c>
      <c r="O59" s="2518">
        <f t="shared" si="16"/>
        <v>44166</v>
      </c>
      <c r="P59" s="2088"/>
      <c r="Q59" s="2039"/>
      <c r="R59" s="2039"/>
      <c r="S59" s="2039"/>
      <c r="T59" s="2039"/>
      <c r="U59" s="2039"/>
      <c r="V59" s="2039"/>
      <c r="W59" s="2039"/>
      <c r="X59" s="2039"/>
      <c r="Y59" s="2039"/>
      <c r="Z59" s="2039"/>
      <c r="AA59" s="2039"/>
      <c r="AB59" s="2039"/>
      <c r="AC59" s="2039"/>
    </row>
    <row r="60" spans="1:29" s="1200"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0"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0"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0" customFormat="1" ht="15.75" thickBot="1">
      <c r="A63" s="650"/>
      <c r="B63" s="639"/>
      <c r="C63" s="875">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730</v>
      </c>
      <c r="D66" s="665" t="s">
        <v>731</v>
      </c>
      <c r="E66" s="665" t="s">
        <v>732</v>
      </c>
      <c r="F66" s="665" t="s">
        <v>733</v>
      </c>
      <c r="G66" s="665" t="s">
        <v>734</v>
      </c>
      <c r="H66" s="665" t="s">
        <v>735</v>
      </c>
      <c r="I66" s="665" t="s">
        <v>736</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0"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0"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0"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0"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0"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0"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2536</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2537</v>
      </c>
      <c r="C83" s="2439" t="s">
        <v>2538</v>
      </c>
      <c r="D83" s="2439" t="s">
        <v>2539</v>
      </c>
      <c r="E83" s="2439" t="s">
        <v>2540</v>
      </c>
      <c r="F83" s="2439" t="s">
        <v>2541</v>
      </c>
      <c r="G83" s="2439" t="s">
        <v>2542</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1"/>
      <c r="I84" s="921"/>
      <c r="J84" s="921"/>
      <c r="K84" s="921"/>
      <c r="L84" s="921"/>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777</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0" customFormat="1" ht="27.75" thickTop="1">
      <c r="A87" s="700"/>
      <c r="B87" s="664" t="s">
        <v>778</v>
      </c>
      <c r="C87" s="679"/>
      <c r="D87" s="679"/>
      <c r="E87" s="679"/>
      <c r="F87" s="679"/>
      <c r="G87" s="679"/>
      <c r="H87" s="679"/>
      <c r="I87" s="679"/>
      <c r="J87" s="679"/>
      <c r="K87" s="679"/>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0" customFormat="1" ht="15.75" thickTop="1">
      <c r="A89" s="700"/>
      <c r="B89" s="664" t="str">
        <f>B27</f>
        <v>楼层</v>
      </c>
      <c r="C89" s="679"/>
      <c r="D89" s="679"/>
      <c r="E89" s="679"/>
      <c r="F89" s="878"/>
      <c r="G89" s="679"/>
      <c r="H89" s="679"/>
      <c r="I89" s="679"/>
      <c r="J89" s="679"/>
      <c r="K89" s="679"/>
      <c r="L89" s="679"/>
      <c r="M89" s="877"/>
      <c r="N89" s="2040"/>
      <c r="O89" s="2040"/>
      <c r="P89" s="2091"/>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0"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0"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6"/>
      <c r="M93" s="877"/>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79"/>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740</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0"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742</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744</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9"/>
      <c r="B113" s="664" t="s">
        <v>779</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0"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746</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2535</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3" t="s">
        <v>780</v>
      </c>
      <c r="C119" s="709"/>
      <c r="D119" s="709"/>
      <c r="E119" s="709"/>
      <c r="F119" s="709"/>
      <c r="G119" s="709"/>
      <c r="H119" s="709"/>
      <c r="I119" s="709"/>
      <c r="J119" s="709"/>
      <c r="K119" s="709"/>
      <c r="L119" s="904"/>
      <c r="M119" s="905"/>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9"/>
      <c r="B121" s="664" t="s">
        <v>768</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0"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748</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749</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0"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0"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79"/>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781</v>
      </c>
      <c r="C1" s="497" t="s">
        <v>714</v>
      </c>
      <c r="D1" s="837"/>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1941"/>
    </row>
    <row r="2" spans="1:29" s="1287"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515</v>
      </c>
      <c r="B4" s="506"/>
      <c r="C4" s="3633" t="s">
        <v>516</v>
      </c>
      <c r="D4" s="3634"/>
      <c r="E4" s="3668" t="s">
        <v>517</v>
      </c>
      <c r="F4" s="3669"/>
      <c r="G4" s="3633" t="s">
        <v>518</v>
      </c>
      <c r="H4" s="3634"/>
      <c r="I4" s="3633" t="s">
        <v>519</v>
      </c>
      <c r="J4" s="3634"/>
      <c r="K4" s="507" t="s">
        <v>520</v>
      </c>
      <c r="L4" s="2012"/>
      <c r="M4" s="2013"/>
      <c r="N4" s="2013"/>
      <c r="O4" s="2013"/>
      <c r="P4" s="3635" t="s">
        <v>521</v>
      </c>
      <c r="Q4" s="3636"/>
      <c r="R4" s="3641" t="s">
        <v>517</v>
      </c>
      <c r="S4" s="3642"/>
      <c r="T4" s="3641" t="s">
        <v>518</v>
      </c>
      <c r="U4" s="3642"/>
      <c r="V4" s="3628" t="s">
        <v>519</v>
      </c>
      <c r="W4" s="3628"/>
      <c r="X4" s="1499"/>
      <c r="Y4" s="3641" t="s">
        <v>521</v>
      </c>
      <c r="Z4" s="3642"/>
      <c r="AA4" s="3630" t="s">
        <v>517</v>
      </c>
      <c r="AB4" s="3631" t="s">
        <v>518</v>
      </c>
      <c r="AC4" s="3630" t="s">
        <v>519</v>
      </c>
    </row>
    <row r="5" spans="1:29" ht="15">
      <c r="A5" s="508"/>
      <c r="B5" s="509"/>
      <c r="C5" s="3672" t="s">
        <v>2875</v>
      </c>
      <c r="D5" s="3673"/>
      <c r="E5" s="3676" t="s">
        <v>2876</v>
      </c>
      <c r="F5" s="3677"/>
      <c r="G5" s="3672" t="s">
        <v>2877</v>
      </c>
      <c r="H5" s="3673"/>
      <c r="I5" s="3672" t="s">
        <v>2878</v>
      </c>
      <c r="J5" s="3673"/>
      <c r="K5" s="507"/>
      <c r="L5" s="2012"/>
      <c r="M5" s="2013"/>
      <c r="N5" s="2013"/>
      <c r="O5" s="2013"/>
      <c r="P5" s="3637"/>
      <c r="Q5" s="3638"/>
      <c r="R5" s="3643"/>
      <c r="S5" s="3644"/>
      <c r="T5" s="3643"/>
      <c r="U5" s="3644"/>
      <c r="V5" s="3628"/>
      <c r="W5" s="3628"/>
      <c r="X5" s="1499"/>
      <c r="Y5" s="3643"/>
      <c r="Z5" s="3644"/>
      <c r="AA5" s="3631"/>
      <c r="AB5" s="3631"/>
      <c r="AC5" s="3631"/>
    </row>
    <row r="6" spans="1:29" ht="15.75" thickBot="1">
      <c r="A6" s="510"/>
      <c r="B6" s="511"/>
      <c r="C6" s="3670" t="s">
        <v>2879</v>
      </c>
      <c r="D6" s="3671"/>
      <c r="E6" s="3674" t="s">
        <v>2879</v>
      </c>
      <c r="F6" s="3675"/>
      <c r="G6" s="3670" t="s">
        <v>2879</v>
      </c>
      <c r="H6" s="3671"/>
      <c r="I6" s="3670" t="s">
        <v>2879</v>
      </c>
      <c r="J6" s="3671"/>
      <c r="K6" s="507" t="s">
        <v>522</v>
      </c>
      <c r="L6" s="2012"/>
      <c r="M6" s="2013"/>
      <c r="N6" s="2013"/>
      <c r="O6" s="2013"/>
      <c r="P6" s="3639"/>
      <c r="Q6" s="3640"/>
      <c r="R6" s="3643"/>
      <c r="S6" s="3644"/>
      <c r="T6" s="3645"/>
      <c r="U6" s="3646"/>
      <c r="V6" s="3628"/>
      <c r="W6" s="3628"/>
      <c r="X6" s="1499"/>
      <c r="Y6" s="3645"/>
      <c r="Z6" s="3646"/>
      <c r="AA6" s="3632"/>
      <c r="AB6" s="3632"/>
      <c r="AC6" s="3632"/>
    </row>
    <row r="7" spans="1:29" s="1200" customFormat="1" ht="15.75" thickBot="1">
      <c r="A7" s="2626"/>
      <c r="B7" s="2633" t="s">
        <v>523</v>
      </c>
      <c r="C7" s="512">
        <f>'数据-取费表'!B2</f>
        <v>44532</v>
      </c>
      <c r="D7" s="513">
        <v>100</v>
      </c>
      <c r="E7" s="514"/>
      <c r="F7" s="515">
        <f>SUMIF(52:52,YEAR(E7)&amp;"-"&amp;MONTH(E7),53:53)</f>
        <v>0</v>
      </c>
      <c r="G7" s="514"/>
      <c r="H7" s="513">
        <f>SUMIF(52:52,YEAR(G7)&amp;"-"&amp;MONTH(G7),53:53)</f>
        <v>0</v>
      </c>
      <c r="I7" s="514"/>
      <c r="J7" s="513">
        <f>SUMIF(52:52,YEAR(I7)&amp;"-"&amp;MONTH(I7),53:53)</f>
        <v>0</v>
      </c>
      <c r="K7" s="517"/>
      <c r="L7" s="2014"/>
      <c r="M7" s="2015"/>
      <c r="N7" s="2015"/>
      <c r="O7" s="2015"/>
      <c r="P7" s="3658" t="s">
        <v>524</v>
      </c>
      <c r="Q7" s="3660"/>
      <c r="R7" s="1500" t="s">
        <v>8</v>
      </c>
      <c r="S7" s="1501">
        <f t="shared" ref="S7:S15" si="0">F7</f>
        <v>0</v>
      </c>
      <c r="T7" s="1500" t="s">
        <v>8</v>
      </c>
      <c r="U7" s="1501">
        <f t="shared" ref="U7:U15" si="1">H7</f>
        <v>0</v>
      </c>
      <c r="V7" s="1500" t="s">
        <v>8</v>
      </c>
      <c r="W7" s="1501">
        <f t="shared" ref="W7:W15" si="2">J7</f>
        <v>0</v>
      </c>
      <c r="X7" s="1502"/>
      <c r="Y7" s="3658" t="s">
        <v>524</v>
      </c>
      <c r="Z7" s="3659"/>
      <c r="AA7" s="1503" t="e">
        <f>D7/F7</f>
        <v>#DIV/0!</v>
      </c>
      <c r="AB7" s="1503" t="e">
        <f>D7/H7</f>
        <v>#DIV/0!</v>
      </c>
      <c r="AC7" s="1503" t="e">
        <f>D7/J7</f>
        <v>#DIV/0!</v>
      </c>
    </row>
    <row r="8" spans="1:29" s="1200"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658" t="s">
        <v>527</v>
      </c>
      <c r="Q8" s="3659"/>
      <c r="R8" s="1500" t="s">
        <v>8</v>
      </c>
      <c r="S8" s="1501">
        <f t="shared" si="0"/>
        <v>0</v>
      </c>
      <c r="T8" s="1500" t="s">
        <v>8</v>
      </c>
      <c r="U8" s="1501">
        <f t="shared" si="1"/>
        <v>0</v>
      </c>
      <c r="V8" s="1500" t="s">
        <v>8</v>
      </c>
      <c r="W8" s="1501">
        <f t="shared" si="2"/>
        <v>0</v>
      </c>
      <c r="X8" s="1502"/>
      <c r="Y8" s="3658" t="s">
        <v>527</v>
      </c>
      <c r="Z8" s="3659"/>
      <c r="AA8" s="1503" t="e">
        <f t="shared" ref="AA8:AA40" si="3">D8/F8</f>
        <v>#DIV/0!</v>
      </c>
      <c r="AB8" s="1503" t="e">
        <f t="shared" ref="AB8:AB40" si="4">D8/H8</f>
        <v>#DIV/0!</v>
      </c>
      <c r="AC8" s="1503" t="e">
        <f t="shared" ref="AC8:AC40" si="5">D8/J8</f>
        <v>#DIV/0!</v>
      </c>
    </row>
    <row r="9" spans="1:29" s="1200" customFormat="1" ht="15">
      <c r="A9" s="2628"/>
      <c r="B9" s="2635" t="s">
        <v>2733</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627" t="s">
        <v>529</v>
      </c>
      <c r="Q9" s="1131" t="str">
        <f t="shared" ref="Q9:Q15" si="6">B9</f>
        <v>用途</v>
      </c>
      <c r="R9" s="1500" t="s">
        <v>8</v>
      </c>
      <c r="S9" s="1501">
        <f t="shared" si="0"/>
        <v>100</v>
      </c>
      <c r="T9" s="1500" t="s">
        <v>8</v>
      </c>
      <c r="U9" s="1501">
        <f t="shared" si="1"/>
        <v>100</v>
      </c>
      <c r="V9" s="1500" t="s">
        <v>8</v>
      </c>
      <c r="W9" s="1501">
        <f t="shared" si="2"/>
        <v>100</v>
      </c>
      <c r="X9" s="1502"/>
      <c r="Y9" s="3573"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627"/>
      <c r="Q10" s="1131" t="str">
        <f t="shared" si="6"/>
        <v>土地使用年限（年）</v>
      </c>
      <c r="R10" s="1500" t="s">
        <v>8</v>
      </c>
      <c r="S10" s="1501">
        <f t="shared" si="0"/>
        <v>100</v>
      </c>
      <c r="T10" s="1500" t="s">
        <v>8</v>
      </c>
      <c r="U10" s="1501">
        <f t="shared" si="1"/>
        <v>100</v>
      </c>
      <c r="V10" s="1500" t="s">
        <v>8</v>
      </c>
      <c r="W10" s="1501">
        <f t="shared" si="2"/>
        <v>100</v>
      </c>
      <c r="X10" s="1502"/>
      <c r="Y10" s="3573"/>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627"/>
      <c r="Q11" s="1131" t="str">
        <f t="shared" si="6"/>
        <v>容积率</v>
      </c>
      <c r="R11" s="1500" t="s">
        <v>8</v>
      </c>
      <c r="S11" s="1501" t="e">
        <f t="shared" si="0"/>
        <v>#N/A</v>
      </c>
      <c r="T11" s="1500" t="s">
        <v>8</v>
      </c>
      <c r="U11" s="1501" t="e">
        <f t="shared" si="1"/>
        <v>#N/A</v>
      </c>
      <c r="V11" s="1500" t="s">
        <v>8</v>
      </c>
      <c r="W11" s="1501" t="e">
        <f t="shared" si="2"/>
        <v>#N/A</v>
      </c>
      <c r="X11" s="1502"/>
      <c r="Y11" s="3573"/>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SUMIF(64:64,E12,65:65)-SUMIF(64:64,C12,65:65)+100</f>
        <v>100</v>
      </c>
      <c r="G12" s="906"/>
      <c r="H12" s="252">
        <f>SUMIF(64:64,G12,65:65)-SUMIF(64:64,C12,65:65)+100</f>
        <v>100</v>
      </c>
      <c r="I12" s="868"/>
      <c r="J12" s="252">
        <f>SUMIF(64:64,I12,65:65)-SUMIF(64:64,C12,65:65)+100</f>
        <v>100</v>
      </c>
      <c r="K12" s="574"/>
      <c r="L12" s="2014"/>
      <c r="M12" s="2015"/>
      <c r="N12" s="2015"/>
      <c r="O12" s="2016"/>
      <c r="P12" s="3627"/>
      <c r="Q12" s="1131">
        <f t="shared" si="6"/>
        <v>111</v>
      </c>
      <c r="R12" s="1500" t="s">
        <v>8</v>
      </c>
      <c r="S12" s="1501">
        <f t="shared" si="0"/>
        <v>100</v>
      </c>
      <c r="T12" s="1500" t="s">
        <v>8</v>
      </c>
      <c r="U12" s="1501">
        <f t="shared" si="1"/>
        <v>100</v>
      </c>
      <c r="V12" s="1500" t="s">
        <v>8</v>
      </c>
      <c r="W12" s="1501">
        <f t="shared" si="2"/>
        <v>100</v>
      </c>
      <c r="X12" s="1502"/>
      <c r="Y12" s="3573"/>
      <c r="Z12" s="1130">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6"/>
      <c r="H13" s="533">
        <f>SUMIF(66:66,G13,67:67)-SUMIF(66:66,C13,67:67)+100</f>
        <v>100</v>
      </c>
      <c r="I13" s="868"/>
      <c r="J13" s="533">
        <f>SUMIF(66:66,I13,67:67)-SUMIF(66:66,C13,67:67)+100</f>
        <v>100</v>
      </c>
      <c r="K13" s="574"/>
      <c r="L13" s="2021"/>
      <c r="M13" s="2013"/>
      <c r="N13" s="2013"/>
      <c r="O13" s="2020"/>
      <c r="P13" s="3627"/>
      <c r="Q13" s="1131">
        <f t="shared" si="6"/>
        <v>111</v>
      </c>
      <c r="R13" s="1500" t="s">
        <v>8</v>
      </c>
      <c r="S13" s="1501">
        <f t="shared" si="0"/>
        <v>100</v>
      </c>
      <c r="T13" s="1500" t="s">
        <v>8</v>
      </c>
      <c r="U13" s="1501">
        <f t="shared" si="1"/>
        <v>100</v>
      </c>
      <c r="V13" s="1500" t="s">
        <v>8</v>
      </c>
      <c r="W13" s="1501">
        <f t="shared" si="2"/>
        <v>100</v>
      </c>
      <c r="X13" s="1502"/>
      <c r="Y13" s="3573"/>
      <c r="Z13" s="1130">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6"/>
      <c r="H14" s="539">
        <f>SUMIF(68:68,G14,69:69)-SUMIF(68:68,C14,69:69)+100</f>
        <v>100</v>
      </c>
      <c r="I14" s="868"/>
      <c r="J14" s="539">
        <f>SUMIF(68:68,I14,69:69)-SUMIF(68:68,C14,69:69)+100</f>
        <v>100</v>
      </c>
      <c r="K14" s="574"/>
      <c r="L14" s="2021"/>
      <c r="M14" s="2013"/>
      <c r="N14" s="2013"/>
      <c r="O14" s="2020"/>
      <c r="P14" s="3627"/>
      <c r="Q14" s="1131">
        <f t="shared" si="6"/>
        <v>111</v>
      </c>
      <c r="R14" s="1500" t="s">
        <v>8</v>
      </c>
      <c r="S14" s="1501">
        <f t="shared" si="0"/>
        <v>100</v>
      </c>
      <c r="T14" s="1500" t="s">
        <v>8</v>
      </c>
      <c r="U14" s="1501">
        <f t="shared" si="1"/>
        <v>100</v>
      </c>
      <c r="V14" s="1500" t="s">
        <v>8</v>
      </c>
      <c r="W14" s="1501">
        <f t="shared" si="2"/>
        <v>100</v>
      </c>
      <c r="X14" s="1502"/>
      <c r="Y14" s="3573"/>
      <c r="Z14" s="1130">
        <f t="shared" si="7"/>
        <v>111</v>
      </c>
      <c r="AA14" s="1503">
        <f t="shared" si="3"/>
        <v>1</v>
      </c>
      <c r="AB14" s="1503">
        <f t="shared" si="4"/>
        <v>1</v>
      </c>
      <c r="AC14" s="1503">
        <f t="shared" si="5"/>
        <v>1</v>
      </c>
    </row>
    <row r="15" spans="1:29" ht="15">
      <c r="A15" s="2624" t="s">
        <v>2731</v>
      </c>
      <c r="B15" s="163" t="s">
        <v>782</v>
      </c>
      <c r="C15" s="907">
        <f>估价对象房地状况!G3</f>
        <v>0</v>
      </c>
      <c r="D15" s="542">
        <v>100</v>
      </c>
      <c r="E15" s="543"/>
      <c r="F15" s="544">
        <f>SUMIF(70:70,E16,71:71)-SUMIF(70:70,C16,71:71)+100</f>
        <v>100</v>
      </c>
      <c r="G15" s="545"/>
      <c r="H15" s="542">
        <f>SUMIF(70:70,G16,71:71)-SUMIF(70:70,C16,71:71)+100</f>
        <v>100</v>
      </c>
      <c r="I15" s="543"/>
      <c r="J15" s="542">
        <f>SUMIF(70:70,I16,71:71)-SUMIF(70:70,C16,71:71)+100</f>
        <v>100</v>
      </c>
      <c r="K15" s="884"/>
      <c r="L15" s="2021"/>
      <c r="M15" s="2013"/>
      <c r="N15" s="2013"/>
      <c r="O15" s="2020"/>
      <c r="P15" s="3661" t="s">
        <v>534</v>
      </c>
      <c r="Q15" s="1504" t="str">
        <f t="shared" si="6"/>
        <v>产业集聚程度</v>
      </c>
      <c r="R15" s="1505" t="s">
        <v>8</v>
      </c>
      <c r="S15" s="1506">
        <f t="shared" si="0"/>
        <v>100</v>
      </c>
      <c r="T15" s="1505" t="s">
        <v>8</v>
      </c>
      <c r="U15" s="1506">
        <f t="shared" si="1"/>
        <v>100</v>
      </c>
      <c r="V15" s="1505" t="s">
        <v>8</v>
      </c>
      <c r="W15" s="1506">
        <f t="shared" si="2"/>
        <v>100</v>
      </c>
      <c r="X15" s="1499"/>
      <c r="Y15" s="3661"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62"/>
      <c r="Q16" s="1504"/>
      <c r="R16" s="1505"/>
      <c r="S16" s="1506"/>
      <c r="T16" s="1505"/>
      <c r="U16" s="1506"/>
      <c r="V16" s="1505"/>
      <c r="W16" s="1506"/>
      <c r="X16" s="1499"/>
      <c r="Y16" s="3662"/>
      <c r="Z16" s="1507"/>
      <c r="AA16" s="1508">
        <v>1</v>
      </c>
      <c r="AB16" s="1508">
        <v>1</v>
      </c>
      <c r="AC16" s="1508">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4"/>
      <c r="L17" s="2021"/>
      <c r="M17" s="2013"/>
      <c r="N17" s="2013"/>
      <c r="O17" s="2020"/>
      <c r="P17" s="3662"/>
      <c r="Q17" s="1504" t="str">
        <f>B17</f>
        <v>交通便捷度</v>
      </c>
      <c r="R17" s="1505" t="s">
        <v>8</v>
      </c>
      <c r="S17" s="1506">
        <f>F17</f>
        <v>100</v>
      </c>
      <c r="T17" s="1505" t="s">
        <v>8</v>
      </c>
      <c r="U17" s="1506">
        <f>H17</f>
        <v>100</v>
      </c>
      <c r="V17" s="1505" t="s">
        <v>8</v>
      </c>
      <c r="W17" s="1506">
        <f>J17</f>
        <v>100</v>
      </c>
      <c r="X17" s="1499"/>
      <c r="Y17" s="3662"/>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62"/>
      <c r="Q18" s="1504"/>
      <c r="R18" s="1505"/>
      <c r="S18" s="1506"/>
      <c r="T18" s="1505"/>
      <c r="U18" s="1506"/>
      <c r="V18" s="1505"/>
      <c r="W18" s="1506"/>
      <c r="X18" s="1499"/>
      <c r="Y18" s="3662"/>
      <c r="Z18" s="1507"/>
      <c r="AA18" s="1508">
        <v>1</v>
      </c>
      <c r="AB18" s="1508">
        <v>1</v>
      </c>
      <c r="AC18" s="1508">
        <v>1</v>
      </c>
    </row>
    <row r="19" spans="1:29" ht="15">
      <c r="A19" s="525"/>
      <c r="B19" s="2444" t="s">
        <v>2525</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4"/>
      <c r="L19" s="2021"/>
      <c r="M19" s="2013"/>
      <c r="N19" s="2013"/>
      <c r="O19" s="2020"/>
      <c r="P19" s="3662"/>
      <c r="Q19" s="1504" t="str">
        <f>B19</f>
        <v>公共配套设施</v>
      </c>
      <c r="R19" s="1505" t="s">
        <v>8</v>
      </c>
      <c r="S19" s="1506">
        <f>F19</f>
        <v>100</v>
      </c>
      <c r="T19" s="1505" t="s">
        <v>8</v>
      </c>
      <c r="U19" s="1506">
        <f>H19</f>
        <v>100</v>
      </c>
      <c r="V19" s="1505" t="s">
        <v>8</v>
      </c>
      <c r="W19" s="1506">
        <f>J19</f>
        <v>100</v>
      </c>
      <c r="X19" s="1499"/>
      <c r="Y19" s="3662"/>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5"/>
      <c r="L20" s="2021"/>
      <c r="M20" s="2013"/>
      <c r="N20" s="2013"/>
      <c r="O20" s="2020"/>
      <c r="P20" s="3662"/>
      <c r="Q20" s="1504"/>
      <c r="R20" s="1505"/>
      <c r="S20" s="1506"/>
      <c r="T20" s="1505"/>
      <c r="U20" s="1506"/>
      <c r="V20" s="1505"/>
      <c r="W20" s="1506"/>
      <c r="X20" s="1499"/>
      <c r="Y20" s="3662"/>
      <c r="Z20" s="1507"/>
      <c r="AA20" s="1508">
        <v>1</v>
      </c>
      <c r="AB20" s="1508">
        <v>1</v>
      </c>
      <c r="AC20" s="1508">
        <v>1</v>
      </c>
    </row>
    <row r="21" spans="1:29" ht="15">
      <c r="A21" s="525"/>
      <c r="B21" s="2432" t="s">
        <v>2537</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4"/>
      <c r="L21" s="2021"/>
      <c r="M21" s="2013"/>
      <c r="N21" s="2013"/>
      <c r="O21" s="2020"/>
      <c r="P21" s="3662"/>
      <c r="Q21" s="2426" t="str">
        <f>B21</f>
        <v>基础设施水平</v>
      </c>
      <c r="R21" s="1505" t="s">
        <v>8</v>
      </c>
      <c r="S21" s="1506">
        <f>F21</f>
        <v>100</v>
      </c>
      <c r="T21" s="1505" t="s">
        <v>8</v>
      </c>
      <c r="U21" s="1506">
        <f>H21</f>
        <v>100</v>
      </c>
      <c r="V21" s="1505" t="s">
        <v>8</v>
      </c>
      <c r="W21" s="1506">
        <f>J21</f>
        <v>100</v>
      </c>
      <c r="X21" s="2428"/>
      <c r="Y21" s="3662"/>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662"/>
      <c r="Q22" s="2426"/>
      <c r="R22" s="1505"/>
      <c r="S22" s="1506"/>
      <c r="T22" s="1505"/>
      <c r="U22" s="1506"/>
      <c r="V22" s="1505"/>
      <c r="W22" s="1506"/>
      <c r="X22" s="2428"/>
      <c r="Y22" s="3662"/>
      <c r="Z22" s="2427"/>
      <c r="AA22" s="1508">
        <v>1</v>
      </c>
      <c r="AB22" s="1508">
        <v>1</v>
      </c>
      <c r="AC22" s="1508">
        <v>1</v>
      </c>
    </row>
    <row r="23" spans="1:29" ht="15">
      <c r="A23" s="525"/>
      <c r="B23" s="859" t="s">
        <v>771</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4"/>
      <c r="L23" s="2021"/>
      <c r="M23" s="2013"/>
      <c r="N23" s="2013"/>
      <c r="O23" s="2020"/>
      <c r="P23" s="3662"/>
      <c r="Q23" s="1504" t="str">
        <f>B23</f>
        <v>环境质量</v>
      </c>
      <c r="R23" s="1505" t="s">
        <v>8</v>
      </c>
      <c r="S23" s="1506">
        <f>F23</f>
        <v>100</v>
      </c>
      <c r="T23" s="1505" t="s">
        <v>8</v>
      </c>
      <c r="U23" s="1506">
        <f>H23</f>
        <v>100</v>
      </c>
      <c r="V23" s="1505" t="s">
        <v>8</v>
      </c>
      <c r="W23" s="1506">
        <f>J23</f>
        <v>100</v>
      </c>
      <c r="X23" s="1499"/>
      <c r="Y23" s="3662"/>
      <c r="Z23" s="1507" t="str">
        <f>Q23</f>
        <v>环境质量</v>
      </c>
      <c r="AA23" s="1508">
        <f t="shared" si="3"/>
        <v>1</v>
      </c>
      <c r="AB23" s="1508">
        <f t="shared" si="4"/>
        <v>1</v>
      </c>
      <c r="AC23" s="1508">
        <f t="shared" si="5"/>
        <v>1</v>
      </c>
    </row>
    <row r="24" spans="1:29" ht="15">
      <c r="A24" s="525"/>
      <c r="B24" s="908"/>
      <c r="C24" s="569"/>
      <c r="D24" s="548"/>
      <c r="E24" s="549"/>
      <c r="F24" s="550"/>
      <c r="G24" s="551"/>
      <c r="H24" s="548"/>
      <c r="I24" s="549"/>
      <c r="J24" s="548"/>
      <c r="K24" s="885"/>
      <c r="L24" s="2021"/>
      <c r="M24" s="2013"/>
      <c r="N24" s="2013"/>
      <c r="O24" s="2020"/>
      <c r="P24" s="3662"/>
      <c r="Q24" s="1504"/>
      <c r="R24" s="1505"/>
      <c r="S24" s="1506"/>
      <c r="T24" s="1505"/>
      <c r="U24" s="1506"/>
      <c r="V24" s="1505"/>
      <c r="W24" s="1506"/>
      <c r="X24" s="1499"/>
      <c r="Y24" s="3662"/>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662"/>
      <c r="Q25" s="1504">
        <f>B25</f>
        <v>111</v>
      </c>
      <c r="R25" s="1505" t="s">
        <v>8</v>
      </c>
      <c r="S25" s="1506">
        <f>F25</f>
        <v>100</v>
      </c>
      <c r="T25" s="1505" t="s">
        <v>8</v>
      </c>
      <c r="U25" s="1506">
        <f>H25</f>
        <v>100</v>
      </c>
      <c r="V25" s="1505" t="s">
        <v>8</v>
      </c>
      <c r="W25" s="1506">
        <f>J25</f>
        <v>100</v>
      </c>
      <c r="X25" s="1499"/>
      <c r="Y25" s="3662"/>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662"/>
      <c r="Q26" s="1504">
        <f t="shared" ref="Q26:Q40" si="11">B26</f>
        <v>111</v>
      </c>
      <c r="R26" s="1505" t="s">
        <v>8</v>
      </c>
      <c r="S26" s="1506">
        <f>F26</f>
        <v>100</v>
      </c>
      <c r="T26" s="1505" t="s">
        <v>8</v>
      </c>
      <c r="U26" s="1506">
        <f>H26</f>
        <v>100</v>
      </c>
      <c r="V26" s="1505" t="s">
        <v>8</v>
      </c>
      <c r="W26" s="1506">
        <f>J26</f>
        <v>100</v>
      </c>
      <c r="X26" s="1499"/>
      <c r="Y26" s="3662"/>
      <c r="Z26" s="1507">
        <f>Q26</f>
        <v>111</v>
      </c>
      <c r="AA26" s="1508">
        <f t="shared" si="3"/>
        <v>1</v>
      </c>
      <c r="AB26" s="1508">
        <f t="shared" si="4"/>
        <v>1</v>
      </c>
      <c r="AC26" s="1508">
        <f t="shared" si="5"/>
        <v>1</v>
      </c>
    </row>
    <row r="27" spans="1:29" s="1200"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662"/>
      <c r="Q27" s="1131">
        <f t="shared" si="11"/>
        <v>111</v>
      </c>
      <c r="R27" s="1500" t="s">
        <v>8</v>
      </c>
      <c r="S27" s="1501">
        <f>F27</f>
        <v>100</v>
      </c>
      <c r="T27" s="1500" t="s">
        <v>8</v>
      </c>
      <c r="U27" s="1501">
        <f>H27</f>
        <v>100</v>
      </c>
      <c r="V27" s="1500" t="s">
        <v>8</v>
      </c>
      <c r="W27" s="1501">
        <f>J27</f>
        <v>100</v>
      </c>
      <c r="X27" s="1502"/>
      <c r="Y27" s="3662"/>
      <c r="Z27" s="1130">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662"/>
      <c r="Q28" s="1504">
        <f t="shared" si="11"/>
        <v>111</v>
      </c>
      <c r="R28" s="1505" t="s">
        <v>8</v>
      </c>
      <c r="S28" s="1506">
        <f t="shared" ref="S28:S40" si="12">F28</f>
        <v>100</v>
      </c>
      <c r="T28" s="1505" t="s">
        <v>8</v>
      </c>
      <c r="U28" s="1506">
        <f t="shared" ref="U28:U40" si="13">H28</f>
        <v>100</v>
      </c>
      <c r="V28" s="1505" t="s">
        <v>8</v>
      </c>
      <c r="W28" s="1506">
        <f t="shared" ref="W28:W40" si="14">J28</f>
        <v>100</v>
      </c>
      <c r="X28" s="1499"/>
      <c r="Y28" s="3662"/>
      <c r="Z28" s="1507">
        <f t="shared" ref="Z28:Z40" si="15">Q28</f>
        <v>111</v>
      </c>
      <c r="AA28" s="1508">
        <f t="shared" si="3"/>
        <v>1</v>
      </c>
      <c r="AB28" s="1508">
        <f t="shared" si="4"/>
        <v>1</v>
      </c>
      <c r="AC28" s="1508">
        <f t="shared" si="5"/>
        <v>1</v>
      </c>
    </row>
    <row r="29" spans="1:29" ht="15">
      <c r="A29" s="2621" t="s">
        <v>2732</v>
      </c>
      <c r="B29" s="169" t="s">
        <v>773</v>
      </c>
      <c r="C29" s="902"/>
      <c r="D29" s="590">
        <v>100</v>
      </c>
      <c r="E29" s="902"/>
      <c r="F29" s="568">
        <f>SUMIF(88:88,E29,89:89)-SUMIF(88:88,C29,89:89)+100</f>
        <v>100</v>
      </c>
      <c r="G29" s="902"/>
      <c r="H29" s="533">
        <f>SUMIF(88:88,G29,89:89)-SUMIF(88:88,C29,89:89)+100</f>
        <v>100</v>
      </c>
      <c r="I29" s="902"/>
      <c r="J29" s="590">
        <f>SUMIF(88:88,I29,89:89)-SUMIF(88:88,C29,89:89)+100</f>
        <v>100</v>
      </c>
      <c r="K29" s="577"/>
      <c r="L29" s="2021"/>
      <c r="M29" s="2013"/>
      <c r="N29" s="2013"/>
      <c r="O29" s="2020"/>
      <c r="P29" s="3663" t="s">
        <v>544</v>
      </c>
      <c r="Q29" s="1504" t="str">
        <f t="shared" si="11"/>
        <v>建筑类型</v>
      </c>
      <c r="R29" s="1505" t="s">
        <v>8</v>
      </c>
      <c r="S29" s="1506">
        <f t="shared" si="12"/>
        <v>100</v>
      </c>
      <c r="T29" s="1505" t="s">
        <v>8</v>
      </c>
      <c r="U29" s="1506">
        <f t="shared" si="13"/>
        <v>100</v>
      </c>
      <c r="V29" s="1505" t="s">
        <v>8</v>
      </c>
      <c r="W29" s="1506">
        <f t="shared" si="14"/>
        <v>100</v>
      </c>
      <c r="X29" s="1499"/>
      <c r="Y29" s="3664" t="s">
        <v>544</v>
      </c>
      <c r="Z29" s="1507" t="str">
        <f t="shared" si="15"/>
        <v>建筑类型</v>
      </c>
      <c r="AA29" s="1508">
        <f t="shared" si="3"/>
        <v>1</v>
      </c>
      <c r="AB29" s="1508">
        <f t="shared" si="4"/>
        <v>1</v>
      </c>
      <c r="AC29" s="1508">
        <f t="shared" si="5"/>
        <v>1</v>
      </c>
    </row>
    <row r="30" spans="1:29" s="1290"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664"/>
      <c r="Q30" s="1533" t="str">
        <f t="shared" si="11"/>
        <v>项目建筑规模</v>
      </c>
      <c r="R30" s="1509" t="s">
        <v>8</v>
      </c>
      <c r="S30" s="1510" t="e">
        <f t="shared" si="12"/>
        <v>#N/A</v>
      </c>
      <c r="T30" s="1509" t="s">
        <v>8</v>
      </c>
      <c r="U30" s="1510" t="e">
        <f t="shared" si="13"/>
        <v>#N/A</v>
      </c>
      <c r="V30" s="1509" t="s">
        <v>8</v>
      </c>
      <c r="W30" s="1510" t="e">
        <f t="shared" si="14"/>
        <v>#N/A</v>
      </c>
      <c r="X30" s="1511"/>
      <c r="Y30" s="3664"/>
      <c r="Z30" s="1512" t="str">
        <f t="shared" si="15"/>
        <v>项目建筑规模</v>
      </c>
      <c r="AA30" s="1508" t="e">
        <f t="shared" si="3"/>
        <v>#N/A</v>
      </c>
      <c r="AB30" s="1508" t="e">
        <f t="shared" si="4"/>
        <v>#N/A</v>
      </c>
      <c r="AC30" s="1508"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664"/>
      <c r="Q31" s="1504" t="str">
        <f t="shared" si="11"/>
        <v>建筑结构</v>
      </c>
      <c r="R31" s="1505" t="s">
        <v>8</v>
      </c>
      <c r="S31" s="1506">
        <f t="shared" si="12"/>
        <v>100</v>
      </c>
      <c r="T31" s="1505" t="s">
        <v>8</v>
      </c>
      <c r="U31" s="1506">
        <f t="shared" si="13"/>
        <v>100</v>
      </c>
      <c r="V31" s="1505" t="s">
        <v>8</v>
      </c>
      <c r="W31" s="1506">
        <f t="shared" si="14"/>
        <v>100</v>
      </c>
      <c r="X31" s="1499"/>
      <c r="Y31" s="3664"/>
      <c r="Z31" s="1507" t="str">
        <f t="shared" si="15"/>
        <v>建筑结构</v>
      </c>
      <c r="AA31" s="1508">
        <f t="shared" si="3"/>
        <v>1</v>
      </c>
      <c r="AB31" s="1508">
        <f t="shared" si="4"/>
        <v>1</v>
      </c>
      <c r="AC31" s="1508">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664"/>
      <c r="Q32" s="1504" t="str">
        <f t="shared" si="11"/>
        <v>公共部分装修</v>
      </c>
      <c r="R32" s="1505" t="s">
        <v>8</v>
      </c>
      <c r="S32" s="1506">
        <f t="shared" si="12"/>
        <v>100</v>
      </c>
      <c r="T32" s="1505" t="s">
        <v>8</v>
      </c>
      <c r="U32" s="1506">
        <f t="shared" si="13"/>
        <v>100</v>
      </c>
      <c r="V32" s="1505" t="s">
        <v>8</v>
      </c>
      <c r="W32" s="1506">
        <f t="shared" si="14"/>
        <v>100</v>
      </c>
      <c r="X32" s="1499"/>
      <c r="Y32" s="3664"/>
      <c r="Z32" s="1507" t="str">
        <f t="shared" si="15"/>
        <v>公共部分装修</v>
      </c>
      <c r="AA32" s="1508">
        <f t="shared" si="3"/>
        <v>1</v>
      </c>
      <c r="AB32" s="1508">
        <f t="shared" si="4"/>
        <v>1</v>
      </c>
      <c r="AC32" s="1508">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664"/>
      <c r="Q33" s="1504" t="str">
        <f t="shared" si="11"/>
        <v>成新度</v>
      </c>
      <c r="R33" s="1505" t="s">
        <v>8</v>
      </c>
      <c r="S33" s="1506" t="e">
        <f t="shared" si="12"/>
        <v>#N/A</v>
      </c>
      <c r="T33" s="1505" t="s">
        <v>8</v>
      </c>
      <c r="U33" s="1506" t="e">
        <f t="shared" si="13"/>
        <v>#N/A</v>
      </c>
      <c r="V33" s="1505" t="s">
        <v>8</v>
      </c>
      <c r="W33" s="1506" t="e">
        <f t="shared" si="14"/>
        <v>#N/A</v>
      </c>
      <c r="X33" s="1499"/>
      <c r="Y33" s="3664"/>
      <c r="Z33" s="1507" t="str">
        <f t="shared" si="15"/>
        <v>成新度</v>
      </c>
      <c r="AA33" s="1508" t="e">
        <f t="shared" si="3"/>
        <v>#N/A</v>
      </c>
      <c r="AB33" s="1508" t="e">
        <f t="shared" si="4"/>
        <v>#N/A</v>
      </c>
      <c r="AC33" s="1508" t="e">
        <f t="shared" si="5"/>
        <v>#N/A</v>
      </c>
    </row>
    <row r="34" spans="1:29" s="1200"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664"/>
      <c r="Q34" s="1131" t="str">
        <f t="shared" si="11"/>
        <v>物业管理</v>
      </c>
      <c r="R34" s="1500" t="s">
        <v>8</v>
      </c>
      <c r="S34" s="1501">
        <f t="shared" si="12"/>
        <v>100</v>
      </c>
      <c r="T34" s="1500" t="s">
        <v>8</v>
      </c>
      <c r="U34" s="1501">
        <f t="shared" si="13"/>
        <v>100</v>
      </c>
      <c r="V34" s="1500" t="s">
        <v>8</v>
      </c>
      <c r="W34" s="1501">
        <f t="shared" si="14"/>
        <v>100</v>
      </c>
      <c r="X34" s="1502"/>
      <c r="Y34" s="3664"/>
      <c r="Z34" s="1130" t="str">
        <f t="shared" si="15"/>
        <v>物业管理</v>
      </c>
      <c r="AA34" s="1503">
        <f t="shared" si="3"/>
        <v>1</v>
      </c>
      <c r="AB34" s="1503">
        <f t="shared" si="4"/>
        <v>1</v>
      </c>
      <c r="AC34" s="1503">
        <f t="shared" si="5"/>
        <v>1</v>
      </c>
    </row>
    <row r="35" spans="1:29" ht="15">
      <c r="A35" s="587"/>
      <c r="B35" s="1806"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664" t="s">
        <v>544</v>
      </c>
      <c r="Q35" s="1504" t="str">
        <f t="shared" si="11"/>
        <v>市政基础设施</v>
      </c>
      <c r="R35" s="1505" t="s">
        <v>8</v>
      </c>
      <c r="S35" s="1506">
        <f t="shared" si="12"/>
        <v>100</v>
      </c>
      <c r="T35" s="1505" t="s">
        <v>8</v>
      </c>
      <c r="U35" s="1506">
        <f t="shared" si="13"/>
        <v>100</v>
      </c>
      <c r="V35" s="1505" t="s">
        <v>8</v>
      </c>
      <c r="W35" s="1506">
        <f t="shared" si="14"/>
        <v>100</v>
      </c>
      <c r="X35" s="1499"/>
      <c r="Y35" s="3664" t="s">
        <v>544</v>
      </c>
      <c r="Z35" s="1507" t="str">
        <f t="shared" si="15"/>
        <v>市政基础设施</v>
      </c>
      <c r="AA35" s="1508">
        <f t="shared" si="3"/>
        <v>1</v>
      </c>
      <c r="AB35" s="1508">
        <f t="shared" si="4"/>
        <v>1</v>
      </c>
      <c r="AC35" s="1508">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664"/>
      <c r="Q36" s="1504" t="str">
        <f t="shared" si="11"/>
        <v>内部装修</v>
      </c>
      <c r="R36" s="1505" t="s">
        <v>8</v>
      </c>
      <c r="S36" s="1506">
        <f t="shared" si="12"/>
        <v>100</v>
      </c>
      <c r="T36" s="1505" t="s">
        <v>8</v>
      </c>
      <c r="U36" s="1506">
        <f t="shared" si="13"/>
        <v>100</v>
      </c>
      <c r="V36" s="1505" t="s">
        <v>8</v>
      </c>
      <c r="W36" s="1506">
        <f t="shared" si="14"/>
        <v>100</v>
      </c>
      <c r="X36" s="1499"/>
      <c r="Y36" s="3664"/>
      <c r="Z36" s="1507" t="str">
        <f t="shared" si="15"/>
        <v>内部装修</v>
      </c>
      <c r="AA36" s="1508">
        <f t="shared" si="3"/>
        <v>1</v>
      </c>
      <c r="AB36" s="1508">
        <f t="shared" si="4"/>
        <v>1</v>
      </c>
      <c r="AC36" s="1508">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664"/>
      <c r="Q37" s="1504" t="str">
        <f t="shared" si="11"/>
        <v>内部装修状况</v>
      </c>
      <c r="R37" s="1505" t="s">
        <v>8</v>
      </c>
      <c r="S37" s="1506">
        <f t="shared" si="12"/>
        <v>100</v>
      </c>
      <c r="T37" s="1505" t="s">
        <v>8</v>
      </c>
      <c r="U37" s="1506">
        <f t="shared" si="13"/>
        <v>100</v>
      </c>
      <c r="V37" s="1505" t="s">
        <v>8</v>
      </c>
      <c r="W37" s="1506">
        <f t="shared" si="14"/>
        <v>100</v>
      </c>
      <c r="X37" s="1499"/>
      <c r="Y37" s="3664"/>
      <c r="Z37" s="1507" t="str">
        <f t="shared" si="15"/>
        <v>内部装修状况</v>
      </c>
      <c r="AA37" s="1508">
        <f t="shared" si="3"/>
        <v>1</v>
      </c>
      <c r="AB37" s="1508">
        <f t="shared" si="4"/>
        <v>1</v>
      </c>
      <c r="AC37" s="1508">
        <f t="shared" si="5"/>
        <v>1</v>
      </c>
    </row>
    <row r="38" spans="1:29" s="1290"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664"/>
      <c r="Q38" s="1533">
        <f t="shared" si="11"/>
        <v>111</v>
      </c>
      <c r="R38" s="1509" t="s">
        <v>8</v>
      </c>
      <c r="S38" s="1510">
        <f t="shared" si="12"/>
        <v>100</v>
      </c>
      <c r="T38" s="1509" t="s">
        <v>8</v>
      </c>
      <c r="U38" s="1510">
        <f t="shared" si="13"/>
        <v>100</v>
      </c>
      <c r="V38" s="1509" t="s">
        <v>8</v>
      </c>
      <c r="W38" s="1510">
        <f t="shared" si="14"/>
        <v>100</v>
      </c>
      <c r="X38" s="1511"/>
      <c r="Y38" s="3664"/>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664"/>
      <c r="Q39" s="1504">
        <f t="shared" si="11"/>
        <v>111</v>
      </c>
      <c r="R39" s="1505" t="s">
        <v>8</v>
      </c>
      <c r="S39" s="1506">
        <f t="shared" si="12"/>
        <v>100</v>
      </c>
      <c r="T39" s="1505" t="s">
        <v>8</v>
      </c>
      <c r="U39" s="1506">
        <f t="shared" si="13"/>
        <v>100</v>
      </c>
      <c r="V39" s="1505" t="s">
        <v>8</v>
      </c>
      <c r="W39" s="1506">
        <f t="shared" si="14"/>
        <v>100</v>
      </c>
      <c r="X39" s="1499"/>
      <c r="Y39" s="3664"/>
      <c r="Z39" s="1507">
        <f t="shared" si="15"/>
        <v>111</v>
      </c>
      <c r="AA39" s="1508">
        <f t="shared" si="3"/>
        <v>1</v>
      </c>
      <c r="AB39" s="1508">
        <f t="shared" si="4"/>
        <v>1</v>
      </c>
      <c r="AC39" s="1508">
        <f t="shared" si="5"/>
        <v>1</v>
      </c>
    </row>
    <row r="40" spans="1:29" ht="15.75" thickBot="1">
      <c r="A40" s="872"/>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667"/>
      <c r="Q40" s="1504">
        <f t="shared" si="11"/>
        <v>111</v>
      </c>
      <c r="R40" s="1505" t="s">
        <v>8</v>
      </c>
      <c r="S40" s="1506">
        <f t="shared" si="12"/>
        <v>100</v>
      </c>
      <c r="T40" s="1505" t="s">
        <v>8</v>
      </c>
      <c r="U40" s="1506">
        <f t="shared" si="13"/>
        <v>100</v>
      </c>
      <c r="V40" s="1505" t="s">
        <v>8</v>
      </c>
      <c r="W40" s="1506">
        <f t="shared" si="14"/>
        <v>100</v>
      </c>
      <c r="X40" s="1499"/>
      <c r="Y40" s="3667"/>
      <c r="Z40" s="1507">
        <f t="shared" si="15"/>
        <v>111</v>
      </c>
      <c r="AA40" s="1508">
        <f t="shared" si="3"/>
        <v>1</v>
      </c>
      <c r="AB40" s="1508">
        <f t="shared" si="4"/>
        <v>1</v>
      </c>
      <c r="AC40" s="1508">
        <f t="shared" si="5"/>
        <v>1</v>
      </c>
    </row>
    <row r="41" spans="1:29" ht="15">
      <c r="A41" s="600" t="s">
        <v>729</v>
      </c>
      <c r="B41" s="873"/>
      <c r="C41" s="2467" t="s">
        <v>1</v>
      </c>
      <c r="D41" s="2468"/>
      <c r="E41" s="2469"/>
      <c r="F41" s="2470"/>
      <c r="G41" s="2471"/>
      <c r="H41" s="2472"/>
      <c r="I41" s="2469"/>
      <c r="J41" s="2472"/>
      <c r="K41" s="1538"/>
      <c r="L41" s="2023"/>
      <c r="M41" s="2024"/>
      <c r="N41" s="2013"/>
      <c r="O41" s="2024"/>
      <c r="P41" s="3627" t="str">
        <f>A41</f>
        <v>成交单价（元/平方米）</v>
      </c>
      <c r="Q41" s="3627"/>
      <c r="R41" s="3666">
        <f>E41</f>
        <v>0</v>
      </c>
      <c r="S41" s="3666"/>
      <c r="T41" s="3666">
        <f>G41</f>
        <v>0</v>
      </c>
      <c r="U41" s="3666"/>
      <c r="V41" s="3666">
        <f>I41</f>
        <v>0</v>
      </c>
      <c r="W41" s="3666"/>
      <c r="X41" s="1494"/>
      <c r="Y41" s="1513"/>
      <c r="Z41" s="1494"/>
      <c r="AA41" s="1494"/>
      <c r="AB41" s="1494"/>
      <c r="AC41" s="1494"/>
    </row>
    <row r="42" spans="1:29" ht="15.75" thickBot="1">
      <c r="A42" s="608" t="s">
        <v>2737</v>
      </c>
      <c r="B42" s="874"/>
      <c r="C42" s="2473" t="e">
        <f>R43</f>
        <v>#DIV/0!</v>
      </c>
      <c r="D42" s="3009" t="s">
        <v>2949</v>
      </c>
      <c r="E42" s="2474" t="e">
        <f>R42</f>
        <v>#DIV/0!</v>
      </c>
      <c r="F42" s="3010"/>
      <c r="G42" s="2473" t="e">
        <f>T42</f>
        <v>#DIV/0!</v>
      </c>
      <c r="H42" s="3010"/>
      <c r="I42" s="2474" t="e">
        <f>V42</f>
        <v>#DIV/0!</v>
      </c>
      <c r="J42" s="3010"/>
      <c r="K42" s="3018">
        <f>F42+H42+J42</f>
        <v>0</v>
      </c>
      <c r="L42" s="2023"/>
      <c r="M42" s="2024"/>
      <c r="N42" s="2013"/>
      <c r="O42" s="2024"/>
      <c r="P42" s="3627" t="str">
        <f>A42</f>
        <v>比较价格（元/平方米）</v>
      </c>
      <c r="Q42" s="3627"/>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494"/>
      <c r="Y42" s="1494"/>
      <c r="Z42" s="1494"/>
      <c r="AA42" s="1494"/>
      <c r="AB42" s="1494"/>
      <c r="AC42" s="1494"/>
    </row>
    <row r="43" spans="1:29" ht="15.75" thickBot="1">
      <c r="A43" s="612" t="s">
        <v>2881</v>
      </c>
      <c r="B43" s="613"/>
      <c r="C43" s="2475" t="e">
        <f>R43</f>
        <v>#DIV/0!</v>
      </c>
      <c r="D43" s="2475"/>
      <c r="E43" s="2475"/>
      <c r="F43" s="2475"/>
      <c r="G43" s="2475"/>
      <c r="H43" s="2475"/>
      <c r="I43" s="2475"/>
      <c r="J43" s="2475"/>
      <c r="K43" s="1539"/>
      <c r="L43" s="2023"/>
      <c r="M43" s="2024"/>
      <c r="N43" s="2024"/>
      <c r="O43" s="2024"/>
      <c r="P43" s="3624" t="str">
        <f>A43</f>
        <v>估价对象XX用房的比较价格（楼面单价，元/平方米）</v>
      </c>
      <c r="Q43" s="3625"/>
      <c r="R43" s="3665" t="e">
        <f>IF(F1="售价",ROUND(IF(D42="简单平均",AVERAGE(R42:V42),R42*F42+T42*H42+V42*J42),0),ROUND(IF(D42="简单平均",AVERAGE(R42:V42),R42*F42+T42*H42+V42*J42),1))</f>
        <v>#DIV/0!</v>
      </c>
      <c r="S43" s="3665"/>
      <c r="T43" s="3665"/>
      <c r="U43" s="3665"/>
      <c r="V43" s="3665"/>
      <c r="W43" s="3665"/>
      <c r="X43" s="1494"/>
      <c r="Y43" s="1494"/>
      <c r="Z43" s="1494"/>
      <c r="AA43" s="1494"/>
      <c r="AB43" s="1494"/>
      <c r="AC43" s="1494"/>
    </row>
    <row r="44" spans="1:29">
      <c r="A44" s="3207"/>
      <c r="B44" s="3207"/>
      <c r="C44" s="3207"/>
      <c r="D44" s="3207"/>
      <c r="E44" s="3207"/>
      <c r="F44" s="3207"/>
      <c r="G44" s="3209"/>
      <c r="H44" s="3207"/>
      <c r="I44" s="3207"/>
      <c r="J44" s="3207"/>
      <c r="K44" s="3210"/>
      <c r="L44" s="2028"/>
      <c r="M44" s="2024"/>
      <c r="N44" s="2024"/>
      <c r="O44" s="2024"/>
      <c r="P44" s="2024"/>
      <c r="Q44" s="2024"/>
      <c r="R44" s="2024"/>
      <c r="S44" s="2024"/>
      <c r="T44" s="2024"/>
      <c r="U44" s="2024"/>
      <c r="V44" s="2024"/>
      <c r="W44" s="2024"/>
      <c r="X44" s="2024"/>
      <c r="Y44" s="2024"/>
      <c r="Z44" s="2024"/>
      <c r="AA44" s="2024"/>
      <c r="AB44" s="2024"/>
      <c r="AC44" s="2024"/>
    </row>
    <row r="45" spans="1:29">
      <c r="A45" s="3207"/>
      <c r="B45" s="3207"/>
      <c r="C45" s="3207"/>
      <c r="D45" s="3207"/>
      <c r="E45" s="3207"/>
      <c r="F45" s="3207"/>
      <c r="G45" s="3207"/>
      <c r="H45" s="3207"/>
      <c r="I45" s="3207"/>
      <c r="J45" s="3207"/>
      <c r="K45" s="3210"/>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7"/>
      <c r="B46" s="3207"/>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0"/>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7"/>
      <c r="B47" s="3207"/>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0"/>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08"/>
      <c r="B48" s="3208"/>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1"/>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5">
      <c r="A52" s="636" t="s">
        <v>523</v>
      </c>
      <c r="B52" s="637"/>
      <c r="C52" s="2516" t="str">
        <f>YEAR(C7)&amp;"-"&amp;MONTH(C7)</f>
        <v>2021-12</v>
      </c>
      <c r="D52" s="2518">
        <f>EDATE(C52,-1)</f>
        <v>44501</v>
      </c>
      <c r="E52" s="2518">
        <f t="shared" ref="E52:O52" si="16">EDATE(D52,-1)</f>
        <v>44470</v>
      </c>
      <c r="F52" s="2518">
        <f t="shared" si="16"/>
        <v>44440</v>
      </c>
      <c r="G52" s="2518">
        <f t="shared" si="16"/>
        <v>44409</v>
      </c>
      <c r="H52" s="2518">
        <f t="shared" si="16"/>
        <v>44378</v>
      </c>
      <c r="I52" s="2518">
        <f t="shared" si="16"/>
        <v>44348</v>
      </c>
      <c r="J52" s="2518">
        <f t="shared" si="16"/>
        <v>44317</v>
      </c>
      <c r="K52" s="2518">
        <f t="shared" si="16"/>
        <v>44287</v>
      </c>
      <c r="L52" s="2518">
        <f t="shared" si="16"/>
        <v>44256</v>
      </c>
      <c r="M52" s="2518">
        <f t="shared" si="16"/>
        <v>44228</v>
      </c>
      <c r="N52" s="2518">
        <f t="shared" si="16"/>
        <v>44197</v>
      </c>
      <c r="O52" s="2518">
        <f t="shared" si="16"/>
        <v>44166</v>
      </c>
      <c r="P52" s="2038"/>
      <c r="Q52" s="2039"/>
      <c r="R52" s="2039"/>
      <c r="S52" s="2039"/>
      <c r="T52" s="2039"/>
      <c r="U52" s="2039"/>
      <c r="V52" s="2039"/>
      <c r="W52" s="2039"/>
      <c r="X52" s="2039"/>
      <c r="Y52" s="2039"/>
      <c r="Z52" s="2039"/>
      <c r="AA52" s="2039"/>
      <c r="AB52" s="2039"/>
      <c r="AC52" s="2039"/>
    </row>
    <row r="53" spans="1:29" s="1200"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0"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0"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0"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730</v>
      </c>
      <c r="D59" s="665" t="s">
        <v>731</v>
      </c>
      <c r="E59" s="665" t="s">
        <v>732</v>
      </c>
      <c r="F59" s="665" t="s">
        <v>733</v>
      </c>
      <c r="G59" s="665" t="s">
        <v>734</v>
      </c>
      <c r="H59" s="665" t="s">
        <v>735</v>
      </c>
      <c r="I59" s="665" t="s">
        <v>736</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0"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0"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0"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0"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0"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0"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2536</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2537</v>
      </c>
      <c r="C76" s="2439" t="s">
        <v>2538</v>
      </c>
      <c r="D76" s="2439" t="s">
        <v>2539</v>
      </c>
      <c r="E76" s="2439" t="s">
        <v>2540</v>
      </c>
      <c r="F76" s="2439" t="s">
        <v>2541</v>
      </c>
      <c r="G76" s="2439" t="s">
        <v>2542</v>
      </c>
      <c r="H76" s="921"/>
      <c r="I76" s="921"/>
      <c r="J76" s="921"/>
      <c r="K76" s="921"/>
      <c r="L76" s="921"/>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777</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0" customFormat="1" ht="15.75" thickTop="1">
      <c r="A80" s="700"/>
      <c r="B80" s="664">
        <f>B25</f>
        <v>111</v>
      </c>
      <c r="C80" s="679"/>
      <c r="D80" s="679"/>
      <c r="E80" s="679"/>
      <c r="F80" s="679"/>
      <c r="G80" s="679"/>
      <c r="H80" s="679"/>
      <c r="I80" s="679"/>
      <c r="J80" s="679"/>
      <c r="K80" s="679"/>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0" customFormat="1" ht="15.75" thickTop="1">
      <c r="A82" s="700"/>
      <c r="B82" s="664">
        <f>B26</f>
        <v>111</v>
      </c>
      <c r="C82" s="679"/>
      <c r="D82" s="679"/>
      <c r="E82" s="679"/>
      <c r="F82" s="679"/>
      <c r="G82" s="679"/>
      <c r="H82" s="679"/>
      <c r="I82" s="679"/>
      <c r="J82" s="679"/>
      <c r="K82" s="679"/>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0" customFormat="1" ht="15.75" thickTop="1">
      <c r="A84" s="678"/>
      <c r="B84" s="664">
        <f>B27</f>
        <v>111</v>
      </c>
      <c r="C84" s="679"/>
      <c r="D84" s="679"/>
      <c r="E84" s="679"/>
      <c r="F84" s="679"/>
      <c r="G84" s="679"/>
      <c r="H84" s="679"/>
      <c r="I84" s="679"/>
      <c r="J84" s="679"/>
      <c r="K84" s="679"/>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79"/>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740</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742</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744</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9"/>
      <c r="B100" s="664" t="s">
        <v>746</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0"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2535</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748</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3" t="s">
        <v>784</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0"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79"/>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4"/>
    <col min="36" max="16384" width="9" style="1201"/>
  </cols>
  <sheetData>
    <row r="1" spans="1:45" s="254" customFormat="1" ht="14.25" customHeight="1" thickBot="1">
      <c r="A1" s="362"/>
      <c r="B1" s="2111" t="s">
        <v>2289</v>
      </c>
      <c r="C1" s="3760" t="s">
        <v>2290</v>
      </c>
      <c r="D1" s="3761"/>
      <c r="E1" s="3761"/>
      <c r="F1" s="3761"/>
      <c r="G1" s="3761"/>
      <c r="H1" s="3761"/>
      <c r="I1" s="3761"/>
      <c r="J1" s="3761"/>
      <c r="K1" s="3761"/>
      <c r="L1" s="3761"/>
      <c r="M1" s="3761"/>
      <c r="N1" s="3761"/>
      <c r="O1" s="3761"/>
      <c r="P1" s="3761"/>
      <c r="Q1" s="3761"/>
      <c r="R1" s="3761"/>
      <c r="S1" s="3762"/>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5"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2" t="s">
        <v>2874</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4" t="s">
        <v>2873</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4" t="s">
        <v>2872</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3"/>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2" t="s">
        <v>2885</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2" t="s">
        <v>2871</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2" t="s">
        <v>2870</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4"/>
      <c r="C19" s="1899"/>
      <c r="D19" s="1899"/>
      <c r="E19" s="1899"/>
      <c r="F19" s="1899"/>
      <c r="G19" s="1899"/>
      <c r="H19" s="1899"/>
      <c r="I19" s="1899"/>
      <c r="J19" s="1899"/>
      <c r="K19" s="1899"/>
      <c r="L19" s="1899"/>
      <c r="M19" s="1899"/>
      <c r="N19" s="1899"/>
      <c r="O19" s="1899"/>
      <c r="P19" s="1899"/>
      <c r="Q19" s="1899"/>
      <c r="R19" s="2102"/>
      <c r="S19" s="1908"/>
    </row>
    <row r="20" spans="1:45" ht="15.75">
      <c r="A20" s="945" t="s">
        <v>821</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5"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822</v>
      </c>
      <c r="B22" s="52">
        <f>SUM(B24:B10000)</f>
        <v>0</v>
      </c>
      <c r="C22" s="3757" t="s">
        <v>20</v>
      </c>
      <c r="D22" s="3758"/>
      <c r="E22" s="3758"/>
      <c r="F22" s="3758"/>
      <c r="G22" s="3758"/>
      <c r="H22" s="3758"/>
      <c r="I22" s="3758"/>
      <c r="J22" s="3758"/>
      <c r="K22" s="3758"/>
      <c r="L22" s="3758"/>
      <c r="M22" s="3758"/>
      <c r="N22" s="3758"/>
      <c r="O22" s="3758"/>
      <c r="P22" s="3758"/>
      <c r="Q22" s="3759"/>
      <c r="R22" s="483" t="e">
        <f>ROUND(S22*10000/B22,0)</f>
        <v>#DIV/0!</v>
      </c>
      <c r="S22" s="52">
        <f>SUM(S24:S10000)</f>
        <v>0</v>
      </c>
    </row>
    <row r="23" spans="1:45" s="1540" customFormat="1" ht="24">
      <c r="A23" s="17" t="s">
        <v>823</v>
      </c>
      <c r="B23" s="2856" t="s">
        <v>2893</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1" customFormat="1">
      <c r="A24" s="946" t="s">
        <v>827</v>
      </c>
      <c r="B24" s="946"/>
      <c r="C24" s="3269">
        <v>1</v>
      </c>
      <c r="D24" s="3270"/>
      <c r="E24" s="3269">
        <v>1</v>
      </c>
      <c r="F24" s="3270"/>
      <c r="G24" s="3269">
        <v>1</v>
      </c>
      <c r="H24" s="3270"/>
      <c r="I24" s="3269">
        <v>1</v>
      </c>
      <c r="J24" s="3270"/>
      <c r="K24" s="3269">
        <v>1</v>
      </c>
      <c r="L24" s="3270"/>
      <c r="M24" s="3269">
        <v>1</v>
      </c>
      <c r="N24" s="3270"/>
      <c r="O24" s="3269">
        <v>1</v>
      </c>
      <c r="P24" s="3270"/>
      <c r="Q24" s="3269">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3">
        <f>IF(B25="",0,ROUND($R$24*C25*E25*G25*I25*K25*M25*O25*Q25,0))</f>
        <v>0</v>
      </c>
      <c r="S25" s="788">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3">
        <f t="shared" ref="R26:R89" si="20">IF(B26="",0,ROUND($R$24*C26*E26*G26*I26*K26*M26*O26*Q26,0))</f>
        <v>0</v>
      </c>
      <c r="S26" s="788">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3">
        <f t="shared" si="20"/>
        <v>0</v>
      </c>
      <c r="S27" s="788">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3">
        <f t="shared" si="20"/>
        <v>0</v>
      </c>
      <c r="S28" s="788">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3">
        <f t="shared" si="20"/>
        <v>0</v>
      </c>
      <c r="S29" s="788">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3">
        <f t="shared" si="20"/>
        <v>0</v>
      </c>
      <c r="S30" s="788">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3">
        <f t="shared" si="20"/>
        <v>0</v>
      </c>
      <c r="S31" s="788">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3">
        <f t="shared" si="20"/>
        <v>0</v>
      </c>
      <c r="S32" s="788">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3">
        <f t="shared" si="20"/>
        <v>0</v>
      </c>
      <c r="S33" s="788">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3">
        <f t="shared" si="20"/>
        <v>0</v>
      </c>
      <c r="S34" s="788">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3">
        <f t="shared" si="20"/>
        <v>0</v>
      </c>
      <c r="S35" s="788">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3">
        <f t="shared" si="20"/>
        <v>0</v>
      </c>
      <c r="S36" s="788">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3">
        <f t="shared" si="20"/>
        <v>0</v>
      </c>
      <c r="S37" s="788">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3">
        <f t="shared" si="20"/>
        <v>0</v>
      </c>
      <c r="S38" s="788">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3">
        <f t="shared" si="20"/>
        <v>0</v>
      </c>
      <c r="S39" s="788">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3">
        <f t="shared" si="20"/>
        <v>0</v>
      </c>
      <c r="S40" s="788">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3">
        <f t="shared" si="20"/>
        <v>0</v>
      </c>
      <c r="S41" s="788">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3">
        <f t="shared" si="20"/>
        <v>0</v>
      </c>
      <c r="S42" s="788">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3">
        <f t="shared" si="20"/>
        <v>0</v>
      </c>
      <c r="S43" s="788">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3">
        <f t="shared" si="20"/>
        <v>0</v>
      </c>
      <c r="S44" s="788">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3">
        <f t="shared" si="20"/>
        <v>0</v>
      </c>
      <c r="S45" s="788">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3">
        <f t="shared" si="20"/>
        <v>0</v>
      </c>
      <c r="S46" s="788">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3">
        <f t="shared" si="20"/>
        <v>0</v>
      </c>
      <c r="S47" s="788">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3">
        <f t="shared" si="20"/>
        <v>0</v>
      </c>
      <c r="S48" s="788">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3">
        <f t="shared" si="20"/>
        <v>0</v>
      </c>
      <c r="S49" s="788">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3">
        <f t="shared" si="20"/>
        <v>0</v>
      </c>
      <c r="S50" s="788">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3">
        <f t="shared" si="20"/>
        <v>0</v>
      </c>
      <c r="S51" s="788">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3">
        <f t="shared" si="20"/>
        <v>0</v>
      </c>
      <c r="S52" s="788">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3">
        <f t="shared" si="20"/>
        <v>0</v>
      </c>
      <c r="S53" s="788">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3">
        <f t="shared" si="20"/>
        <v>0</v>
      </c>
      <c r="S54" s="788">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3">
        <f t="shared" si="20"/>
        <v>0</v>
      </c>
      <c r="S55" s="788">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3">
        <f t="shared" si="20"/>
        <v>0</v>
      </c>
      <c r="S56" s="788">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3">
        <f t="shared" si="20"/>
        <v>0</v>
      </c>
      <c r="S57" s="788">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3">
        <f t="shared" si="20"/>
        <v>0</v>
      </c>
      <c r="S58" s="788">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3">
        <f t="shared" si="20"/>
        <v>0</v>
      </c>
      <c r="S59" s="788">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3">
        <f t="shared" si="20"/>
        <v>0</v>
      </c>
      <c r="S60" s="788">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3">
        <f t="shared" si="20"/>
        <v>0</v>
      </c>
      <c r="S61" s="788">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3">
        <f t="shared" si="20"/>
        <v>0</v>
      </c>
      <c r="S62" s="788">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3">
        <f t="shared" si="20"/>
        <v>0</v>
      </c>
      <c r="S63" s="788">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3">
        <f t="shared" si="20"/>
        <v>0</v>
      </c>
      <c r="S64" s="788">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3">
        <f t="shared" si="20"/>
        <v>0</v>
      </c>
      <c r="S65" s="788">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3">
        <f t="shared" si="20"/>
        <v>0</v>
      </c>
      <c r="S66" s="788">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3">
        <f t="shared" si="20"/>
        <v>0</v>
      </c>
      <c r="S67" s="788">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3">
        <f t="shared" si="20"/>
        <v>0</v>
      </c>
      <c r="S68" s="788">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3">
        <f t="shared" si="20"/>
        <v>0</v>
      </c>
      <c r="S69" s="788">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3">
        <f t="shared" si="20"/>
        <v>0</v>
      </c>
      <c r="S70" s="788">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3">
        <f t="shared" si="20"/>
        <v>0</v>
      </c>
      <c r="S71" s="788">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3">
        <f t="shared" si="20"/>
        <v>0</v>
      </c>
      <c r="S72" s="788">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3">
        <f t="shared" si="20"/>
        <v>0</v>
      </c>
      <c r="S73" s="788">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3">
        <f t="shared" si="20"/>
        <v>0</v>
      </c>
      <c r="S74" s="788">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3">
        <f t="shared" si="20"/>
        <v>0</v>
      </c>
      <c r="S75" s="788">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3">
        <f t="shared" si="20"/>
        <v>0</v>
      </c>
      <c r="S76" s="788">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3">
        <f t="shared" si="20"/>
        <v>0</v>
      </c>
      <c r="S77" s="788">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3">
        <f t="shared" si="20"/>
        <v>0</v>
      </c>
      <c r="S78" s="788">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3">
        <f t="shared" si="20"/>
        <v>0</v>
      </c>
      <c r="S79" s="788">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3">
        <f t="shared" si="20"/>
        <v>0</v>
      </c>
      <c r="S80" s="788">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3">
        <f t="shared" si="20"/>
        <v>0</v>
      </c>
      <c r="S81" s="788">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3">
        <f t="shared" si="20"/>
        <v>0</v>
      </c>
      <c r="S82" s="788">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3">
        <f t="shared" si="20"/>
        <v>0</v>
      </c>
      <c r="S83" s="788">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3">
        <f t="shared" si="20"/>
        <v>0</v>
      </c>
      <c r="S84" s="788">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3">
        <f t="shared" si="20"/>
        <v>0</v>
      </c>
      <c r="S85" s="788">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3">
        <f t="shared" si="20"/>
        <v>0</v>
      </c>
      <c r="S86" s="788">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3">
        <f t="shared" si="20"/>
        <v>0</v>
      </c>
      <c r="S87" s="788">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3">
        <f t="shared" si="20"/>
        <v>0</v>
      </c>
      <c r="S88" s="788">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3">
        <f t="shared" si="20"/>
        <v>0</v>
      </c>
      <c r="S89" s="788">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3">
        <f t="shared" ref="R90:R153" si="31">IF(B90="",0,ROUND($R$24*C90*E90*G90*I90*K90*M90*O90*Q90,0))</f>
        <v>0</v>
      </c>
      <c r="S90" s="788">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3">
        <f t="shared" si="31"/>
        <v>0</v>
      </c>
      <c r="S91" s="788">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3">
        <f t="shared" si="31"/>
        <v>0</v>
      </c>
      <c r="S92" s="788">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3">
        <f t="shared" si="31"/>
        <v>0</v>
      </c>
      <c r="S93" s="788">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3">
        <f t="shared" si="31"/>
        <v>0</v>
      </c>
      <c r="S94" s="788">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3">
        <f t="shared" si="31"/>
        <v>0</v>
      </c>
      <c r="S95" s="788">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3">
        <f t="shared" si="31"/>
        <v>0</v>
      </c>
      <c r="S96" s="788">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3">
        <f t="shared" si="31"/>
        <v>0</v>
      </c>
      <c r="S97" s="788">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3">
        <f t="shared" si="31"/>
        <v>0</v>
      </c>
      <c r="S98" s="788">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3">
        <f t="shared" si="31"/>
        <v>0</v>
      </c>
      <c r="S99" s="788">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3">
        <f t="shared" si="31"/>
        <v>0</v>
      </c>
      <c r="S100" s="788">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3">
        <f t="shared" si="31"/>
        <v>0</v>
      </c>
      <c r="S101" s="788">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3">
        <f t="shared" si="31"/>
        <v>0</v>
      </c>
      <c r="S102" s="788">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3">
        <f t="shared" si="31"/>
        <v>0</v>
      </c>
      <c r="S103" s="788">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3">
        <f t="shared" si="31"/>
        <v>0</v>
      </c>
      <c r="S104" s="788">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3">
        <f t="shared" si="31"/>
        <v>0</v>
      </c>
      <c r="S105" s="788">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3">
        <f t="shared" si="31"/>
        <v>0</v>
      </c>
      <c r="S106" s="788">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3">
        <f t="shared" si="31"/>
        <v>0</v>
      </c>
      <c r="S107" s="788">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3">
        <f t="shared" si="31"/>
        <v>0</v>
      </c>
      <c r="S108" s="788">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3">
        <f t="shared" si="31"/>
        <v>0</v>
      </c>
      <c r="S109" s="788">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3">
        <f t="shared" si="31"/>
        <v>0</v>
      </c>
      <c r="S110" s="788">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3">
        <f t="shared" si="31"/>
        <v>0</v>
      </c>
      <c r="S111" s="788">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3">
        <f t="shared" si="31"/>
        <v>0</v>
      </c>
      <c r="S112" s="788">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3">
        <f t="shared" si="31"/>
        <v>0</v>
      </c>
      <c r="S113" s="788">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3">
        <f t="shared" si="31"/>
        <v>0</v>
      </c>
      <c r="S114" s="788">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3">
        <f t="shared" si="31"/>
        <v>0</v>
      </c>
      <c r="S115" s="788">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3">
        <f t="shared" si="31"/>
        <v>0</v>
      </c>
      <c r="S116" s="788">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3">
        <f t="shared" si="31"/>
        <v>0</v>
      </c>
      <c r="S117" s="788">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3">
        <f t="shared" si="31"/>
        <v>0</v>
      </c>
      <c r="S118" s="788">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3">
        <f t="shared" si="31"/>
        <v>0</v>
      </c>
      <c r="S119" s="788">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3">
        <f t="shared" si="31"/>
        <v>0</v>
      </c>
      <c r="S120" s="788">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3">
        <f t="shared" si="31"/>
        <v>0</v>
      </c>
      <c r="S121" s="788">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3">
        <f t="shared" si="31"/>
        <v>0</v>
      </c>
      <c r="S122" s="788">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3">
        <f t="shared" si="31"/>
        <v>0</v>
      </c>
      <c r="S123" s="788">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3">
        <f t="shared" si="31"/>
        <v>0</v>
      </c>
      <c r="S124" s="788">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3">
        <f t="shared" si="31"/>
        <v>0</v>
      </c>
      <c r="S125" s="788">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3">
        <f t="shared" si="31"/>
        <v>0</v>
      </c>
      <c r="S126" s="788">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3">
        <f t="shared" si="31"/>
        <v>0</v>
      </c>
      <c r="S127" s="788">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3">
        <f t="shared" si="31"/>
        <v>0</v>
      </c>
      <c r="S128" s="788">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3">
        <f t="shared" si="31"/>
        <v>0</v>
      </c>
      <c r="S129" s="788">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3">
        <f t="shared" si="31"/>
        <v>0</v>
      </c>
      <c r="S130" s="788">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3">
        <f t="shared" si="31"/>
        <v>0</v>
      </c>
      <c r="S131" s="788">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3">
        <f t="shared" si="31"/>
        <v>0</v>
      </c>
      <c r="S132" s="788">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3">
        <f t="shared" si="31"/>
        <v>0</v>
      </c>
      <c r="S133" s="788">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3">
        <f t="shared" si="31"/>
        <v>0</v>
      </c>
      <c r="S134" s="788">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3">
        <f t="shared" si="31"/>
        <v>0</v>
      </c>
      <c r="S135" s="788">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3">
        <f t="shared" si="31"/>
        <v>0</v>
      </c>
      <c r="S136" s="788">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3">
        <f t="shared" si="31"/>
        <v>0</v>
      </c>
      <c r="S137" s="788">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3">
        <f t="shared" si="31"/>
        <v>0</v>
      </c>
      <c r="S138" s="788">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3">
        <f t="shared" si="31"/>
        <v>0</v>
      </c>
      <c r="S139" s="788">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3">
        <f t="shared" si="31"/>
        <v>0</v>
      </c>
      <c r="S140" s="788">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3">
        <f t="shared" si="31"/>
        <v>0</v>
      </c>
      <c r="S141" s="788">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3">
        <f t="shared" si="31"/>
        <v>0</v>
      </c>
      <c r="S142" s="788">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3">
        <f t="shared" si="31"/>
        <v>0</v>
      </c>
      <c r="S143" s="788">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3">
        <f t="shared" si="31"/>
        <v>0</v>
      </c>
      <c r="S144" s="788">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3">
        <f t="shared" si="31"/>
        <v>0</v>
      </c>
      <c r="S145" s="788">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3">
        <f t="shared" si="31"/>
        <v>0</v>
      </c>
      <c r="S146" s="788">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3">
        <f t="shared" si="31"/>
        <v>0</v>
      </c>
      <c r="S147" s="788">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3">
        <f t="shared" si="31"/>
        <v>0</v>
      </c>
      <c r="S148" s="788">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3">
        <f t="shared" si="31"/>
        <v>0</v>
      </c>
      <c r="S149" s="788">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3">
        <f t="shared" si="31"/>
        <v>0</v>
      </c>
      <c r="S150" s="788">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3">
        <f t="shared" si="31"/>
        <v>0</v>
      </c>
      <c r="S151" s="788">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3">
        <f t="shared" si="31"/>
        <v>0</v>
      </c>
      <c r="S152" s="788">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3">
        <f t="shared" si="31"/>
        <v>0</v>
      </c>
      <c r="S153" s="788">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3">
        <f t="shared" ref="R154:R217" si="41">IF(B154="",0,ROUND($R$24*C154*E154*G154*I154*K154*M154*O154*Q154,0))</f>
        <v>0</v>
      </c>
      <c r="S154" s="788">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3">
        <f t="shared" si="41"/>
        <v>0</v>
      </c>
      <c r="S155" s="788">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3">
        <f t="shared" si="41"/>
        <v>0</v>
      </c>
      <c r="S156" s="788">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3">
        <f t="shared" si="41"/>
        <v>0</v>
      </c>
      <c r="S157" s="788">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3">
        <f t="shared" si="41"/>
        <v>0</v>
      </c>
      <c r="S158" s="788">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3">
        <f t="shared" si="41"/>
        <v>0</v>
      </c>
      <c r="S159" s="788">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3">
        <f t="shared" si="41"/>
        <v>0</v>
      </c>
      <c r="S160" s="788">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3">
        <f t="shared" si="41"/>
        <v>0</v>
      </c>
      <c r="S161" s="788">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3">
        <f t="shared" si="41"/>
        <v>0</v>
      </c>
      <c r="S162" s="788">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3">
        <f t="shared" si="41"/>
        <v>0</v>
      </c>
      <c r="S163" s="788">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3">
        <f t="shared" si="41"/>
        <v>0</v>
      </c>
      <c r="S164" s="788">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3">
        <f t="shared" si="41"/>
        <v>0</v>
      </c>
      <c r="S165" s="788">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3">
        <f t="shared" si="41"/>
        <v>0</v>
      </c>
      <c r="S166" s="788">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3">
        <f t="shared" si="41"/>
        <v>0</v>
      </c>
      <c r="S167" s="788">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3">
        <f t="shared" si="41"/>
        <v>0</v>
      </c>
      <c r="S168" s="788">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3">
        <f t="shared" si="41"/>
        <v>0</v>
      </c>
      <c r="S169" s="788">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3">
        <f t="shared" si="41"/>
        <v>0</v>
      </c>
      <c r="S170" s="788">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3">
        <f t="shared" si="41"/>
        <v>0</v>
      </c>
      <c r="S171" s="788">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3">
        <f t="shared" si="41"/>
        <v>0</v>
      </c>
      <c r="S172" s="788">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3">
        <f t="shared" si="41"/>
        <v>0</v>
      </c>
      <c r="S173" s="788">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3">
        <f t="shared" si="41"/>
        <v>0</v>
      </c>
      <c r="S174" s="788">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3">
        <f t="shared" si="41"/>
        <v>0</v>
      </c>
      <c r="S175" s="788">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3">
        <f t="shared" si="41"/>
        <v>0</v>
      </c>
      <c r="S176" s="788">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3">
        <f t="shared" si="41"/>
        <v>0</v>
      </c>
      <c r="S177" s="788">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3">
        <f t="shared" si="41"/>
        <v>0</v>
      </c>
      <c r="S178" s="788">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3">
        <f t="shared" si="41"/>
        <v>0</v>
      </c>
      <c r="S179" s="788">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3">
        <f t="shared" si="41"/>
        <v>0</v>
      </c>
      <c r="S180" s="788">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3">
        <f t="shared" si="41"/>
        <v>0</v>
      </c>
      <c r="S181" s="788">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3">
        <f t="shared" si="41"/>
        <v>0</v>
      </c>
      <c r="S182" s="788">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3">
        <f t="shared" si="41"/>
        <v>0</v>
      </c>
      <c r="S183" s="788">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3">
        <f t="shared" si="41"/>
        <v>0</v>
      </c>
      <c r="S184" s="788">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3">
        <f t="shared" si="41"/>
        <v>0</v>
      </c>
      <c r="S185" s="788">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3">
        <f t="shared" si="41"/>
        <v>0</v>
      </c>
      <c r="S186" s="788">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3">
        <f t="shared" si="41"/>
        <v>0</v>
      </c>
      <c r="S187" s="788">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3">
        <f t="shared" si="41"/>
        <v>0</v>
      </c>
      <c r="S188" s="788">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3">
        <f t="shared" si="41"/>
        <v>0</v>
      </c>
      <c r="S189" s="788">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3">
        <f t="shared" si="41"/>
        <v>0</v>
      </c>
      <c r="S190" s="788">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3">
        <f t="shared" si="41"/>
        <v>0</v>
      </c>
      <c r="S191" s="788">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3">
        <f t="shared" si="41"/>
        <v>0</v>
      </c>
      <c r="S192" s="788">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3">
        <f t="shared" si="41"/>
        <v>0</v>
      </c>
      <c r="S193" s="788">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3">
        <f t="shared" si="41"/>
        <v>0</v>
      </c>
      <c r="S194" s="788">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3">
        <f t="shared" si="41"/>
        <v>0</v>
      </c>
      <c r="S195" s="788">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3">
        <f t="shared" si="41"/>
        <v>0</v>
      </c>
      <c r="S196" s="788">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3">
        <f t="shared" si="41"/>
        <v>0</v>
      </c>
      <c r="S197" s="788">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3">
        <f t="shared" si="41"/>
        <v>0</v>
      </c>
      <c r="S198" s="788">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3">
        <f t="shared" si="41"/>
        <v>0</v>
      </c>
      <c r="S199" s="788">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3">
        <f t="shared" si="41"/>
        <v>0</v>
      </c>
      <c r="S200" s="788">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3">
        <f t="shared" si="41"/>
        <v>0</v>
      </c>
      <c r="S201" s="788">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3">
        <f t="shared" si="41"/>
        <v>0</v>
      </c>
      <c r="S202" s="788">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3">
        <f t="shared" si="41"/>
        <v>0</v>
      </c>
      <c r="S203" s="788">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3">
        <f t="shared" si="41"/>
        <v>0</v>
      </c>
      <c r="S204" s="788">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3">
        <f t="shared" si="41"/>
        <v>0</v>
      </c>
      <c r="S205" s="788">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3">
        <f t="shared" si="41"/>
        <v>0</v>
      </c>
      <c r="S206" s="788">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3">
        <f t="shared" si="41"/>
        <v>0</v>
      </c>
      <c r="S207" s="788">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3">
        <f t="shared" si="41"/>
        <v>0</v>
      </c>
      <c r="S208" s="788">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3">
        <f t="shared" si="41"/>
        <v>0</v>
      </c>
      <c r="S209" s="788">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3">
        <f t="shared" si="41"/>
        <v>0</v>
      </c>
      <c r="S210" s="788">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3">
        <f t="shared" si="41"/>
        <v>0</v>
      </c>
      <c r="S211" s="788">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3">
        <f t="shared" si="41"/>
        <v>0</v>
      </c>
      <c r="S212" s="788">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3">
        <f t="shared" si="41"/>
        <v>0</v>
      </c>
      <c r="S213" s="788">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3">
        <f t="shared" si="41"/>
        <v>0</v>
      </c>
      <c r="S214" s="788">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3">
        <f t="shared" si="41"/>
        <v>0</v>
      </c>
      <c r="S215" s="788">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3">
        <f t="shared" si="41"/>
        <v>0</v>
      </c>
      <c r="S216" s="788">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3">
        <f t="shared" si="41"/>
        <v>0</v>
      </c>
      <c r="S217" s="788">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3">
        <f t="shared" ref="R218:R281" si="51">IF(B218="",0,ROUND($R$24*C218*E218*G218*I218*K218*M218*O218*Q218,0))</f>
        <v>0</v>
      </c>
      <c r="S218" s="788">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3">
        <f t="shared" si="51"/>
        <v>0</v>
      </c>
      <c r="S219" s="788">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3">
        <f t="shared" si="51"/>
        <v>0</v>
      </c>
      <c r="S220" s="788">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3">
        <f t="shared" si="51"/>
        <v>0</v>
      </c>
      <c r="S221" s="788">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3">
        <f t="shared" si="51"/>
        <v>0</v>
      </c>
      <c r="S222" s="788">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3">
        <f t="shared" si="51"/>
        <v>0</v>
      </c>
      <c r="S223" s="788">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3">
        <f t="shared" si="51"/>
        <v>0</v>
      </c>
      <c r="S224" s="788">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3">
        <f t="shared" si="51"/>
        <v>0</v>
      </c>
      <c r="S225" s="788">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3">
        <f t="shared" si="51"/>
        <v>0</v>
      </c>
      <c r="S226" s="788">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3">
        <f t="shared" si="51"/>
        <v>0</v>
      </c>
      <c r="S227" s="788">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3">
        <f t="shared" si="51"/>
        <v>0</v>
      </c>
      <c r="S228" s="788">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3">
        <f t="shared" si="51"/>
        <v>0</v>
      </c>
      <c r="S229" s="788">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3">
        <f t="shared" si="51"/>
        <v>0</v>
      </c>
      <c r="S230" s="788">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3">
        <f t="shared" si="51"/>
        <v>0</v>
      </c>
      <c r="S231" s="788">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3">
        <f t="shared" si="51"/>
        <v>0</v>
      </c>
      <c r="S232" s="788">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3">
        <f t="shared" si="51"/>
        <v>0</v>
      </c>
      <c r="S233" s="788">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3">
        <f t="shared" si="51"/>
        <v>0</v>
      </c>
      <c r="S234" s="788">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3">
        <f t="shared" si="51"/>
        <v>0</v>
      </c>
      <c r="S235" s="788">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3">
        <f t="shared" si="51"/>
        <v>0</v>
      </c>
      <c r="S236" s="788">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3">
        <f t="shared" si="51"/>
        <v>0</v>
      </c>
      <c r="S237" s="788">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3">
        <f t="shared" si="51"/>
        <v>0</v>
      </c>
      <c r="S238" s="788">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3">
        <f t="shared" si="51"/>
        <v>0</v>
      </c>
      <c r="S239" s="788">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3">
        <f t="shared" si="51"/>
        <v>0</v>
      </c>
      <c r="S240" s="788">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3">
        <f t="shared" si="51"/>
        <v>0</v>
      </c>
      <c r="S241" s="788">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3">
        <f t="shared" si="51"/>
        <v>0</v>
      </c>
      <c r="S242" s="788">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3">
        <f t="shared" si="51"/>
        <v>0</v>
      </c>
      <c r="S243" s="788">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3">
        <f t="shared" si="51"/>
        <v>0</v>
      </c>
      <c r="S244" s="788">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3">
        <f t="shared" si="51"/>
        <v>0</v>
      </c>
      <c r="S245" s="788">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3">
        <f t="shared" si="51"/>
        <v>0</v>
      </c>
      <c r="S246" s="788">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3">
        <f t="shared" si="51"/>
        <v>0</v>
      </c>
      <c r="S247" s="788">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3">
        <f t="shared" si="51"/>
        <v>0</v>
      </c>
      <c r="S248" s="788">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3">
        <f t="shared" si="51"/>
        <v>0</v>
      </c>
      <c r="S249" s="788">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3">
        <f t="shared" si="51"/>
        <v>0</v>
      </c>
      <c r="S250" s="788">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3">
        <f t="shared" si="51"/>
        <v>0</v>
      </c>
      <c r="S251" s="788">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3">
        <f t="shared" si="51"/>
        <v>0</v>
      </c>
      <c r="S252" s="788">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3">
        <f t="shared" si="51"/>
        <v>0</v>
      </c>
      <c r="S253" s="788">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3">
        <f t="shared" si="51"/>
        <v>0</v>
      </c>
      <c r="S254" s="788">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3">
        <f t="shared" si="51"/>
        <v>0</v>
      </c>
      <c r="S255" s="788">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3">
        <f t="shared" si="51"/>
        <v>0</v>
      </c>
      <c r="S256" s="788">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3">
        <f t="shared" si="51"/>
        <v>0</v>
      </c>
      <c r="S257" s="788">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3">
        <f t="shared" si="51"/>
        <v>0</v>
      </c>
      <c r="S258" s="788">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3">
        <f t="shared" si="51"/>
        <v>0</v>
      </c>
      <c r="S259" s="788">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3">
        <f t="shared" si="51"/>
        <v>0</v>
      </c>
      <c r="S260" s="788">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3">
        <f t="shared" si="51"/>
        <v>0</v>
      </c>
      <c r="S261" s="788">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3">
        <f t="shared" si="51"/>
        <v>0</v>
      </c>
      <c r="S262" s="788">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3">
        <f t="shared" si="51"/>
        <v>0</v>
      </c>
      <c r="S263" s="788">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3">
        <f t="shared" si="51"/>
        <v>0</v>
      </c>
      <c r="S264" s="788">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3">
        <f t="shared" si="51"/>
        <v>0</v>
      </c>
      <c r="S265" s="788">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3">
        <f t="shared" si="51"/>
        <v>0</v>
      </c>
      <c r="S266" s="788">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3">
        <f t="shared" si="51"/>
        <v>0</v>
      </c>
      <c r="S267" s="788">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3">
        <f t="shared" si="51"/>
        <v>0</v>
      </c>
      <c r="S268" s="788">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3">
        <f t="shared" si="51"/>
        <v>0</v>
      </c>
      <c r="S269" s="788">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3">
        <f t="shared" si="51"/>
        <v>0</v>
      </c>
      <c r="S270" s="788">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3">
        <f t="shared" si="51"/>
        <v>0</v>
      </c>
      <c r="S271" s="788">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3">
        <f t="shared" si="51"/>
        <v>0</v>
      </c>
      <c r="S272" s="788">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3">
        <f t="shared" si="51"/>
        <v>0</v>
      </c>
      <c r="S273" s="788">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3">
        <f t="shared" si="51"/>
        <v>0</v>
      </c>
      <c r="S274" s="788">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3">
        <f t="shared" si="51"/>
        <v>0</v>
      </c>
      <c r="S275" s="788">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3">
        <f t="shared" si="51"/>
        <v>0</v>
      </c>
      <c r="S276" s="788">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3">
        <f t="shared" si="51"/>
        <v>0</v>
      </c>
      <c r="S277" s="788">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3">
        <f t="shared" si="51"/>
        <v>0</v>
      </c>
      <c r="S278" s="788">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3">
        <f t="shared" si="51"/>
        <v>0</v>
      </c>
      <c r="S279" s="788">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3">
        <f t="shared" si="51"/>
        <v>0</v>
      </c>
      <c r="S280" s="788">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3">
        <f t="shared" si="51"/>
        <v>0</v>
      </c>
      <c r="S281" s="788">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3">
        <f t="shared" ref="R282:R345" si="61">IF(B282="",0,ROUND($R$24*C282*E282*G282*I282*K282*M282*O282*Q282,0))</f>
        <v>0</v>
      </c>
      <c r="S282" s="788">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3">
        <f t="shared" si="61"/>
        <v>0</v>
      </c>
      <c r="S283" s="788">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3">
        <f t="shared" si="61"/>
        <v>0</v>
      </c>
      <c r="S284" s="788">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3">
        <f t="shared" si="61"/>
        <v>0</v>
      </c>
      <c r="S285" s="788">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3">
        <f t="shared" si="61"/>
        <v>0</v>
      </c>
      <c r="S286" s="788">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3">
        <f t="shared" si="61"/>
        <v>0</v>
      </c>
      <c r="S287" s="788">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3">
        <f t="shared" si="61"/>
        <v>0</v>
      </c>
      <c r="S288" s="788">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3">
        <f t="shared" si="61"/>
        <v>0</v>
      </c>
      <c r="S289" s="788">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3">
        <f t="shared" si="61"/>
        <v>0</v>
      </c>
      <c r="S290" s="788">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3">
        <f t="shared" si="61"/>
        <v>0</v>
      </c>
      <c r="S291" s="788">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3">
        <f t="shared" si="61"/>
        <v>0</v>
      </c>
      <c r="S292" s="788">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3">
        <f t="shared" si="61"/>
        <v>0</v>
      </c>
      <c r="S293" s="788">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3">
        <f t="shared" si="61"/>
        <v>0</v>
      </c>
      <c r="S294" s="788">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3">
        <f t="shared" si="61"/>
        <v>0</v>
      </c>
      <c r="S295" s="788">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3">
        <f t="shared" si="61"/>
        <v>0</v>
      </c>
      <c r="S296" s="788">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3">
        <f t="shared" si="61"/>
        <v>0</v>
      </c>
      <c r="S297" s="788">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3">
        <f t="shared" si="61"/>
        <v>0</v>
      </c>
      <c r="S298" s="788">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3">
        <f t="shared" si="61"/>
        <v>0</v>
      </c>
      <c r="S299" s="788">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3">
        <f t="shared" si="61"/>
        <v>0</v>
      </c>
      <c r="S300" s="788">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3">
        <f t="shared" si="61"/>
        <v>0</v>
      </c>
      <c r="S301" s="788">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3">
        <f t="shared" si="61"/>
        <v>0</v>
      </c>
      <c r="S302" s="788">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3">
        <f t="shared" si="61"/>
        <v>0</v>
      </c>
      <c r="S303" s="788">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3">
        <f t="shared" si="61"/>
        <v>0</v>
      </c>
      <c r="S304" s="788">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3">
        <f t="shared" si="61"/>
        <v>0</v>
      </c>
      <c r="S305" s="788">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3">
        <f t="shared" si="61"/>
        <v>0</v>
      </c>
      <c r="S306" s="788">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3">
        <f t="shared" si="61"/>
        <v>0</v>
      </c>
      <c r="S307" s="788">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3">
        <f t="shared" si="61"/>
        <v>0</v>
      </c>
      <c r="S308" s="788">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3">
        <f t="shared" si="61"/>
        <v>0</v>
      </c>
      <c r="S309" s="788">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3">
        <f t="shared" si="61"/>
        <v>0</v>
      </c>
      <c r="S310" s="788">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3">
        <f t="shared" si="61"/>
        <v>0</v>
      </c>
      <c r="S311" s="788">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3">
        <f t="shared" si="61"/>
        <v>0</v>
      </c>
      <c r="S312" s="788">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3">
        <f t="shared" si="61"/>
        <v>0</v>
      </c>
      <c r="S313" s="788">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3">
        <f t="shared" si="61"/>
        <v>0</v>
      </c>
      <c r="S314" s="788">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3">
        <f t="shared" si="61"/>
        <v>0</v>
      </c>
      <c r="S315" s="788">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3">
        <f t="shared" si="61"/>
        <v>0</v>
      </c>
      <c r="S316" s="788">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3">
        <f t="shared" si="61"/>
        <v>0</v>
      </c>
      <c r="S317" s="788">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3">
        <f t="shared" si="61"/>
        <v>0</v>
      </c>
      <c r="S318" s="788">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3">
        <f t="shared" si="61"/>
        <v>0</v>
      </c>
      <c r="S319" s="788">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3">
        <f t="shared" si="61"/>
        <v>0</v>
      </c>
      <c r="S320" s="788">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3">
        <f t="shared" si="61"/>
        <v>0</v>
      </c>
      <c r="S321" s="788">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3">
        <f t="shared" si="61"/>
        <v>0</v>
      </c>
      <c r="S322" s="788">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3">
        <f t="shared" si="61"/>
        <v>0</v>
      </c>
      <c r="S323" s="788">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3">
        <f t="shared" si="61"/>
        <v>0</v>
      </c>
      <c r="S324" s="788">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3">
        <f t="shared" si="61"/>
        <v>0</v>
      </c>
      <c r="S325" s="788">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3">
        <f t="shared" si="61"/>
        <v>0</v>
      </c>
      <c r="S326" s="788">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3">
        <f t="shared" si="61"/>
        <v>0</v>
      </c>
      <c r="S327" s="788">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3">
        <f t="shared" si="61"/>
        <v>0</v>
      </c>
      <c r="S328" s="788">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3">
        <f t="shared" si="61"/>
        <v>0</v>
      </c>
      <c r="S329" s="788">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3">
        <f t="shared" si="61"/>
        <v>0</v>
      </c>
      <c r="S330" s="788">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3">
        <f t="shared" si="61"/>
        <v>0</v>
      </c>
      <c r="S331" s="788">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3">
        <f t="shared" si="61"/>
        <v>0</v>
      </c>
      <c r="S332" s="788">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3">
        <f t="shared" si="61"/>
        <v>0</v>
      </c>
      <c r="S333" s="788">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3">
        <f t="shared" si="61"/>
        <v>0</v>
      </c>
      <c r="S334" s="788">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3">
        <f t="shared" si="61"/>
        <v>0</v>
      </c>
      <c r="S335" s="788">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3">
        <f t="shared" si="61"/>
        <v>0</v>
      </c>
      <c r="S336" s="788">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3">
        <f t="shared" si="61"/>
        <v>0</v>
      </c>
      <c r="S337" s="788">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3">
        <f t="shared" si="61"/>
        <v>0</v>
      </c>
      <c r="S338" s="788">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3">
        <f t="shared" si="61"/>
        <v>0</v>
      </c>
      <c r="S339" s="788">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3">
        <f t="shared" si="61"/>
        <v>0</v>
      </c>
      <c r="S340" s="788">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3">
        <f t="shared" si="61"/>
        <v>0</v>
      </c>
      <c r="S341" s="788">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3">
        <f t="shared" si="61"/>
        <v>0</v>
      </c>
      <c r="S342" s="788">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3">
        <f t="shared" si="61"/>
        <v>0</v>
      </c>
      <c r="S343" s="788">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3">
        <f t="shared" si="61"/>
        <v>0</v>
      </c>
      <c r="S344" s="788">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3">
        <f t="shared" si="61"/>
        <v>0</v>
      </c>
      <c r="S345" s="788">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3">
        <f t="shared" ref="R346:R409" si="72">IF(B346="",0,ROUND($R$24*C346*E346*G346*I346*K346*M346*O346*Q346,0))</f>
        <v>0</v>
      </c>
      <c r="S346" s="788">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3">
        <f t="shared" si="72"/>
        <v>0</v>
      </c>
      <c r="S347" s="788">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3">
        <f t="shared" si="72"/>
        <v>0</v>
      </c>
      <c r="S348" s="788">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3">
        <f t="shared" si="72"/>
        <v>0</v>
      </c>
      <c r="S349" s="788">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3">
        <f t="shared" si="72"/>
        <v>0</v>
      </c>
      <c r="S350" s="788">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3">
        <f t="shared" si="72"/>
        <v>0</v>
      </c>
      <c r="S351" s="788">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3">
        <f t="shared" si="72"/>
        <v>0</v>
      </c>
      <c r="S352" s="788">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3">
        <f t="shared" si="72"/>
        <v>0</v>
      </c>
      <c r="S353" s="788">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3">
        <f t="shared" si="72"/>
        <v>0</v>
      </c>
      <c r="S354" s="788">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3">
        <f t="shared" si="72"/>
        <v>0</v>
      </c>
      <c r="S355" s="788">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3">
        <f t="shared" si="72"/>
        <v>0</v>
      </c>
      <c r="S356" s="788">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3">
        <f t="shared" si="72"/>
        <v>0</v>
      </c>
      <c r="S357" s="788">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3">
        <f t="shared" si="72"/>
        <v>0</v>
      </c>
      <c r="S358" s="788">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3">
        <f t="shared" si="72"/>
        <v>0</v>
      </c>
      <c r="S359" s="788">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3">
        <f t="shared" si="72"/>
        <v>0</v>
      </c>
      <c r="S360" s="788">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3">
        <f t="shared" si="72"/>
        <v>0</v>
      </c>
      <c r="S361" s="788">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3">
        <f t="shared" si="72"/>
        <v>0</v>
      </c>
      <c r="S362" s="788">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3">
        <f t="shared" si="72"/>
        <v>0</v>
      </c>
      <c r="S363" s="788">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3">
        <f t="shared" si="72"/>
        <v>0</v>
      </c>
      <c r="S364" s="788">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3">
        <f t="shared" si="72"/>
        <v>0</v>
      </c>
      <c r="S365" s="788">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3">
        <f t="shared" si="72"/>
        <v>0</v>
      </c>
      <c r="S366" s="788">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3">
        <f t="shared" si="72"/>
        <v>0</v>
      </c>
      <c r="S367" s="788">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3">
        <f t="shared" si="72"/>
        <v>0</v>
      </c>
      <c r="S368" s="788">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3">
        <f t="shared" si="72"/>
        <v>0</v>
      </c>
      <c r="S369" s="788">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3">
        <f t="shared" si="72"/>
        <v>0</v>
      </c>
      <c r="S370" s="788">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3">
        <f t="shared" si="72"/>
        <v>0</v>
      </c>
      <c r="S371" s="788">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3">
        <f t="shared" si="72"/>
        <v>0</v>
      </c>
      <c r="S372" s="788">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3">
        <f t="shared" si="72"/>
        <v>0</v>
      </c>
      <c r="S373" s="788">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3">
        <f t="shared" si="72"/>
        <v>0</v>
      </c>
      <c r="S374" s="788">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3">
        <f t="shared" si="72"/>
        <v>0</v>
      </c>
      <c r="S375" s="788">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3">
        <f t="shared" si="72"/>
        <v>0</v>
      </c>
      <c r="S376" s="788">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3">
        <f t="shared" si="72"/>
        <v>0</v>
      </c>
      <c r="S377" s="788">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3">
        <f t="shared" si="72"/>
        <v>0</v>
      </c>
      <c r="S378" s="788">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3">
        <f t="shared" si="72"/>
        <v>0</v>
      </c>
      <c r="S379" s="788">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3">
        <f t="shared" si="72"/>
        <v>0</v>
      </c>
      <c r="S380" s="788">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3">
        <f t="shared" si="72"/>
        <v>0</v>
      </c>
      <c r="S381" s="788">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3">
        <f t="shared" si="72"/>
        <v>0</v>
      </c>
      <c r="S382" s="788">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3">
        <f t="shared" si="72"/>
        <v>0</v>
      </c>
      <c r="S383" s="788">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3">
        <f t="shared" si="72"/>
        <v>0</v>
      </c>
      <c r="S384" s="788">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3">
        <f t="shared" si="72"/>
        <v>0</v>
      </c>
      <c r="S385" s="788">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3">
        <f t="shared" si="72"/>
        <v>0</v>
      </c>
      <c r="S386" s="788">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3">
        <f t="shared" si="72"/>
        <v>0</v>
      </c>
      <c r="S387" s="788">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3">
        <f t="shared" si="72"/>
        <v>0</v>
      </c>
      <c r="S388" s="788">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3">
        <f t="shared" si="72"/>
        <v>0</v>
      </c>
      <c r="S389" s="788">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3">
        <f t="shared" si="72"/>
        <v>0</v>
      </c>
      <c r="S390" s="788">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3">
        <f t="shared" si="72"/>
        <v>0</v>
      </c>
      <c r="S391" s="788">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3">
        <f t="shared" si="72"/>
        <v>0</v>
      </c>
      <c r="S392" s="788">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3">
        <f t="shared" si="72"/>
        <v>0</v>
      </c>
      <c r="S393" s="788">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3">
        <f t="shared" si="72"/>
        <v>0</v>
      </c>
      <c r="S394" s="788">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3">
        <f t="shared" si="72"/>
        <v>0</v>
      </c>
      <c r="S395" s="788">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3">
        <f t="shared" si="72"/>
        <v>0</v>
      </c>
      <c r="S396" s="788">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3">
        <f t="shared" si="72"/>
        <v>0</v>
      </c>
      <c r="S397" s="788">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3">
        <f t="shared" si="72"/>
        <v>0</v>
      </c>
      <c r="S398" s="788">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3">
        <f t="shared" si="72"/>
        <v>0</v>
      </c>
      <c r="S399" s="788">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3">
        <f t="shared" si="72"/>
        <v>0</v>
      </c>
      <c r="S400" s="788">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3">
        <f t="shared" si="72"/>
        <v>0</v>
      </c>
      <c r="S401" s="788">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3">
        <f t="shared" si="72"/>
        <v>0</v>
      </c>
      <c r="S402" s="788">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3">
        <f t="shared" si="72"/>
        <v>0</v>
      </c>
      <c r="S403" s="788">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3">
        <f t="shared" si="72"/>
        <v>0</v>
      </c>
      <c r="S404" s="788">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3">
        <f t="shared" si="72"/>
        <v>0</v>
      </c>
      <c r="S405" s="788">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3">
        <f t="shared" si="72"/>
        <v>0</v>
      </c>
      <c r="S406" s="788">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3">
        <f t="shared" si="72"/>
        <v>0</v>
      </c>
      <c r="S407" s="788">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3">
        <f t="shared" si="72"/>
        <v>0</v>
      </c>
      <c r="S408" s="788">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3">
        <f t="shared" si="72"/>
        <v>0</v>
      </c>
      <c r="S409" s="788">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3">
        <f t="shared" ref="R410:R473" si="82">IF(B410="",0,ROUND($R$24*C410*E410*G410*I410*K410*M410*O410*Q410,0))</f>
        <v>0</v>
      </c>
      <c r="S410" s="788">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3">
        <f t="shared" si="82"/>
        <v>0</v>
      </c>
      <c r="S411" s="788">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3">
        <f t="shared" si="82"/>
        <v>0</v>
      </c>
      <c r="S412" s="788">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3">
        <f t="shared" si="82"/>
        <v>0</v>
      </c>
      <c r="S413" s="788">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3">
        <f t="shared" si="82"/>
        <v>0</v>
      </c>
      <c r="S414" s="788">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3">
        <f t="shared" si="82"/>
        <v>0</v>
      </c>
      <c r="S415" s="788">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3">
        <f t="shared" si="82"/>
        <v>0</v>
      </c>
      <c r="S416" s="788">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3">
        <f t="shared" si="82"/>
        <v>0</v>
      </c>
      <c r="S417" s="788">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3">
        <f t="shared" si="82"/>
        <v>0</v>
      </c>
      <c r="S418" s="788">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3">
        <f t="shared" si="82"/>
        <v>0</v>
      </c>
      <c r="S419" s="788">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3">
        <f t="shared" si="82"/>
        <v>0</v>
      </c>
      <c r="S420" s="788">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3">
        <f t="shared" si="82"/>
        <v>0</v>
      </c>
      <c r="S421" s="788">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3">
        <f t="shared" si="82"/>
        <v>0</v>
      </c>
      <c r="S422" s="788">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3">
        <f t="shared" si="82"/>
        <v>0</v>
      </c>
      <c r="S423" s="788">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3">
        <f t="shared" si="82"/>
        <v>0</v>
      </c>
      <c r="S424" s="788">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3">
        <f t="shared" si="82"/>
        <v>0</v>
      </c>
      <c r="S425" s="788">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3">
        <f t="shared" si="82"/>
        <v>0</v>
      </c>
      <c r="S426" s="788">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3">
        <f t="shared" si="82"/>
        <v>0</v>
      </c>
      <c r="S427" s="788">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3">
        <f t="shared" si="82"/>
        <v>0</v>
      </c>
      <c r="S428" s="788">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3">
        <f t="shared" si="82"/>
        <v>0</v>
      </c>
      <c r="S429" s="788">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3">
        <f t="shared" si="82"/>
        <v>0</v>
      </c>
      <c r="S430" s="788">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3">
        <f t="shared" si="82"/>
        <v>0</v>
      </c>
      <c r="S431" s="788">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3">
        <f t="shared" si="82"/>
        <v>0</v>
      </c>
      <c r="S432" s="788">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3">
        <f t="shared" si="82"/>
        <v>0</v>
      </c>
      <c r="S433" s="788">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3">
        <f t="shared" si="82"/>
        <v>0</v>
      </c>
      <c r="S434" s="788">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3">
        <f t="shared" si="82"/>
        <v>0</v>
      </c>
      <c r="S435" s="788">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3">
        <f t="shared" si="82"/>
        <v>0</v>
      </c>
      <c r="S436" s="788">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3">
        <f t="shared" si="82"/>
        <v>0</v>
      </c>
      <c r="S437" s="788">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3">
        <f t="shared" si="82"/>
        <v>0</v>
      </c>
      <c r="S438" s="788">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3">
        <f t="shared" si="82"/>
        <v>0</v>
      </c>
      <c r="S439" s="788">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3">
        <f t="shared" si="82"/>
        <v>0</v>
      </c>
      <c r="S440" s="788">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3">
        <f t="shared" si="82"/>
        <v>0</v>
      </c>
      <c r="S441" s="788">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3">
        <f t="shared" si="82"/>
        <v>0</v>
      </c>
      <c r="S442" s="788">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3">
        <f t="shared" si="82"/>
        <v>0</v>
      </c>
      <c r="S443" s="788">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3">
        <f t="shared" si="82"/>
        <v>0</v>
      </c>
      <c r="S444" s="788">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3">
        <f t="shared" si="82"/>
        <v>0</v>
      </c>
      <c r="S445" s="788">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3">
        <f t="shared" si="82"/>
        <v>0</v>
      </c>
      <c r="S446" s="788">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3">
        <f t="shared" si="82"/>
        <v>0</v>
      </c>
      <c r="S447" s="788">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3">
        <f t="shared" si="82"/>
        <v>0</v>
      </c>
      <c r="S448" s="788">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3">
        <f t="shared" si="82"/>
        <v>0</v>
      </c>
      <c r="S449" s="788">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3">
        <f t="shared" si="82"/>
        <v>0</v>
      </c>
      <c r="S450" s="788">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3">
        <f t="shared" si="82"/>
        <v>0</v>
      </c>
      <c r="S451" s="788">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3">
        <f t="shared" si="82"/>
        <v>0</v>
      </c>
      <c r="S452" s="788">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3">
        <f t="shared" si="82"/>
        <v>0</v>
      </c>
      <c r="S453" s="788">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3">
        <f t="shared" si="82"/>
        <v>0</v>
      </c>
      <c r="S454" s="788">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3">
        <f t="shared" si="82"/>
        <v>0</v>
      </c>
      <c r="S455" s="788">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3">
        <f t="shared" si="82"/>
        <v>0</v>
      </c>
      <c r="S456" s="788">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3">
        <f t="shared" si="82"/>
        <v>0</v>
      </c>
      <c r="S457" s="788">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3">
        <f t="shared" si="82"/>
        <v>0</v>
      </c>
      <c r="S458" s="788">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3">
        <f t="shared" si="82"/>
        <v>0</v>
      </c>
      <c r="S459" s="788">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3">
        <f t="shared" si="82"/>
        <v>0</v>
      </c>
      <c r="S460" s="788">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3">
        <f t="shared" si="82"/>
        <v>0</v>
      </c>
      <c r="S461" s="788">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3">
        <f t="shared" si="82"/>
        <v>0</v>
      </c>
      <c r="S462" s="788">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3">
        <f t="shared" si="82"/>
        <v>0</v>
      </c>
      <c r="S463" s="788">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3">
        <f t="shared" si="82"/>
        <v>0</v>
      </c>
      <c r="S464" s="788">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3">
        <f t="shared" si="82"/>
        <v>0</v>
      </c>
      <c r="S465" s="788">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3">
        <f t="shared" si="82"/>
        <v>0</v>
      </c>
      <c r="S466" s="788">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3">
        <f t="shared" si="82"/>
        <v>0</v>
      </c>
      <c r="S467" s="788">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3">
        <f t="shared" si="82"/>
        <v>0</v>
      </c>
      <c r="S468" s="788">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3">
        <f t="shared" si="82"/>
        <v>0</v>
      </c>
      <c r="S469" s="788">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3">
        <f t="shared" si="82"/>
        <v>0</v>
      </c>
      <c r="S470" s="788">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3">
        <f t="shared" si="82"/>
        <v>0</v>
      </c>
      <c r="S471" s="788">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3">
        <f t="shared" si="82"/>
        <v>0</v>
      </c>
      <c r="S472" s="788">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3">
        <f t="shared" si="82"/>
        <v>0</v>
      </c>
      <c r="S473" s="788">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3">
        <f t="shared" ref="R474:R524" si="93">IF(B474="",0,ROUND($R$24*C474*E474*G474*I474*K474*M474*O474*Q474,0))</f>
        <v>0</v>
      </c>
      <c r="S474" s="788">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3">
        <f t="shared" si="93"/>
        <v>0</v>
      </c>
      <c r="S475" s="788">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3">
        <f t="shared" si="93"/>
        <v>0</v>
      </c>
      <c r="S476" s="788">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3">
        <f t="shared" si="93"/>
        <v>0</v>
      </c>
      <c r="S477" s="788">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3">
        <f t="shared" si="93"/>
        <v>0</v>
      </c>
      <c r="S478" s="788">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3">
        <f t="shared" si="93"/>
        <v>0</v>
      </c>
      <c r="S479" s="788">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3">
        <f t="shared" si="93"/>
        <v>0</v>
      </c>
      <c r="S480" s="788">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3">
        <f t="shared" si="93"/>
        <v>0</v>
      </c>
      <c r="S481" s="788">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3">
        <f t="shared" si="93"/>
        <v>0</v>
      </c>
      <c r="S482" s="788">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3">
        <f t="shared" si="93"/>
        <v>0</v>
      </c>
      <c r="S483" s="788">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3">
        <f t="shared" si="93"/>
        <v>0</v>
      </c>
      <c r="S484" s="788">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3">
        <f t="shared" si="93"/>
        <v>0</v>
      </c>
      <c r="S485" s="788">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3">
        <f t="shared" si="93"/>
        <v>0</v>
      </c>
      <c r="S486" s="788">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3">
        <f t="shared" si="93"/>
        <v>0</v>
      </c>
      <c r="S487" s="788">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3">
        <f t="shared" si="93"/>
        <v>0</v>
      </c>
      <c r="S488" s="788">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3">
        <f t="shared" si="93"/>
        <v>0</v>
      </c>
      <c r="S489" s="788">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3">
        <f t="shared" si="93"/>
        <v>0</v>
      </c>
      <c r="S490" s="788">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3">
        <f t="shared" si="93"/>
        <v>0</v>
      </c>
      <c r="S491" s="788">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3">
        <f t="shared" si="93"/>
        <v>0</v>
      </c>
      <c r="S492" s="788">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3">
        <f t="shared" si="93"/>
        <v>0</v>
      </c>
      <c r="S493" s="788">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3">
        <f t="shared" si="93"/>
        <v>0</v>
      </c>
      <c r="S494" s="788">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3">
        <f t="shared" si="93"/>
        <v>0</v>
      </c>
      <c r="S495" s="788">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3">
        <f t="shared" si="93"/>
        <v>0</v>
      </c>
      <c r="S496" s="788">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3">
        <f t="shared" si="93"/>
        <v>0</v>
      </c>
      <c r="S497" s="788">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3">
        <f t="shared" si="93"/>
        <v>0</v>
      </c>
      <c r="S498" s="788">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3">
        <f t="shared" si="93"/>
        <v>0</v>
      </c>
      <c r="S499" s="788">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3">
        <f t="shared" si="93"/>
        <v>0</v>
      </c>
      <c r="S500" s="788">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3">
        <f t="shared" si="93"/>
        <v>0</v>
      </c>
      <c r="S501" s="788">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3">
        <f t="shared" si="93"/>
        <v>0</v>
      </c>
      <c r="S502" s="788">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3">
        <f t="shared" si="93"/>
        <v>0</v>
      </c>
      <c r="S503" s="788">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3">
        <f t="shared" si="93"/>
        <v>0</v>
      </c>
      <c r="S504" s="788">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3">
        <f t="shared" si="93"/>
        <v>0</v>
      </c>
      <c r="S505" s="788">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3">
        <f t="shared" si="93"/>
        <v>0</v>
      </c>
      <c r="S506" s="788">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3">
        <f t="shared" si="93"/>
        <v>0</v>
      </c>
      <c r="S507" s="788">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3">
        <f t="shared" si="93"/>
        <v>0</v>
      </c>
      <c r="S508" s="788">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3">
        <f t="shared" si="93"/>
        <v>0</v>
      </c>
      <c r="S509" s="788">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3">
        <f t="shared" si="93"/>
        <v>0</v>
      </c>
      <c r="S510" s="788">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3">
        <f t="shared" si="93"/>
        <v>0</v>
      </c>
      <c r="S511" s="788">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3">
        <f t="shared" si="93"/>
        <v>0</v>
      </c>
      <c r="S512" s="788">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3">
        <f t="shared" si="93"/>
        <v>0</v>
      </c>
      <c r="S513" s="788">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3">
        <f t="shared" si="93"/>
        <v>0</v>
      </c>
      <c r="S514" s="788">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3">
        <f t="shared" si="93"/>
        <v>0</v>
      </c>
      <c r="S515" s="788">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3">
        <f t="shared" si="93"/>
        <v>0</v>
      </c>
      <c r="S516" s="788">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3">
        <f t="shared" si="93"/>
        <v>0</v>
      </c>
      <c r="S517" s="788">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3">
        <f t="shared" si="93"/>
        <v>0</v>
      </c>
      <c r="S518" s="788">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3">
        <f t="shared" si="93"/>
        <v>0</v>
      </c>
      <c r="S519" s="788">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3">
        <f t="shared" si="93"/>
        <v>0</v>
      </c>
      <c r="S520" s="788">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3">
        <f t="shared" si="93"/>
        <v>0</v>
      </c>
      <c r="S521" s="788">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3">
        <f t="shared" si="93"/>
        <v>0</v>
      </c>
      <c r="S522" s="788">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3">
        <f t="shared" si="93"/>
        <v>0</v>
      </c>
      <c r="S523" s="788">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E23" sqref="E2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2764</v>
      </c>
      <c r="C1" s="2717">
        <f>项目基本情况!D3</f>
        <v>44532</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2795</v>
      </c>
      <c r="C2" s="2718">
        <f>'数据-取费表'!B22</f>
        <v>1.5</v>
      </c>
      <c r="D2" s="2713" t="s">
        <v>2765</v>
      </c>
      <c r="E2" s="2716">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2797</v>
      </c>
      <c r="C3" s="2715">
        <f>'数据-取费表'!B19</f>
        <v>0</v>
      </c>
      <c r="D3" s="2713" t="s">
        <v>2765</v>
      </c>
      <c r="E3" s="2716">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2796</v>
      </c>
      <c r="C4" s="2716">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2979</v>
      </c>
      <c r="C17" s="2706">
        <v>43697</v>
      </c>
      <c r="D17" s="3271">
        <v>4.25</v>
      </c>
      <c r="E17" s="3271">
        <v>4.25</v>
      </c>
      <c r="F17" s="3271">
        <v>4.25</v>
      </c>
      <c r="G17" s="3271">
        <v>4.25</v>
      </c>
      <c r="H17" s="3271">
        <v>4.8499999999999996</v>
      </c>
      <c r="I17" s="3271"/>
      <c r="J17" s="327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9" customFormat="1" ht="15">
      <c r="A18" s="3274"/>
      <c r="B18" s="3275"/>
      <c r="C18" s="3276">
        <v>42301</v>
      </c>
      <c r="D18" s="3277">
        <v>4.3499999999999996</v>
      </c>
      <c r="E18" s="3277">
        <v>4.3499999999999996</v>
      </c>
      <c r="F18" s="3277">
        <v>4.75</v>
      </c>
      <c r="G18" s="3277">
        <v>4.75</v>
      </c>
      <c r="H18" s="3277">
        <v>4.9000000000000004</v>
      </c>
      <c r="I18" s="3277"/>
      <c r="J18" s="3277"/>
      <c r="K18" s="2691"/>
      <c r="L18" s="3277"/>
      <c r="M18" s="3276">
        <v>41965</v>
      </c>
      <c r="N18" s="3277">
        <v>0.35</v>
      </c>
      <c r="O18" s="3277">
        <v>2.35</v>
      </c>
      <c r="P18" s="3277">
        <v>2.5499999999999998</v>
      </c>
      <c r="Q18" s="3277">
        <v>2.75</v>
      </c>
      <c r="R18" s="3277">
        <v>3.35</v>
      </c>
      <c r="S18" s="3277">
        <v>4</v>
      </c>
      <c r="T18" s="3277">
        <v>4.75</v>
      </c>
      <c r="U18" s="3278">
        <v>2.35</v>
      </c>
      <c r="V18" s="3278">
        <v>2.5499999999999998</v>
      </c>
      <c r="W18" s="3278">
        <v>2.75</v>
      </c>
      <c r="X18" s="3277"/>
      <c r="Y18" s="3278">
        <v>0.8</v>
      </c>
      <c r="Z18" s="3278">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2794</v>
      </c>
      <c r="J60" s="2704" t="s">
        <v>2794</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6" t="s">
        <v>2025</v>
      </c>
      <c r="B1" s="3426"/>
      <c r="C1" s="3426"/>
      <c r="D1" s="3426"/>
      <c r="E1" s="3426"/>
      <c r="F1" s="3426"/>
      <c r="G1" s="3426"/>
      <c r="H1" s="3426"/>
      <c r="I1" s="3426"/>
      <c r="J1" s="3426"/>
      <c r="K1" s="3426"/>
      <c r="L1" s="3426"/>
      <c r="M1" s="3426"/>
      <c r="N1" s="3426"/>
      <c r="O1" s="3426"/>
      <c r="P1" s="3426"/>
      <c r="Q1" s="3426"/>
      <c r="R1" s="3426"/>
    </row>
    <row r="2" spans="1:18">
      <c r="A2" s="1719" t="s">
        <v>2027</v>
      </c>
      <c r="B2" s="1719"/>
      <c r="C2" s="1719"/>
      <c r="D2" s="1719"/>
      <c r="E2" s="1719"/>
      <c r="F2" s="1719"/>
      <c r="G2" s="1719"/>
      <c r="H2" s="1719"/>
      <c r="I2" s="1720"/>
      <c r="J2" s="1720"/>
      <c r="K2" s="1721" t="str">
        <f>"估价期日："&amp;TEXT(项目基本情况!D3,"yyyy年m月d日;;")</f>
        <v>估价期日：2021年12月2日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27" t="s">
        <v>2016</v>
      </c>
      <c r="B3" s="3427" t="s">
        <v>2708</v>
      </c>
      <c r="C3" s="3428" t="s">
        <v>2017</v>
      </c>
      <c r="D3" s="3427" t="s">
        <v>2712</v>
      </c>
      <c r="E3" s="3422" t="s">
        <v>2018</v>
      </c>
      <c r="F3" s="3422"/>
      <c r="G3" s="3422"/>
      <c r="H3" s="3422" t="s">
        <v>2019</v>
      </c>
      <c r="I3" s="3422"/>
      <c r="J3" s="3422"/>
      <c r="K3" s="3428" t="s">
        <v>2020</v>
      </c>
      <c r="L3" s="3428" t="s">
        <v>2021</v>
      </c>
      <c r="M3" s="3427" t="s">
        <v>2709</v>
      </c>
      <c r="N3" s="3429" t="str">
        <f>"（分摊）"&amp;项目基本情况!B16&amp;"国有建设用地使用权面积/㎡"</f>
        <v>（分摊）出让国有建设用地使用权面积/㎡</v>
      </c>
      <c r="O3" s="3427" t="s">
        <v>2050</v>
      </c>
      <c r="P3" s="3428" t="s">
        <v>2030</v>
      </c>
      <c r="Q3" s="3428" t="s">
        <v>2051</v>
      </c>
      <c r="R3" s="3428" t="s">
        <v>2022</v>
      </c>
    </row>
    <row r="4" spans="1:18" ht="36.75" customHeight="1">
      <c r="A4" s="3427"/>
      <c r="B4" s="3427"/>
      <c r="C4" s="3428"/>
      <c r="D4" s="3427"/>
      <c r="E4" s="2488" t="s">
        <v>2029</v>
      </c>
      <c r="F4" s="2488" t="s">
        <v>2721</v>
      </c>
      <c r="G4" s="2488" t="s">
        <v>2023</v>
      </c>
      <c r="H4" s="2488" t="s">
        <v>2024</v>
      </c>
      <c r="I4" s="2488" t="s">
        <v>2722</v>
      </c>
      <c r="J4" s="2488" t="s">
        <v>2023</v>
      </c>
      <c r="K4" s="3428"/>
      <c r="L4" s="3428"/>
      <c r="M4" s="3427"/>
      <c r="N4" s="3429"/>
      <c r="O4" s="3427"/>
      <c r="P4" s="3428"/>
      <c r="Q4" s="3428"/>
      <c r="R4" s="3428"/>
    </row>
    <row r="5" spans="1:18" ht="135" customHeight="1">
      <c r="A5" s="1854" t="s">
        <v>2632</v>
      </c>
      <c r="B5" s="2581" t="s">
        <v>2630</v>
      </c>
      <c r="C5" s="2487">
        <v>22</v>
      </c>
      <c r="D5" s="2486" t="s">
        <v>2631</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23100.27</v>
      </c>
      <c r="O5" s="1722">
        <f>项目基本情况!C21</f>
        <v>63115.493000000002</v>
      </c>
      <c r="P5" s="1722">
        <f ca="1">结果表!E42</f>
        <v>47944</v>
      </c>
      <c r="Q5" s="1722">
        <f ca="1">结果表!D42</f>
        <v>17547</v>
      </c>
      <c r="R5" s="1723">
        <f ca="1">结果表!C42</f>
        <v>110751</v>
      </c>
    </row>
    <row r="6" spans="1:18">
      <c r="A6" s="3423" t="str">
        <f>IF(项目基本情况!B9="市场价格","——","抵押价格")</f>
        <v>抵押价格</v>
      </c>
      <c r="B6" s="3424"/>
      <c r="C6" s="3424"/>
      <c r="D6" s="3424"/>
      <c r="E6" s="3424"/>
      <c r="F6" s="3424"/>
      <c r="G6" s="3424"/>
      <c r="H6" s="3424"/>
      <c r="I6" s="3424"/>
      <c r="J6" s="3424"/>
      <c r="K6" s="3424"/>
      <c r="L6" s="3424"/>
      <c r="M6" s="3424"/>
      <c r="N6" s="3424"/>
      <c r="O6" s="3424"/>
      <c r="P6" s="3424"/>
      <c r="Q6" s="3425"/>
      <c r="R6" s="1724">
        <f ca="1">结果表!O39</f>
        <v>110751</v>
      </c>
    </row>
    <row r="7" spans="1:18">
      <c r="A7" s="3423" t="str">
        <f>IF(项目基本情况!B9="市场价格","——",IF(项目基本情况!E8="已注销及未注销","抵押担保权已注销时的抵押价格","——"))</f>
        <v>——</v>
      </c>
      <c r="B7" s="3424"/>
      <c r="C7" s="3424"/>
      <c r="D7" s="3424"/>
      <c r="E7" s="3424"/>
      <c r="F7" s="3424"/>
      <c r="G7" s="3424"/>
      <c r="H7" s="3424"/>
      <c r="I7" s="3424"/>
      <c r="J7" s="3424"/>
      <c r="K7" s="3424"/>
      <c r="L7" s="3424"/>
      <c r="M7" s="3424"/>
      <c r="N7" s="3424"/>
      <c r="O7" s="3424"/>
      <c r="P7" s="3424"/>
      <c r="Q7" s="3425"/>
      <c r="R7" s="1724" t="str">
        <f>结果表!O40</f>
        <v>——</v>
      </c>
    </row>
    <row r="8" spans="1:18">
      <c r="A8" s="3423" t="str">
        <f>IF(项目基本情况!B9="市场价格","——",项目基本情况!E9)</f>
        <v>——</v>
      </c>
      <c r="B8" s="3424"/>
      <c r="C8" s="3424"/>
      <c r="D8" s="3424"/>
      <c r="E8" s="3424"/>
      <c r="F8" s="3424"/>
      <c r="G8" s="3424"/>
      <c r="H8" s="3424"/>
      <c r="I8" s="3424"/>
      <c r="J8" s="3424"/>
      <c r="K8" s="3424"/>
      <c r="L8" s="3424"/>
      <c r="M8" s="3424"/>
      <c r="N8" s="3424"/>
      <c r="O8" s="3424"/>
      <c r="P8" s="3424"/>
      <c r="Q8" s="3425"/>
      <c r="R8" s="1724" t="str">
        <f>结果表!O41</f>
        <v>——</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31" t="s">
        <v>2052</v>
      </c>
      <c r="B1" s="3431"/>
      <c r="C1" s="3431"/>
      <c r="D1" s="3431"/>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v>
      </c>
      <c r="B4" s="3431"/>
      <c r="C4" s="3431"/>
      <c r="D4" s="3431"/>
    </row>
    <row r="5" spans="1:4">
      <c r="A5" s="3430" t="s">
        <v>2053</v>
      </c>
      <c r="B5" s="3430"/>
      <c r="C5" s="3430"/>
      <c r="D5" s="3430"/>
    </row>
    <row r="6" spans="1:4">
      <c r="A6" s="3431" t="s">
        <v>2031</v>
      </c>
      <c r="B6" s="3431"/>
      <c r="C6" s="3431"/>
      <c r="D6" s="3431"/>
    </row>
    <row r="7" spans="1:4" ht="33" customHeight="1">
      <c r="A7" s="3431" t="s">
        <v>2553</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0" t="s">
        <v>2055</v>
      </c>
      <c r="B12" s="3430"/>
      <c r="C12" s="3430"/>
      <c r="D12" s="3430"/>
    </row>
    <row r="13" spans="1:4">
      <c r="A13" s="3434" t="s">
        <v>2723</v>
      </c>
      <c r="B13" s="3434"/>
      <c r="C13" s="3434"/>
      <c r="D13" s="3434"/>
    </row>
    <row r="14" spans="1:4">
      <c r="A14" s="3433" t="str">
        <f>IF(项目基本情况!B8="抵押","综上，"&amp;结果表!K47,"——")</f>
        <v>综上，本次评估不存在估价师知悉的法定优先受偿款</v>
      </c>
      <c r="B14" s="3433"/>
      <c r="C14" s="3433"/>
      <c r="D14" s="3433"/>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2679</v>
      </c>
      <c r="B17" s="3431"/>
      <c r="C17" s="3431"/>
      <c r="D17" s="3431"/>
    </row>
    <row r="18" spans="1:4">
      <c r="A18" s="3431" t="s">
        <v>2671</v>
      </c>
      <c r="B18" s="3431"/>
      <c r="C18" s="3431"/>
      <c r="D18" s="3431"/>
    </row>
    <row r="19" spans="1:4">
      <c r="A19" s="2582" t="s">
        <v>2672</v>
      </c>
      <c r="B19" s="2582" t="s">
        <v>2673</v>
      </c>
      <c r="C19" s="2582" t="s">
        <v>2674</v>
      </c>
      <c r="D19" s="2582" t="s">
        <v>2675</v>
      </c>
    </row>
    <row r="20" spans="1:4">
      <c r="A20" s="2582" t="str">
        <f>项目基本情况!B4</f>
        <v>吴薇</v>
      </c>
      <c r="B20" s="2582">
        <f ca="1">项目基本情况!C4</f>
        <v>2002110125</v>
      </c>
      <c r="C20" s="2584"/>
      <c r="D20" s="1712" t="s">
        <v>2680</v>
      </c>
    </row>
    <row r="21" spans="1:4">
      <c r="A21" s="2582" t="str">
        <f>项目基本情况!D4</f>
        <v>郑燚</v>
      </c>
      <c r="B21" s="2582">
        <f ca="1">项目基本情况!E4</f>
        <v>2014110011</v>
      </c>
      <c r="C21" s="2584"/>
      <c r="D21" s="1712" t="s">
        <v>2681</v>
      </c>
    </row>
    <row r="23" spans="1:4">
      <c r="A23" s="3431" t="s">
        <v>2676</v>
      </c>
      <c r="B23" s="3431"/>
      <c r="C23" s="3431"/>
      <c r="D23" s="3431"/>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862</v>
      </c>
    </row>
    <row r="13" spans="1:7">
      <c r="A13" s="1151" t="s">
        <v>52</v>
      </c>
    </row>
    <row r="15" spans="1:7" ht="14.25">
      <c r="A15" s="3442" t="s">
        <v>53</v>
      </c>
      <c r="B15" s="3443" t="s">
        <v>837</v>
      </c>
      <c r="C15" s="3439"/>
    </row>
    <row r="16" spans="1:7" ht="14.25">
      <c r="A16" s="3442"/>
      <c r="B16" s="3440" t="s">
        <v>54</v>
      </c>
      <c r="C16" s="1152" t="s">
        <v>53</v>
      </c>
    </row>
    <row r="17" spans="1:3" ht="14.25">
      <c r="A17" s="3442"/>
      <c r="B17" s="3440"/>
      <c r="C17" s="1152" t="s">
        <v>55</v>
      </c>
    </row>
    <row r="18" spans="1:3" ht="14.25">
      <c r="A18" s="3442"/>
      <c r="B18" s="3440"/>
      <c r="C18" s="1152" t="s">
        <v>56</v>
      </c>
    </row>
    <row r="19" spans="1:3" ht="14.25">
      <c r="A19" s="3442"/>
      <c r="B19" s="3438" t="s">
        <v>57</v>
      </c>
      <c r="C19" s="3439"/>
    </row>
    <row r="20" spans="1:3" ht="14.25">
      <c r="A20" s="1153" t="s">
        <v>58</v>
      </c>
      <c r="B20" s="1154"/>
      <c r="C20" s="1155"/>
    </row>
    <row r="21" spans="1:3" ht="14.25">
      <c r="A21" s="3441" t="s">
        <v>59</v>
      </c>
      <c r="B21" s="3438" t="s">
        <v>60</v>
      </c>
      <c r="C21" s="3439"/>
    </row>
    <row r="22" spans="1:3" ht="14.25">
      <c r="A22" s="3441"/>
      <c r="B22" s="3438" t="s">
        <v>61</v>
      </c>
      <c r="C22" s="3439"/>
    </row>
    <row r="23" spans="1:3" ht="14.25">
      <c r="A23" s="3441"/>
      <c r="B23" s="3438" t="s">
        <v>62</v>
      </c>
      <c r="C23" s="3439"/>
    </row>
    <row r="24" spans="1:3" ht="14.25">
      <c r="A24" s="3441"/>
      <c r="B24" s="3444" t="s">
        <v>63</v>
      </c>
      <c r="C24" s="1156" t="s">
        <v>828</v>
      </c>
    </row>
    <row r="25" spans="1:3" ht="14.25">
      <c r="A25" s="3441"/>
      <c r="B25" s="3445"/>
      <c r="C25" s="1156" t="s">
        <v>829</v>
      </c>
    </row>
    <row r="26" spans="1:3" ht="14.25">
      <c r="A26" s="3441"/>
      <c r="B26" s="3445"/>
      <c r="C26" s="1156" t="s">
        <v>830</v>
      </c>
    </row>
    <row r="27" spans="1:3" ht="14.25">
      <c r="A27" s="3441"/>
      <c r="B27" s="3445"/>
      <c r="C27" s="1156" t="s">
        <v>831</v>
      </c>
    </row>
    <row r="28" spans="1:3" ht="14.25">
      <c r="A28" s="3441"/>
      <c r="B28" s="3445"/>
      <c r="C28" s="1156" t="s">
        <v>832</v>
      </c>
    </row>
    <row r="29" spans="1:3" ht="14.25">
      <c r="A29" s="3441"/>
      <c r="B29" s="3445"/>
      <c r="C29" s="1156" t="s">
        <v>833</v>
      </c>
    </row>
    <row r="30" spans="1:3" ht="14.25">
      <c r="A30" s="3441"/>
      <c r="B30" s="3445"/>
      <c r="C30" s="1156" t="s">
        <v>834</v>
      </c>
    </row>
    <row r="31" spans="1:3" ht="14.25">
      <c r="A31" s="3441"/>
      <c r="B31" s="3445"/>
      <c r="C31" s="1156" t="s">
        <v>835</v>
      </c>
    </row>
    <row r="32" spans="1:3" ht="14.25">
      <c r="A32" s="3441"/>
      <c r="B32" s="3445"/>
      <c r="C32" s="1156" t="s">
        <v>1636</v>
      </c>
    </row>
    <row r="33" spans="1:3" ht="14.25">
      <c r="A33" s="3441"/>
      <c r="B33" s="3435" t="s">
        <v>1642</v>
      </c>
      <c r="C33" s="1156" t="s">
        <v>1637</v>
      </c>
    </row>
    <row r="34" spans="1:3" ht="14.25">
      <c r="A34" s="3441"/>
      <c r="B34" s="3436"/>
      <c r="C34" s="1161" t="s">
        <v>1638</v>
      </c>
    </row>
    <row r="35" spans="1:3" ht="14.25">
      <c r="A35" s="3441"/>
      <c r="B35" s="3436"/>
      <c r="C35" s="1162" t="s">
        <v>1639</v>
      </c>
    </row>
    <row r="36" spans="1:3" ht="14.25">
      <c r="A36" s="3441"/>
      <c r="B36" s="3436"/>
      <c r="C36" s="1162" t="s">
        <v>1640</v>
      </c>
    </row>
    <row r="37" spans="1:3" ht="14.25">
      <c r="A37" s="3441"/>
      <c r="B37" s="3437"/>
      <c r="C37" s="1163" t="s">
        <v>1641</v>
      </c>
    </row>
    <row r="38" spans="1:3">
      <c r="A38" s="1157" t="s">
        <v>836</v>
      </c>
    </row>
    <row r="41" spans="1:3">
      <c r="A41" s="1157" t="s">
        <v>68</v>
      </c>
    </row>
    <row r="42" spans="1:3" ht="14.25">
      <c r="A42" s="1158" t="s">
        <v>844</v>
      </c>
    </row>
    <row r="43" spans="1:3" ht="14.25">
      <c r="A43" s="1159" t="s">
        <v>69</v>
      </c>
    </row>
    <row r="44" spans="1:3" ht="14.25">
      <c r="A44" s="1158" t="s">
        <v>843</v>
      </c>
    </row>
    <row r="45" spans="1:3" ht="14.25">
      <c r="A45" s="1160" t="s">
        <v>845</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1897</v>
      </c>
      <c r="B2" s="3022">
        <f ca="1">TODAY()</f>
        <v>44533</v>
      </c>
      <c r="C2" s="3023" t="s">
        <v>1898</v>
      </c>
      <c r="D2" s="3023"/>
      <c r="E2" s="3020"/>
      <c r="F2" s="3020"/>
      <c r="G2" s="3020"/>
    </row>
    <row r="3" spans="1:7" ht="20.25" customHeight="1">
      <c r="A3" s="3044" t="s">
        <v>1899</v>
      </c>
      <c r="B3" s="3025" t="s">
        <v>1900</v>
      </c>
      <c r="C3" s="3026" t="s">
        <v>1901</v>
      </c>
      <c r="D3" s="3045" t="s">
        <v>1902</v>
      </c>
      <c r="E3" s="3025" t="s">
        <v>1903</v>
      </c>
      <c r="F3" s="3025" t="s">
        <v>1901</v>
      </c>
      <c r="G3" s="3020"/>
    </row>
    <row r="4" spans="1:7" ht="20.25" customHeight="1">
      <c r="A4" s="3025" t="s">
        <v>1904</v>
      </c>
      <c r="B4" s="3025">
        <f ca="1">IF(C4&lt;B2,"已过期",1119970066)</f>
        <v>1119970066</v>
      </c>
      <c r="C4" s="3028">
        <v>44876</v>
      </c>
      <c r="D4" s="3036" t="s">
        <v>1904</v>
      </c>
      <c r="E4" s="3025">
        <f ca="1">IF(F4&lt;B2,"已过期",96010014)</f>
        <v>96010014</v>
      </c>
      <c r="F4" s="3027">
        <v>47118</v>
      </c>
      <c r="G4" s="3020"/>
    </row>
    <row r="5" spans="1:7" ht="20.25" customHeight="1">
      <c r="A5" s="3025" t="s">
        <v>1905</v>
      </c>
      <c r="B5" s="3025">
        <f ca="1">IF(C5&lt;B2,"已过期",1119970111)</f>
        <v>1119970111</v>
      </c>
      <c r="C5" s="3028">
        <v>44876</v>
      </c>
      <c r="D5" s="3036" t="s">
        <v>1905</v>
      </c>
      <c r="E5" s="3025">
        <f ca="1">IF(F5&lt;B2,"已过期",94010078)</f>
        <v>94010078</v>
      </c>
      <c r="F5" s="3027">
        <v>46387</v>
      </c>
      <c r="G5" s="3020"/>
    </row>
    <row r="6" spans="1:7" ht="20.25" customHeight="1">
      <c r="A6" s="3025" t="s">
        <v>1906</v>
      </c>
      <c r="B6" s="3025" t="str">
        <f ca="1">IF(C6&lt;B2,"已过期",1120050019)</f>
        <v>已过期</v>
      </c>
      <c r="C6" s="3028">
        <v>44395</v>
      </c>
      <c r="D6" s="3036" t="s">
        <v>1906</v>
      </c>
      <c r="E6" s="3025">
        <f ca="1">IF(F6&lt;B2,"已过期",2002110030)</f>
        <v>2002110030</v>
      </c>
      <c r="F6" s="3027">
        <v>46387</v>
      </c>
      <c r="G6" s="3020"/>
    </row>
    <row r="7" spans="1:7" ht="20.25" customHeight="1">
      <c r="A7" s="3025" t="s">
        <v>1907</v>
      </c>
      <c r="B7" s="3025">
        <f ca="1">IF(C7&lt;B2,"已过期",1120000080)</f>
        <v>1120000080</v>
      </c>
      <c r="C7" s="3028">
        <v>44876</v>
      </c>
      <c r="D7" s="3036" t="s">
        <v>1907</v>
      </c>
      <c r="E7" s="3025">
        <f ca="1">IF(F7&lt;B2,"已过期",2000110082)</f>
        <v>2000110082</v>
      </c>
      <c r="F7" s="3027">
        <v>46387</v>
      </c>
      <c r="G7" s="3020"/>
    </row>
    <row r="8" spans="1:7" ht="20.25" customHeight="1">
      <c r="A8" s="3025" t="s">
        <v>1908</v>
      </c>
      <c r="B8" s="3025">
        <f ca="1">IF(C8&lt;B2,"已过期",1419970001)</f>
        <v>1419970001</v>
      </c>
      <c r="C8" s="3028">
        <v>44899</v>
      </c>
      <c r="D8" s="3036" t="s">
        <v>1908</v>
      </c>
      <c r="E8" s="3025">
        <f ca="1">IF(F8&lt;B2,"已过期",2002110125)</f>
        <v>2002110125</v>
      </c>
      <c r="F8" s="3027">
        <v>47118</v>
      </c>
      <c r="G8" s="3020"/>
    </row>
    <row r="9" spans="1:7" ht="20.25" customHeight="1">
      <c r="A9" s="3025" t="s">
        <v>1909</v>
      </c>
      <c r="B9" s="3025">
        <f ca="1">IF(C9&lt;B2,"已过期",1120060040)</f>
        <v>1120060040</v>
      </c>
      <c r="C9" s="3028">
        <v>44554</v>
      </c>
      <c r="D9" s="3036" t="s">
        <v>1909</v>
      </c>
      <c r="E9" s="3025">
        <f ca="1">IF(F9&lt;B2,"已过期",2004110096)</f>
        <v>2004110096</v>
      </c>
      <c r="F9" s="3027">
        <v>47118</v>
      </c>
      <c r="G9" s="3020"/>
    </row>
    <row r="10" spans="1:7" ht="20.25" customHeight="1">
      <c r="A10" s="3025" t="s">
        <v>1910</v>
      </c>
      <c r="B10" s="3025">
        <f ca="1">IF(C10&lt;B2,"已过期",1120100036)</f>
        <v>1120100036</v>
      </c>
      <c r="C10" s="3028">
        <v>44675</v>
      </c>
      <c r="D10" s="3036" t="s">
        <v>1910</v>
      </c>
      <c r="E10" s="3025">
        <f ca="1">IF(F10&lt;B2,"已过期",2010110070)</f>
        <v>2010110070</v>
      </c>
      <c r="F10" s="3027">
        <v>47907</v>
      </c>
      <c r="G10" s="3020"/>
    </row>
    <row r="11" spans="1:7" ht="20.25" customHeight="1">
      <c r="A11" s="3025" t="s">
        <v>1911</v>
      </c>
      <c r="B11" s="3025">
        <f ca="1">IF(C11&lt;B2,"已过期",1120070131)</f>
        <v>1120070131</v>
      </c>
      <c r="C11" s="3028">
        <v>44849</v>
      </c>
      <c r="D11" s="3036" t="s">
        <v>1911</v>
      </c>
      <c r="E11" s="3025">
        <f ca="1">IF(F11&lt;B2,"已过期",2014110011)</f>
        <v>2014110011</v>
      </c>
      <c r="F11" s="3027">
        <v>49302</v>
      </c>
      <c r="G11" s="3020"/>
    </row>
    <row r="12" spans="1:7" ht="20.25" customHeight="1">
      <c r="A12" s="3025" t="s">
        <v>2923</v>
      </c>
      <c r="B12" s="3025">
        <f ca="1">IF(C12&lt;B2,"已过期",1120040230)</f>
        <v>1120040230</v>
      </c>
      <c r="C12" s="3028">
        <v>44864</v>
      </c>
      <c r="D12" s="3036" t="s">
        <v>2924</v>
      </c>
      <c r="E12" s="3025">
        <f ca="1">IF(F12&lt;B2,"已过期",98030020)</f>
        <v>98030020</v>
      </c>
      <c r="F12" s="3027">
        <v>47118</v>
      </c>
      <c r="G12" s="3020"/>
    </row>
    <row r="13" spans="1:7" ht="20.25" customHeight="1">
      <c r="A13" s="3025"/>
      <c r="B13" s="3025"/>
      <c r="C13" s="3028"/>
      <c r="D13" s="3036" t="s">
        <v>1912</v>
      </c>
      <c r="E13" s="3025">
        <f ca="1">IF(F13&lt;B2,"已过期",2011110090)</f>
        <v>2011110090</v>
      </c>
      <c r="F13" s="3027">
        <v>48302</v>
      </c>
      <c r="G13" s="3020"/>
    </row>
    <row r="14" spans="1:7" ht="20.25" customHeight="1">
      <c r="A14" s="3025" t="s">
        <v>1913</v>
      </c>
      <c r="B14" s="3025" t="str">
        <f ca="1">IF(C14&lt;B2,"已过期",1120020033)</f>
        <v>已过期</v>
      </c>
      <c r="C14" s="3028">
        <v>44339</v>
      </c>
      <c r="D14" s="3036" t="s">
        <v>1913</v>
      </c>
      <c r="E14" s="3025">
        <f ca="1">IF(F14&lt;B2,"已过期",2000110137)</f>
        <v>2000110137</v>
      </c>
      <c r="F14" s="3027">
        <v>46387</v>
      </c>
      <c r="G14" s="3020"/>
    </row>
    <row r="15" spans="1:7" ht="20.25" customHeight="1">
      <c r="A15" s="3025" t="s">
        <v>2938</v>
      </c>
      <c r="B15" s="3025" t="str">
        <f ca="1">IF(C14&lt;B2,"已过期",1119980106)</f>
        <v>已过期</v>
      </c>
      <c r="C15" s="3028">
        <v>44969</v>
      </c>
      <c r="D15" s="3036"/>
      <c r="E15" s="3025"/>
      <c r="F15" s="3025"/>
      <c r="G15" s="3020"/>
    </row>
    <row r="16" spans="1:7" s="2826" customFormat="1" ht="20.25" customHeight="1">
      <c r="A16" s="3024" t="s">
        <v>2040</v>
      </c>
      <c r="B16" s="3024" t="s">
        <v>2040</v>
      </c>
      <c r="C16" s="3028"/>
      <c r="D16" s="3037" t="s">
        <v>2040</v>
      </c>
      <c r="E16" s="3025" t="s">
        <v>2040</v>
      </c>
      <c r="F16" s="3027"/>
      <c r="G16" s="3029"/>
    </row>
    <row r="17" spans="1:7" ht="20.25" customHeight="1">
      <c r="A17" s="3449" t="s">
        <v>1914</v>
      </c>
      <c r="B17" s="3450"/>
      <c r="C17" s="3450"/>
      <c r="D17" s="3450"/>
      <c r="E17" s="3450"/>
      <c r="F17" s="3450"/>
      <c r="G17" s="3029"/>
    </row>
    <row r="18" spans="1:7" ht="20.25" customHeight="1">
      <c r="A18" s="3446" t="s">
        <v>1915</v>
      </c>
      <c r="B18" s="3446"/>
      <c r="C18" s="3447"/>
      <c r="D18" s="3448" t="s">
        <v>1916</v>
      </c>
      <c r="E18" s="3446"/>
      <c r="F18" s="3446"/>
      <c r="G18" s="3029"/>
    </row>
    <row r="19" spans="1:7" s="2824" customFormat="1" ht="20.25" customHeight="1">
      <c r="A19" s="3030" t="s">
        <v>1917</v>
      </c>
      <c r="B19" s="3031" t="s">
        <v>1918</v>
      </c>
      <c r="C19" s="3038" t="s">
        <v>1919</v>
      </c>
      <c r="D19" s="3036" t="s">
        <v>1917</v>
      </c>
      <c r="E19" s="3031" t="s">
        <v>1918</v>
      </c>
      <c r="F19" s="3031" t="s">
        <v>1919</v>
      </c>
      <c r="G19" s="3021"/>
    </row>
    <row r="20" spans="1:7" s="2824" customFormat="1" ht="20.25" customHeight="1">
      <c r="A20" s="3032" t="s">
        <v>1920</v>
      </c>
      <c r="B20" s="3032" t="s">
        <v>1921</v>
      </c>
      <c r="C20" s="3039">
        <v>44820</v>
      </c>
      <c r="D20" s="3041" t="s">
        <v>1922</v>
      </c>
      <c r="E20" s="3032" t="s">
        <v>1923</v>
      </c>
      <c r="F20" s="3033">
        <v>44377</v>
      </c>
      <c r="G20" s="3021"/>
    </row>
    <row r="21" spans="1:7" s="2824" customFormat="1" ht="20.25" customHeight="1">
      <c r="A21" s="3032"/>
      <c r="B21" s="3032"/>
      <c r="C21" s="3040"/>
      <c r="D21" s="3041" t="s">
        <v>1924</v>
      </c>
      <c r="E21" s="3032" t="s">
        <v>2937</v>
      </c>
      <c r="F21" s="3033">
        <v>44012</v>
      </c>
      <c r="G21" s="3021"/>
    </row>
    <row r="22" spans="1:7" ht="20.25" customHeight="1">
      <c r="A22" s="3020"/>
      <c r="B22" s="3020"/>
      <c r="C22" s="3034"/>
      <c r="D22" s="3042"/>
      <c r="E22" s="3043"/>
      <c r="F22" s="3035" t="s">
        <v>2950</v>
      </c>
      <c r="G22" s="3020"/>
    </row>
  </sheetData>
  <sheetProtection password="CEE9" sheet="1" objects="1" scenarios="1"/>
  <mergeCells count="3">
    <mergeCell ref="A18:C18"/>
    <mergeCell ref="D18:F18"/>
    <mergeCell ref="A17:F17"/>
  </mergeCells>
  <phoneticPr fontId="4" type="noConversion"/>
  <conditionalFormatting sqref="C16:D16 C5 C12:C13">
    <cfRule type="expression" dxfId="252" priority="149">
      <formula>AND($C5-TODAY()&lt;30,TODAY()&lt;$C5)</formula>
    </cfRule>
  </conditionalFormatting>
  <conditionalFormatting sqref="C20">
    <cfRule type="expression" dxfId="251" priority="148">
      <formula>AND($C20-TODAY()&lt;30,TODAY()&lt;$C20)</formula>
    </cfRule>
  </conditionalFormatting>
  <conditionalFormatting sqref="C20 F4 C5 C13">
    <cfRule type="cellIs" dxfId="250" priority="150" stopIfTrue="1" operator="lessThan">
      <formula>$B$2</formula>
    </cfRule>
  </conditionalFormatting>
  <conditionalFormatting sqref="F5 F7 F9">
    <cfRule type="cellIs" dxfId="249" priority="144" stopIfTrue="1" operator="lessThan">
      <formula>$B$2</formula>
    </cfRule>
  </conditionalFormatting>
  <conditionalFormatting sqref="C16:D16">
    <cfRule type="expression" dxfId="248" priority="142">
      <formula>AND($C16-TODAY()&lt;30,TODAY()&lt;$C16)</formula>
    </cfRule>
  </conditionalFormatting>
  <conditionalFormatting sqref="F6 F8 F10 C16:D16">
    <cfRule type="cellIs" dxfId="247" priority="143" stopIfTrue="1" operator="lessThan">
      <formula>$B$2</formula>
    </cfRule>
  </conditionalFormatting>
  <conditionalFormatting sqref="F14">
    <cfRule type="cellIs" dxfId="246" priority="114" stopIfTrue="1" operator="lessThan">
      <formula>$B$2</formula>
    </cfRule>
  </conditionalFormatting>
  <conditionalFormatting sqref="F13">
    <cfRule type="cellIs" dxfId="245" priority="113" stopIfTrue="1" operator="lessThan">
      <formula>$B$2</formula>
    </cfRule>
  </conditionalFormatting>
  <conditionalFormatting sqref="B4:B11 E4:E11 E13:E15 B13:B15">
    <cfRule type="cellIs" dxfId="244" priority="111" stopIfTrue="1" operator="equal">
      <formula>"已过期"</formula>
    </cfRule>
  </conditionalFormatting>
  <conditionalFormatting sqref="F20">
    <cfRule type="cellIs" dxfId="243" priority="108" stopIfTrue="1" operator="lessThan">
      <formula>$B$2</formula>
    </cfRule>
  </conditionalFormatting>
  <conditionalFormatting sqref="F20">
    <cfRule type="expression" dxfId="242" priority="152">
      <formula>AND($E20-TODAY()&lt;30,TODAY()&lt;$E20)</formula>
    </cfRule>
  </conditionalFormatting>
  <conditionalFormatting sqref="C6">
    <cfRule type="expression" dxfId="241" priority="82">
      <formula>AND($C6-TODAY()&lt;30,TODAY()&lt;$C6)</formula>
    </cfRule>
  </conditionalFormatting>
  <conditionalFormatting sqref="C6">
    <cfRule type="cellIs" dxfId="240" priority="83" stopIfTrue="1" operator="lessThan">
      <formula>$B$2</formula>
    </cfRule>
  </conditionalFormatting>
  <conditionalFormatting sqref="C11 C15">
    <cfRule type="expression" dxfId="239" priority="80">
      <formula>AND($C11-TODAY()&lt;30,TODAY()&lt;$C11)</formula>
    </cfRule>
  </conditionalFormatting>
  <conditionalFormatting sqref="C11 C15">
    <cfRule type="cellIs" dxfId="238" priority="81" stopIfTrue="1" operator="lessThan">
      <formula>$B$2</formula>
    </cfRule>
  </conditionalFormatting>
  <conditionalFormatting sqref="F11">
    <cfRule type="cellIs" dxfId="237" priority="79" stopIfTrue="1" operator="lessThan">
      <formula>$B$2</formula>
    </cfRule>
  </conditionalFormatting>
  <conditionalFormatting sqref="C14">
    <cfRule type="expression" dxfId="236" priority="60">
      <formula>AND($C14-TODAY()&lt;30,TODAY()&lt;$C14)</formula>
    </cfRule>
  </conditionalFormatting>
  <conditionalFormatting sqref="C14">
    <cfRule type="cellIs" dxfId="235" priority="61" stopIfTrue="1" operator="lessThan">
      <formula>$B$2</formula>
    </cfRule>
  </conditionalFormatting>
  <conditionalFormatting sqref="C12">
    <cfRule type="cellIs" dxfId="234" priority="54" stopIfTrue="1" operator="lessThan">
      <formula>$B$2</formula>
    </cfRule>
  </conditionalFormatting>
  <conditionalFormatting sqref="C12">
    <cfRule type="expression" dxfId="233" priority="51">
      <formula>AND($C12-TODAY()&lt;30,TODAY()&lt;$C12)</formula>
    </cfRule>
  </conditionalFormatting>
  <conditionalFormatting sqref="C12">
    <cfRule type="cellIs" dxfId="232" priority="52" stopIfTrue="1" operator="lessThan">
      <formula>$B$2</formula>
    </cfRule>
  </conditionalFormatting>
  <conditionalFormatting sqref="B12">
    <cfRule type="cellIs" dxfId="231" priority="48" stopIfTrue="1" operator="equal">
      <formula>"已过期"</formula>
    </cfRule>
  </conditionalFormatting>
  <conditionalFormatting sqref="E12">
    <cfRule type="cellIs" dxfId="230" priority="38" stopIfTrue="1" operator="equal">
      <formula>"已过期"</formula>
    </cfRule>
  </conditionalFormatting>
  <conditionalFormatting sqref="F12">
    <cfRule type="cellIs" dxfId="229" priority="37" stopIfTrue="1" operator="lessThan">
      <formula>$B$2</formula>
    </cfRule>
  </conditionalFormatting>
  <conditionalFormatting sqref="C9:C10">
    <cfRule type="expression" dxfId="228" priority="33">
      <formula>AND($C9-TODAY()&lt;30,TODAY()&lt;$C9)</formula>
    </cfRule>
  </conditionalFormatting>
  <conditionalFormatting sqref="C9:C10">
    <cfRule type="cellIs" dxfId="227" priority="34" stopIfTrue="1" operator="lessThan">
      <formula>$B$2</formula>
    </cfRule>
  </conditionalFormatting>
  <conditionalFormatting sqref="F21">
    <cfRule type="cellIs" dxfId="226" priority="13" stopIfTrue="1" operator="lessThan">
      <formula>$B$2</formula>
    </cfRule>
  </conditionalFormatting>
  <conditionalFormatting sqref="F21">
    <cfRule type="expression" dxfId="225" priority="14">
      <formula>AND($E21-TODAY()&lt;30,TODAY()&lt;$E21)</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7:C8">
    <cfRule type="expression" dxfId="222" priority="3">
      <formula>AND($C7-TODAY()&lt;30,TODAY()&lt;$C7)</formula>
    </cfRule>
  </conditionalFormatting>
  <conditionalFormatting sqref="C7:C8">
    <cfRule type="cellIs" dxfId="221" priority="4" stopIfTrue="1" operator="lessThan">
      <formula>$B$2</formula>
    </cfRule>
  </conditionalFormatting>
  <conditionalFormatting sqref="C4">
    <cfRule type="expression" dxfId="220" priority="1">
      <formula>AND($C4-TODAY()&lt;30,TODAY()&lt;$C4)</formula>
    </cfRule>
  </conditionalFormatting>
  <conditionalFormatting sqref="C4">
    <cfRule type="cellIs" dxfId="21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X29" sqref="X2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89"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0" t="s">
        <v>870</v>
      </c>
      <c r="Q2" s="9" t="s">
        <v>75</v>
      </c>
      <c r="R2" s="990" t="s">
        <v>2519</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0" t="s">
        <v>753</v>
      </c>
      <c r="Q4" s="9" t="s">
        <v>92</v>
      </c>
      <c r="R4" s="990" t="s">
        <v>2521</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868</v>
      </c>
    </row>
    <row r="6" spans="1:23">
      <c r="A6" s="8" t="s">
        <v>99</v>
      </c>
      <c r="B6" s="1129" t="s">
        <v>1630</v>
      </c>
      <c r="C6" s="1489" t="s">
        <v>1703</v>
      </c>
      <c r="F6" s="9" t="s">
        <v>71</v>
      </c>
      <c r="H6" s="9" t="s">
        <v>72</v>
      </c>
      <c r="I6" s="9" t="s">
        <v>100</v>
      </c>
      <c r="K6" s="9" t="s">
        <v>101</v>
      </c>
      <c r="L6" s="9" t="s">
        <v>101</v>
      </c>
      <c r="M6" s="9" t="s">
        <v>101</v>
      </c>
      <c r="N6" s="9" t="s">
        <v>101</v>
      </c>
      <c r="O6" s="9" t="s">
        <v>101</v>
      </c>
      <c r="P6" s="990" t="s">
        <v>871</v>
      </c>
      <c r="Q6" s="9" t="s">
        <v>101</v>
      </c>
      <c r="R6" s="990" t="s">
        <v>2523</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8" t="s">
        <v>156</v>
      </c>
      <c r="C9" s="1487" t="s">
        <v>1706</v>
      </c>
      <c r="F9" s="9" t="s">
        <v>110</v>
      </c>
      <c r="H9" s="9"/>
    </row>
    <row r="10" spans="1:23">
      <c r="A10" s="8" t="s">
        <v>111</v>
      </c>
      <c r="B10" s="8" t="s">
        <v>157</v>
      </c>
      <c r="C10" s="1487" t="s">
        <v>1707</v>
      </c>
      <c r="F10" s="9" t="s">
        <v>6</v>
      </c>
    </row>
    <row r="11" spans="1:23">
      <c r="A11" s="8" t="s">
        <v>112</v>
      </c>
      <c r="B11" s="8" t="s">
        <v>158</v>
      </c>
      <c r="C11" s="1487" t="s">
        <v>1708</v>
      </c>
    </row>
    <row r="12" spans="1:23">
      <c r="A12" s="8" t="s">
        <v>113</v>
      </c>
      <c r="B12" s="8" t="s">
        <v>159</v>
      </c>
      <c r="C12" s="1487" t="s">
        <v>1709</v>
      </c>
    </row>
    <row r="13" spans="1:23">
      <c r="A13" s="8" t="s">
        <v>114</v>
      </c>
      <c r="B13" s="8" t="s">
        <v>160</v>
      </c>
      <c r="C13" s="1487" t="s">
        <v>1710</v>
      </c>
    </row>
    <row r="14" spans="1:23">
      <c r="A14" s="8" t="s">
        <v>115</v>
      </c>
      <c r="B14" s="8" t="s">
        <v>161</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87" t="s">
        <v>2899</v>
      </c>
      <c r="C18" s="1490"/>
    </row>
    <row r="19" spans="1:3">
      <c r="A19" s="8" t="s">
        <v>120</v>
      </c>
      <c r="B19" s="2787" t="s">
        <v>2906</v>
      </c>
      <c r="C19" s="1490"/>
    </row>
    <row r="20" spans="1:3">
      <c r="A20" s="8" t="s">
        <v>121</v>
      </c>
      <c r="B20" s="2787" t="s">
        <v>2951</v>
      </c>
      <c r="C20" s="1490"/>
    </row>
    <row r="21" spans="1:3">
      <c r="A21" s="8" t="s">
        <v>122</v>
      </c>
      <c r="B21" s="8" t="s">
        <v>1631</v>
      </c>
      <c r="C21" s="1490"/>
    </row>
    <row r="22" spans="1:3">
      <c r="A22" s="8" t="s">
        <v>123</v>
      </c>
      <c r="B22" s="8" t="s">
        <v>3132</v>
      </c>
      <c r="C22" s="1490"/>
    </row>
    <row r="23" spans="1:3">
      <c r="A23" s="8" t="s">
        <v>124</v>
      </c>
      <c r="B23" s="8" t="s">
        <v>1631</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宋庄镇6004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451"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日，在规划利用条件下、设定土地开发程度为红线外“七通”、宗地内场地，设定用途为，剩余土地使用年限为的出让国有建设用地使用权价格。</v>
      </c>
      <c r="D53" s="1682"/>
      <c r="E53" s="1682"/>
    </row>
    <row r="54" spans="1:5">
      <c r="A54" s="3451"/>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451"/>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451"/>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451"/>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规划面积表预评用</vt:lpstr>
      <vt:lpstr>数据-取费表</vt:lpstr>
      <vt:lpstr>权属信息</vt:lpstr>
      <vt:lpstr>多规合一4、21、24、7</vt:lpstr>
      <vt:lpstr>规证1、10、18</vt:lpstr>
      <vt:lpstr>估价对象房地状况</vt:lpstr>
      <vt:lpstr>系统读取表</vt:lpstr>
      <vt:lpstr>结果表</vt:lpstr>
      <vt:lpstr>比较法-住宅、综合</vt:lpstr>
      <vt:lpstr>土地案例</vt:lpstr>
      <vt:lpstr>剩余法-待开发</vt:lpstr>
      <vt:lpstr>不动产比较法-住宅</vt:lpstr>
      <vt:lpstr>住宅及车库案例</vt:lpstr>
      <vt:lpstr>不动产比较法-车位</vt:lpstr>
      <vt:lpstr>不动产比较法-仓储</vt:lpstr>
      <vt:lpstr>地下仓储案例</vt:lpstr>
      <vt:lpstr>不动产收益法</vt:lpstr>
      <vt:lpstr>剩余法-现房</vt:lpstr>
      <vt:lpstr>比较法-工业</vt:lpstr>
      <vt:lpstr>基准地价（汇总）</vt:lpstr>
      <vt:lpstr>基准地价</vt:lpstr>
      <vt:lpstr>修正</vt:lpstr>
      <vt:lpstr>区片价</vt:lpstr>
      <vt:lpstr>容积率修正</vt:lpstr>
      <vt:lpstr>因素修正幅度</vt:lpstr>
      <vt:lpstr>地价</vt:lpstr>
      <vt:lpstr>收益还原法</vt:lpstr>
      <vt:lpstr>酒店收入计算</vt:lpstr>
      <vt:lpstr>成本逼近法</vt:lpstr>
      <vt:lpstr>不动产收益法 (车库)</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2021-12-03T08:40:07Z</dcterms:modified>
</cp:coreProperties>
</file>