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" yWindow="15" windowWidth="12120" windowHeight="7620" tabRatio="787" firstSheet="2" activeTab="3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B9" i="59"/>
  <c r="G22"/>
  <c r="I4" i="67" l="1"/>
  <c r="L4"/>
  <c r="K4"/>
  <c r="J4"/>
  <c r="Q6" l="1"/>
  <c r="P6"/>
  <c r="O6"/>
  <c r="N6"/>
  <c r="N7" l="1"/>
  <c r="O7"/>
  <c r="P7"/>
  <c r="Q7"/>
  <c r="B15" i="59" l="1"/>
  <c r="F7" l="1"/>
  <c r="N8" i="67" l="1"/>
  <c r="O8"/>
  <c r="P8"/>
  <c r="Q8"/>
  <c r="E15" i="68" l="1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B2" s="1"/>
  <c r="B14"/>
  <c r="B1" s="1"/>
  <c r="B3"/>
  <c r="B8"/>
  <c r="B7"/>
  <c r="B6"/>
  <c r="B5"/>
  <c r="C7" l="1"/>
  <c r="E14"/>
  <c r="F14"/>
  <c r="C6"/>
  <c r="C8"/>
  <c r="D5"/>
  <c r="D7"/>
  <c r="C5"/>
  <c r="D6"/>
  <c r="D8"/>
  <c r="N9" i="67" l="1"/>
  <c r="O9"/>
  <c r="P9"/>
  <c r="Q9"/>
  <c r="N10"/>
  <c r="O10"/>
  <c r="P10"/>
  <c r="Q10"/>
  <c r="B10" l="1"/>
  <c r="S10" s="1"/>
  <c r="F10"/>
  <c r="V10" s="1"/>
  <c r="E10"/>
  <c r="U10" s="1"/>
  <c r="C10"/>
  <c r="T10" s="1"/>
  <c r="C9" l="1"/>
  <c r="C8" s="1"/>
  <c r="D8" s="1"/>
  <c r="C7"/>
  <c r="E9"/>
  <c r="E8" s="1"/>
  <c r="E7" s="1"/>
  <c r="E6" s="1"/>
  <c r="B9"/>
  <c r="B8" s="1"/>
  <c r="B7" s="1"/>
  <c r="B6" s="1"/>
  <c r="F9"/>
  <c r="F8" s="1"/>
  <c r="F7" s="1"/>
  <c r="F6" s="1"/>
  <c r="D10"/>
  <c r="D9" l="1"/>
  <c r="D7"/>
  <c r="C6"/>
  <c r="D6" s="1"/>
  <c r="D71"/>
  <c r="D67"/>
  <c r="D63"/>
  <c r="D59"/>
  <c r="D55"/>
  <c r="D51"/>
  <c r="D47"/>
  <c r="D43"/>
  <c r="D39"/>
  <c r="D35"/>
  <c r="D31"/>
  <c r="D30"/>
  <c r="D27"/>
  <c r="D23"/>
  <c r="D19"/>
  <c r="D15"/>
  <c r="D11"/>
  <c r="F70"/>
  <c r="E70"/>
  <c r="C70"/>
  <c r="D70" s="1"/>
  <c r="B70"/>
  <c r="F69"/>
  <c r="E69"/>
  <c r="C69"/>
  <c r="D69" s="1"/>
  <c r="B69"/>
  <c r="F68"/>
  <c r="E68"/>
  <c r="C68"/>
  <c r="D68" s="1"/>
  <c r="B68"/>
  <c r="F66"/>
  <c r="E66"/>
  <c r="C66"/>
  <c r="D66" s="1"/>
  <c r="B66"/>
  <c r="F65"/>
  <c r="E65"/>
  <c r="C65"/>
  <c r="D65" s="1"/>
  <c r="B65"/>
  <c r="F64"/>
  <c r="E64"/>
  <c r="C64"/>
  <c r="D64" s="1"/>
  <c r="B64"/>
  <c r="Q62"/>
  <c r="P62"/>
  <c r="O62"/>
  <c r="N62"/>
  <c r="F62"/>
  <c r="V62" s="1"/>
  <c r="E62"/>
  <c r="U62" s="1"/>
  <c r="C62"/>
  <c r="T62" s="1"/>
  <c r="B62"/>
  <c r="S62" s="1"/>
  <c r="Q61"/>
  <c r="P61"/>
  <c r="O61"/>
  <c r="N61"/>
  <c r="F61"/>
  <c r="E61"/>
  <c r="C61"/>
  <c r="D61" s="1"/>
  <c r="B61"/>
  <c r="Q60"/>
  <c r="P60"/>
  <c r="O60"/>
  <c r="N60"/>
  <c r="F60"/>
  <c r="E60"/>
  <c r="C60"/>
  <c r="D60" s="1"/>
  <c r="B60"/>
  <c r="Q59"/>
  <c r="P59"/>
  <c r="O59"/>
  <c r="N59"/>
  <c r="Q58"/>
  <c r="P58"/>
  <c r="O58"/>
  <c r="N58"/>
  <c r="F58"/>
  <c r="V58" s="1"/>
  <c r="E58"/>
  <c r="U58" s="1"/>
  <c r="C58"/>
  <c r="T58" s="1"/>
  <c r="B58"/>
  <c r="S58" s="1"/>
  <c r="Q57"/>
  <c r="P57"/>
  <c r="O57"/>
  <c r="N57"/>
  <c r="F57"/>
  <c r="E57"/>
  <c r="C57"/>
  <c r="D57" s="1"/>
  <c r="B57"/>
  <c r="Q56"/>
  <c r="P56"/>
  <c r="O56"/>
  <c r="N56"/>
  <c r="F56"/>
  <c r="E56"/>
  <c r="C56"/>
  <c r="D56" s="1"/>
  <c r="B56"/>
  <c r="Q55"/>
  <c r="P55"/>
  <c r="O55"/>
  <c r="N55"/>
  <c r="Q54"/>
  <c r="P54"/>
  <c r="O54"/>
  <c r="N54"/>
  <c r="F54"/>
  <c r="V54" s="1"/>
  <c r="E54"/>
  <c r="U54" s="1"/>
  <c r="C54"/>
  <c r="T54" s="1"/>
  <c r="B54"/>
  <c r="S54" s="1"/>
  <c r="Q53"/>
  <c r="P53"/>
  <c r="O53"/>
  <c r="N53"/>
  <c r="F53"/>
  <c r="E53"/>
  <c r="C53"/>
  <c r="D53" s="1"/>
  <c r="B53"/>
  <c r="Q52"/>
  <c r="P52"/>
  <c r="O52"/>
  <c r="N52"/>
  <c r="F52"/>
  <c r="E52"/>
  <c r="C52"/>
  <c r="D52" s="1"/>
  <c r="B52"/>
  <c r="Q51"/>
  <c r="P51"/>
  <c r="O51"/>
  <c r="N51"/>
  <c r="F50"/>
  <c r="V50" s="1"/>
  <c r="E50"/>
  <c r="U50" s="1"/>
  <c r="C50"/>
  <c r="T50" s="1"/>
  <c r="B50"/>
  <c r="S50" s="1"/>
  <c r="F49"/>
  <c r="Q49" s="1"/>
  <c r="E49"/>
  <c r="P49" s="1"/>
  <c r="C49"/>
  <c r="O49" s="1"/>
  <c r="B49"/>
  <c r="N49" s="1"/>
  <c r="F48"/>
  <c r="Q48" s="1"/>
  <c r="E48"/>
  <c r="P48" s="1"/>
  <c r="C48"/>
  <c r="O48" s="1"/>
  <c r="B48"/>
  <c r="N48" s="1"/>
  <c r="Q47"/>
  <c r="P47"/>
  <c r="O47"/>
  <c r="N47"/>
  <c r="Q46"/>
  <c r="P46"/>
  <c r="O46"/>
  <c r="N46"/>
  <c r="Q45"/>
  <c r="P45"/>
  <c r="O45"/>
  <c r="N45"/>
  <c r="Q44"/>
  <c r="P44"/>
  <c r="O44"/>
  <c r="N44"/>
  <c r="Q43"/>
  <c r="F44" s="1"/>
  <c r="F45" s="1"/>
  <c r="F46" s="1"/>
  <c r="V46" s="1"/>
  <c r="P43"/>
  <c r="E44" s="1"/>
  <c r="E45" s="1"/>
  <c r="E46" s="1"/>
  <c r="U46" s="1"/>
  <c r="O43"/>
  <c r="C44" s="1"/>
  <c r="C45" s="1"/>
  <c r="C46" s="1"/>
  <c r="T46" s="1"/>
  <c r="N43"/>
  <c r="B44" s="1"/>
  <c r="B45" s="1"/>
  <c r="B46" s="1"/>
  <c r="S46" s="1"/>
  <c r="Q42"/>
  <c r="P42"/>
  <c r="O42"/>
  <c r="N42"/>
  <c r="Q41"/>
  <c r="P41"/>
  <c r="O41"/>
  <c r="N41"/>
  <c r="Q40"/>
  <c r="P40"/>
  <c r="O40"/>
  <c r="N40"/>
  <c r="Q39"/>
  <c r="F40" s="1"/>
  <c r="F41" s="1"/>
  <c r="F42" s="1"/>
  <c r="V42" s="1"/>
  <c r="P39"/>
  <c r="E40" s="1"/>
  <c r="E41" s="1"/>
  <c r="E42" s="1"/>
  <c r="U42" s="1"/>
  <c r="O39"/>
  <c r="C40" s="1"/>
  <c r="C41" s="1"/>
  <c r="C42" s="1"/>
  <c r="T42" s="1"/>
  <c r="N39"/>
  <c r="B40" s="1"/>
  <c r="B41" s="1"/>
  <c r="B42" s="1"/>
  <c r="S42" s="1"/>
  <c r="Q38"/>
  <c r="P38"/>
  <c r="O38"/>
  <c r="N38"/>
  <c r="Q37"/>
  <c r="P37"/>
  <c r="O37"/>
  <c r="N37"/>
  <c r="Q36"/>
  <c r="P36"/>
  <c r="O36"/>
  <c r="N36"/>
  <c r="Q35"/>
  <c r="F36" s="1"/>
  <c r="F37" s="1"/>
  <c r="F38" s="1"/>
  <c r="V38" s="1"/>
  <c r="P35"/>
  <c r="E36" s="1"/>
  <c r="E37" s="1"/>
  <c r="E38" s="1"/>
  <c r="U38" s="1"/>
  <c r="O35"/>
  <c r="C36" s="1"/>
  <c r="C37" s="1"/>
  <c r="C38" s="1"/>
  <c r="T38" s="1"/>
  <c r="N35"/>
  <c r="B36" s="1"/>
  <c r="B37" s="1"/>
  <c r="B38" s="1"/>
  <c r="S38" s="1"/>
  <c r="Q34"/>
  <c r="P34"/>
  <c r="O34"/>
  <c r="N34"/>
  <c r="Q33"/>
  <c r="P33"/>
  <c r="O33"/>
  <c r="N33"/>
  <c r="Q32"/>
  <c r="P32"/>
  <c r="O32"/>
  <c r="N32"/>
  <c r="Q31"/>
  <c r="F32" s="1"/>
  <c r="F33" s="1"/>
  <c r="F34" s="1"/>
  <c r="V34" s="1"/>
  <c r="P31"/>
  <c r="E32" s="1"/>
  <c r="E33" s="1"/>
  <c r="E34" s="1"/>
  <c r="U34" s="1"/>
  <c r="O31"/>
  <c r="C32" s="1"/>
  <c r="C33" s="1"/>
  <c r="C34" s="1"/>
  <c r="T34" s="1"/>
  <c r="N31"/>
  <c r="B32" s="1"/>
  <c r="B33" s="1"/>
  <c r="B34" s="1"/>
  <c r="S34" s="1"/>
  <c r="T30"/>
  <c r="Q30"/>
  <c r="P30"/>
  <c r="O30"/>
  <c r="N30"/>
  <c r="Q29"/>
  <c r="P29"/>
  <c r="O29"/>
  <c r="N29"/>
  <c r="Q28"/>
  <c r="P28"/>
  <c r="O28"/>
  <c r="N28"/>
  <c r="Q27"/>
  <c r="F28" s="1"/>
  <c r="F29" s="1"/>
  <c r="F30" s="1"/>
  <c r="V30" s="1"/>
  <c r="P27"/>
  <c r="E28" s="1"/>
  <c r="E29" s="1"/>
  <c r="E30" s="1"/>
  <c r="U30" s="1"/>
  <c r="O27"/>
  <c r="C28" s="1"/>
  <c r="C29" s="1"/>
  <c r="D29" s="1"/>
  <c r="N27"/>
  <c r="B28" s="1"/>
  <c r="B29" s="1"/>
  <c r="B30" s="1"/>
  <c r="S30" s="1"/>
  <c r="Q26"/>
  <c r="P26"/>
  <c r="O26"/>
  <c r="N26"/>
  <c r="Q25"/>
  <c r="P25"/>
  <c r="O25"/>
  <c r="N25"/>
  <c r="Q24"/>
  <c r="P24"/>
  <c r="O24"/>
  <c r="N24"/>
  <c r="Q23"/>
  <c r="F24" s="1"/>
  <c r="F25" s="1"/>
  <c r="F26" s="1"/>
  <c r="V26" s="1"/>
  <c r="P23"/>
  <c r="E24" s="1"/>
  <c r="E25" s="1"/>
  <c r="E26" s="1"/>
  <c r="U26" s="1"/>
  <c r="O23"/>
  <c r="C24" s="1"/>
  <c r="C25" s="1"/>
  <c r="C26" s="1"/>
  <c r="T26" s="1"/>
  <c r="N23"/>
  <c r="B24" s="1"/>
  <c r="B25" s="1"/>
  <c r="B26" s="1"/>
  <c r="S26" s="1"/>
  <c r="Q22"/>
  <c r="P22"/>
  <c r="O22"/>
  <c r="N22"/>
  <c r="Q21"/>
  <c r="P21"/>
  <c r="O21"/>
  <c r="N21"/>
  <c r="Q20"/>
  <c r="P20"/>
  <c r="O20"/>
  <c r="N20"/>
  <c r="Q19"/>
  <c r="F20" s="1"/>
  <c r="F21" s="1"/>
  <c r="F22" s="1"/>
  <c r="V22" s="1"/>
  <c r="P19"/>
  <c r="E20" s="1"/>
  <c r="E21" s="1"/>
  <c r="E22" s="1"/>
  <c r="U22" s="1"/>
  <c r="O19"/>
  <c r="C20" s="1"/>
  <c r="C21" s="1"/>
  <c r="C22" s="1"/>
  <c r="T22" s="1"/>
  <c r="N19"/>
  <c r="B20" s="1"/>
  <c r="B21" s="1"/>
  <c r="B22" s="1"/>
  <c r="S22" s="1"/>
  <c r="Q18"/>
  <c r="P18"/>
  <c r="O18"/>
  <c r="N18"/>
  <c r="Q17"/>
  <c r="P17"/>
  <c r="O17"/>
  <c r="N17"/>
  <c r="Q16"/>
  <c r="P16"/>
  <c r="O16"/>
  <c r="N16"/>
  <c r="Q15"/>
  <c r="F16" s="1"/>
  <c r="F17" s="1"/>
  <c r="F18" s="1"/>
  <c r="V18" s="1"/>
  <c r="P15"/>
  <c r="E16" s="1"/>
  <c r="E17" s="1"/>
  <c r="E18" s="1"/>
  <c r="U18" s="1"/>
  <c r="O15"/>
  <c r="C16" s="1"/>
  <c r="C17" s="1"/>
  <c r="C18" s="1"/>
  <c r="T18" s="1"/>
  <c r="N15"/>
  <c r="B16" s="1"/>
  <c r="B17" s="1"/>
  <c r="B18" s="1"/>
  <c r="S18" s="1"/>
  <c r="Q14"/>
  <c r="P14"/>
  <c r="O14"/>
  <c r="N14"/>
  <c r="Q13"/>
  <c r="P13"/>
  <c r="O13"/>
  <c r="N13"/>
  <c r="Q12"/>
  <c r="P12"/>
  <c r="O12"/>
  <c r="N12"/>
  <c r="Q11"/>
  <c r="F12" s="1"/>
  <c r="F13" s="1"/>
  <c r="F14" s="1"/>
  <c r="V14" s="1"/>
  <c r="P11"/>
  <c r="E12" s="1"/>
  <c r="E13" s="1"/>
  <c r="E14" s="1"/>
  <c r="U14" s="1"/>
  <c r="O11"/>
  <c r="C12" s="1"/>
  <c r="C13" s="1"/>
  <c r="C14" s="1"/>
  <c r="T14" s="1"/>
  <c r="N11"/>
  <c r="B12" s="1"/>
  <c r="B13" s="1"/>
  <c r="B14" s="1"/>
  <c r="S14" s="1"/>
  <c r="D12" l="1"/>
  <c r="D14"/>
  <c r="D16"/>
  <c r="D18"/>
  <c r="D20"/>
  <c r="D22"/>
  <c r="D24"/>
  <c r="D26"/>
  <c r="D28"/>
  <c r="D32"/>
  <c r="D34"/>
  <c r="D36"/>
  <c r="D38"/>
  <c r="D40"/>
  <c r="D42"/>
  <c r="D44"/>
  <c r="D46"/>
  <c r="D48"/>
  <c r="D50"/>
  <c r="D54"/>
  <c r="D58"/>
  <c r="D62"/>
  <c r="D13"/>
  <c r="D17"/>
  <c r="D21"/>
  <c r="D25"/>
  <c r="D33"/>
  <c r="D37"/>
  <c r="D41"/>
  <c r="D45"/>
  <c r="D49"/>
  <c r="N50"/>
  <c r="P50"/>
  <c r="O50"/>
  <c r="Q50"/>
  <c r="Y63" i="66"/>
  <c r="Y62" s="1"/>
  <c r="A70"/>
  <c r="H6" i="59" l="1"/>
  <c r="O1" i="66" l="1"/>
  <c r="J1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C18"/>
  <c r="E18"/>
  <c r="F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 s="1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 s="1"/>
  <c r="E55"/>
  <c r="F55"/>
  <c r="B56"/>
  <c r="C56"/>
  <c r="E56"/>
  <c r="F56"/>
  <c r="B57"/>
  <c r="C57"/>
  <c r="D57" s="1"/>
  <c r="E57"/>
  <c r="F57"/>
  <c r="B58"/>
  <c r="C58"/>
  <c r="E58"/>
  <c r="F58"/>
  <c r="B59"/>
  <c r="C59"/>
  <c r="D59" s="1"/>
  <c r="E59"/>
  <c r="F59"/>
  <c r="F8"/>
  <c r="E8"/>
  <c r="C8"/>
  <c r="B8"/>
  <c r="Z67"/>
  <c r="U67" s="1"/>
  <c r="C67" s="1"/>
  <c r="D67" s="1"/>
  <c r="AA67"/>
  <c r="AA66" s="1"/>
  <c r="AA65" s="1"/>
  <c r="V64" s="1"/>
  <c r="E64" s="1"/>
  <c r="AB67"/>
  <c r="W67" s="1"/>
  <c r="F67" s="1"/>
  <c r="Y67"/>
  <c r="Y66" s="1"/>
  <c r="Y65" s="1"/>
  <c r="T64" s="1"/>
  <c r="B64" s="1"/>
  <c r="AB63"/>
  <c r="W63" s="1"/>
  <c r="F63" s="1"/>
  <c r="AA63"/>
  <c r="AA62" s="1"/>
  <c r="Z63"/>
  <c r="U63" s="1"/>
  <c r="C63" s="1"/>
  <c r="D63" s="1"/>
  <c r="Y61"/>
  <c r="K18" l="1"/>
  <c r="H18"/>
  <c r="J18"/>
  <c r="G18"/>
  <c r="D8"/>
  <c r="D26"/>
  <c r="D25"/>
  <c r="D24"/>
  <c r="D23"/>
  <c r="D22"/>
  <c r="D21"/>
  <c r="D20"/>
  <c r="D19"/>
  <c r="D18"/>
  <c r="D17"/>
  <c r="D16"/>
  <c r="D15"/>
  <c r="D14"/>
  <c r="D13"/>
  <c r="D12"/>
  <c r="D11"/>
  <c r="D10"/>
  <c r="I9" s="1"/>
  <c r="D9"/>
  <c r="K4"/>
  <c r="H4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G12"/>
  <c r="J11"/>
  <c r="G11"/>
  <c r="G2" s="1"/>
  <c r="N20" i="43" s="1"/>
  <c r="J10" i="66"/>
  <c r="G10"/>
  <c r="J9"/>
  <c r="G9"/>
  <c r="J8"/>
  <c r="G8"/>
  <c r="J7"/>
  <c r="G7"/>
  <c r="J6"/>
  <c r="G6"/>
  <c r="J5"/>
  <c r="G5"/>
  <c r="I4"/>
  <c r="V67"/>
  <c r="E67" s="1"/>
  <c r="Z62"/>
  <c r="U62" s="1"/>
  <c r="C62" s="1"/>
  <c r="T63"/>
  <c r="B63" s="1"/>
  <c r="AB62"/>
  <c r="W62" s="1"/>
  <c r="F62" s="1"/>
  <c r="T67"/>
  <c r="B67" s="1"/>
  <c r="T60"/>
  <c r="B60" s="1"/>
  <c r="L19" s="1"/>
  <c r="T61"/>
  <c r="B61" s="1"/>
  <c r="AA61"/>
  <c r="V62"/>
  <c r="E62" s="1"/>
  <c r="V66"/>
  <c r="E66" s="1"/>
  <c r="O66" s="1"/>
  <c r="T66"/>
  <c r="B66" s="1"/>
  <c r="L66" s="1"/>
  <c r="V65"/>
  <c r="E65" s="1"/>
  <c r="O65" s="1"/>
  <c r="T65"/>
  <c r="B65" s="1"/>
  <c r="L65" s="1"/>
  <c r="V63"/>
  <c r="E63" s="1"/>
  <c r="T62"/>
  <c r="B62" s="1"/>
  <c r="L62" s="1"/>
  <c r="AB61"/>
  <c r="AB66"/>
  <c r="Z66"/>
  <c r="G32" i="59"/>
  <c r="G31"/>
  <c r="G30"/>
  <c r="O2"/>
  <c r="P33"/>
  <c r="Q33"/>
  <c r="R33"/>
  <c r="O33"/>
  <c r="H21"/>
  <c r="H9"/>
  <c r="K2" i="66" l="1"/>
  <c r="N24" i="43" s="1"/>
  <c r="L17" i="66"/>
  <c r="L2" s="1"/>
  <c r="L18"/>
  <c r="J2"/>
  <c r="N23" i="43" s="1"/>
  <c r="H2" i="66"/>
  <c r="N21" i="43" s="1"/>
  <c r="L20" i="66"/>
  <c r="I7"/>
  <c r="O63"/>
  <c r="O62"/>
  <c r="I8"/>
  <c r="I5"/>
  <c r="L61"/>
  <c r="L60"/>
  <c r="D62"/>
  <c r="L21"/>
  <c r="L22"/>
  <c r="L23"/>
  <c r="L24"/>
  <c r="L25"/>
  <c r="L26"/>
  <c r="C26" i="63" s="1"/>
  <c r="L27" i="66"/>
  <c r="I10"/>
  <c r="I12"/>
  <c r="I2" s="1"/>
  <c r="N22" i="43" s="1"/>
  <c r="I14" i="66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 s="1"/>
  <c r="C61" s="1"/>
  <c r="U66"/>
  <c r="C66" s="1"/>
  <c r="Z65"/>
  <c r="W61"/>
  <c r="F61" s="1"/>
  <c r="W60"/>
  <c r="F60" s="1"/>
  <c r="V60"/>
  <c r="E60" s="1"/>
  <c r="V61"/>
  <c r="E61" s="1"/>
  <c r="O61" s="1"/>
  <c r="W66"/>
  <c r="F66" s="1"/>
  <c r="P66" s="1"/>
  <c r="AB65"/>
  <c r="O19" l="1"/>
  <c r="O17"/>
  <c r="O2" s="1"/>
  <c r="O18"/>
  <c r="D61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4"/>
  <c r="O22"/>
  <c r="O20"/>
  <c r="O25"/>
  <c r="O23"/>
  <c r="O21"/>
  <c r="D66"/>
  <c r="N66" s="1"/>
  <c r="M66"/>
  <c r="U60"/>
  <c r="C60" s="1"/>
  <c r="W64"/>
  <c r="F64" s="1"/>
  <c r="P19" s="1"/>
  <c r="W65"/>
  <c r="F65" s="1"/>
  <c r="P65" s="1"/>
  <c r="U64"/>
  <c r="C64" s="1"/>
  <c r="U65"/>
  <c r="C65" s="1"/>
  <c r="C18" i="64"/>
  <c r="M19" i="66" l="1"/>
  <c r="M18"/>
  <c r="M17"/>
  <c r="M2" s="1"/>
  <c r="C29" i="63"/>
  <c r="P17" i="66"/>
  <c r="P2" s="1"/>
  <c r="P18"/>
  <c r="D65"/>
  <c r="N65" s="1"/>
  <c r="M65"/>
  <c r="D60"/>
  <c r="M60"/>
  <c r="M26"/>
  <c r="M24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N61"/>
  <c r="G13" i="9"/>
  <c r="C13"/>
  <c r="C11"/>
  <c r="G10"/>
  <c r="G9"/>
  <c r="G8"/>
  <c r="C27" i="63" l="1"/>
  <c r="N17" i="66"/>
  <c r="N2" s="1"/>
  <c r="N18"/>
  <c r="N19"/>
  <c r="C30" i="63"/>
  <c r="N64" i="66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N33"/>
  <c r="N37"/>
  <c r="N41"/>
  <c r="N45"/>
  <c r="N49"/>
  <c r="N53"/>
  <c r="N23"/>
  <c r="N20"/>
  <c r="N31"/>
  <c r="N39"/>
  <c r="N43"/>
  <c r="N51"/>
  <c r="N21"/>
  <c r="I22" i="59"/>
  <c r="A48" i="39"/>
  <c r="D120"/>
  <c r="E120" s="1"/>
  <c r="F120" s="1"/>
  <c r="G120" s="1"/>
  <c r="D103"/>
  <c r="E103" s="1"/>
  <c r="F103" s="1"/>
  <c r="G103" s="1"/>
  <c r="A119"/>
  <c r="A102"/>
  <c r="D71"/>
  <c r="E71" s="1"/>
  <c r="C12"/>
  <c r="C28" i="63" l="1"/>
  <c r="F71" i="39"/>
  <c r="G71" s="1"/>
  <c r="H71" s="1"/>
  <c r="I71" s="1"/>
  <c r="J71" s="1"/>
  <c r="K71" s="1"/>
  <c r="L71" s="1"/>
  <c r="M71" s="1"/>
  <c r="N71" s="1"/>
  <c r="C2" i="65"/>
  <c r="L2" s="1"/>
  <c r="C1"/>
  <c r="L1" s="1"/>
  <c r="C7" i="39"/>
  <c r="C56" s="1"/>
  <c r="H9" i="63"/>
  <c r="H19" i="43"/>
  <c r="E2" i="65"/>
  <c r="E1"/>
  <c r="D2"/>
  <c r="D1"/>
  <c r="H4"/>
  <c r="C58" i="39" l="1"/>
  <c r="D56"/>
  <c r="B24" i="63"/>
  <c r="M18" i="43"/>
  <c r="H1" i="66" s="1"/>
  <c r="G10" i="63"/>
  <c r="C24" i="64"/>
  <c r="I20" i="43"/>
  <c r="H7" i="39"/>
  <c r="J7"/>
  <c r="F7"/>
  <c r="J2" i="65"/>
  <c r="J1"/>
  <c r="B7" i="64"/>
  <c r="B5"/>
  <c r="B10"/>
  <c r="B9"/>
  <c r="D29" s="1"/>
  <c r="G8" i="65"/>
  <c r="D6"/>
  <c r="D7"/>
  <c r="H5"/>
  <c r="D8"/>
  <c r="E7"/>
  <c r="E6"/>
  <c r="E5"/>
  <c r="H8"/>
  <c r="G4"/>
  <c r="G5"/>
  <c r="E8"/>
  <c r="H6"/>
  <c r="G6"/>
  <c r="E4"/>
  <c r="H7"/>
  <c r="D4"/>
  <c r="G7"/>
  <c r="D5"/>
  <c r="D58" i="39" l="1"/>
  <c r="E56"/>
  <c r="C15" i="64"/>
  <c r="C25"/>
  <c r="I3" i="65"/>
  <c r="I1"/>
  <c r="K1"/>
  <c r="E14" i="64"/>
  <c r="D14"/>
  <c r="K4" i="65"/>
  <c r="K3"/>
  <c r="D16" i="64"/>
  <c r="I2" i="65"/>
  <c r="K2"/>
  <c r="E17" i="64"/>
  <c r="D19"/>
  <c r="D20"/>
  <c r="E16"/>
  <c r="D17"/>
  <c r="E19"/>
  <c r="E20"/>
  <c r="D27"/>
  <c r="D30"/>
  <c r="D28"/>
  <c r="G1" i="65"/>
  <c r="E20" i="43"/>
  <c r="G2" i="65"/>
  <c r="G3"/>
  <c r="F56" i="39" l="1"/>
  <c r="E58"/>
  <c r="G21" i="59"/>
  <c r="G9"/>
  <c r="C23" i="64"/>
  <c r="C22" s="1"/>
  <c r="G11" i="9"/>
  <c r="F7"/>
  <c r="F6"/>
  <c r="C63" i="39"/>
  <c r="C9"/>
  <c r="G56" l="1"/>
  <c r="F58"/>
  <c r="G12" i="9"/>
  <c r="C12"/>
  <c r="J1" i="63"/>
  <c r="D21" s="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 s="1"/>
  <c r="P27"/>
  <c r="I90" s="1"/>
  <c r="P28"/>
  <c r="I91" s="1"/>
  <c r="P29"/>
  <c r="I92" s="1"/>
  <c r="P30"/>
  <c r="I93" s="1"/>
  <c r="P31"/>
  <c r="I94" s="1"/>
  <c r="P25"/>
  <c r="I88" s="1"/>
  <c r="N26"/>
  <c r="H89" s="1"/>
  <c r="N27"/>
  <c r="H90" s="1"/>
  <c r="N28"/>
  <c r="H91" s="1"/>
  <c r="N29"/>
  <c r="H92" s="1"/>
  <c r="N30"/>
  <c r="H93" s="1"/>
  <c r="N31"/>
  <c r="H94" s="1"/>
  <c r="N25"/>
  <c r="H88" s="1"/>
  <c r="L26"/>
  <c r="G89" s="1"/>
  <c r="L27"/>
  <c r="G90" s="1"/>
  <c r="L28"/>
  <c r="G91" s="1"/>
  <c r="L29"/>
  <c r="G92" s="1"/>
  <c r="L30"/>
  <c r="G93" s="1"/>
  <c r="L31"/>
  <c r="G94" s="1"/>
  <c r="L25"/>
  <c r="G88" s="1"/>
  <c r="H31"/>
  <c r="E94" s="1"/>
  <c r="H30"/>
  <c r="E93" s="1"/>
  <c r="H29"/>
  <c r="E92" s="1"/>
  <c r="H28"/>
  <c r="E91" s="1"/>
  <c r="H27"/>
  <c r="E90" s="1"/>
  <c r="H26"/>
  <c r="E89" s="1"/>
  <c r="H25"/>
  <c r="E88" s="1"/>
  <c r="F26"/>
  <c r="D89" s="1"/>
  <c r="F27"/>
  <c r="D90" s="1"/>
  <c r="F28"/>
  <c r="D91" s="1"/>
  <c r="F29"/>
  <c r="D92" s="1"/>
  <c r="F30"/>
  <c r="D93" s="1"/>
  <c r="F31"/>
  <c r="D94" s="1"/>
  <c r="F25"/>
  <c r="D88" s="1"/>
  <c r="D31"/>
  <c r="C94" s="1"/>
  <c r="D30"/>
  <c r="C93" s="1"/>
  <c r="D29"/>
  <c r="C92" s="1"/>
  <c r="D28"/>
  <c r="C91" s="1"/>
  <c r="D27"/>
  <c r="C90" s="1"/>
  <c r="D26"/>
  <c r="C89" s="1"/>
  <c r="D25"/>
  <c r="C88" s="1"/>
  <c r="B26"/>
  <c r="B89" s="1"/>
  <c r="B27"/>
  <c r="B90" s="1"/>
  <c r="B28"/>
  <c r="B91" s="1"/>
  <c r="B29"/>
  <c r="B92" s="1"/>
  <c r="B30"/>
  <c r="B93" s="1"/>
  <c r="B31"/>
  <c r="B94" s="1"/>
  <c r="B25"/>
  <c r="B88" s="1"/>
  <c r="T18"/>
  <c r="K81" s="1"/>
  <c r="T19"/>
  <c r="K82" s="1"/>
  <c r="T20"/>
  <c r="K83" s="1"/>
  <c r="T21"/>
  <c r="K84" s="1"/>
  <c r="T22"/>
  <c r="K85" s="1"/>
  <c r="T23"/>
  <c r="K86" s="1"/>
  <c r="T24"/>
  <c r="K87" s="1"/>
  <c r="T17"/>
  <c r="K80" s="1"/>
  <c r="P18"/>
  <c r="I81" s="1"/>
  <c r="P19"/>
  <c r="I82" s="1"/>
  <c r="P20"/>
  <c r="I83" s="1"/>
  <c r="P21"/>
  <c r="I84" s="1"/>
  <c r="P22"/>
  <c r="I85" s="1"/>
  <c r="P23"/>
  <c r="I86" s="1"/>
  <c r="P24"/>
  <c r="I87" s="1"/>
  <c r="P17"/>
  <c r="I80" s="1"/>
  <c r="L24"/>
  <c r="G87" s="1"/>
  <c r="L23"/>
  <c r="G86" s="1"/>
  <c r="L22"/>
  <c r="G85" s="1"/>
  <c r="L21"/>
  <c r="G84" s="1"/>
  <c r="L20"/>
  <c r="G83" s="1"/>
  <c r="L19"/>
  <c r="G82" s="1"/>
  <c r="L18"/>
  <c r="G81" s="1"/>
  <c r="L17"/>
  <c r="G80" s="1"/>
  <c r="J18"/>
  <c r="F81" s="1"/>
  <c r="J19"/>
  <c r="F82" s="1"/>
  <c r="J20"/>
  <c r="F83" s="1"/>
  <c r="J21"/>
  <c r="F84" s="1"/>
  <c r="J22"/>
  <c r="F85" s="1"/>
  <c r="J23"/>
  <c r="F86" s="1"/>
  <c r="J24"/>
  <c r="F87" s="1"/>
  <c r="J17"/>
  <c r="F80" s="1"/>
  <c r="D24"/>
  <c r="C87" s="1"/>
  <c r="D23"/>
  <c r="C86" s="1"/>
  <c r="D22"/>
  <c r="C85" s="1"/>
  <c r="D21"/>
  <c r="C84" s="1"/>
  <c r="D20"/>
  <c r="C83" s="1"/>
  <c r="D19"/>
  <c r="C82" s="1"/>
  <c r="D18"/>
  <c r="C81" s="1"/>
  <c r="D17"/>
  <c r="C80" s="1"/>
  <c r="B18"/>
  <c r="B81" s="1"/>
  <c r="B19"/>
  <c r="B82" s="1"/>
  <c r="B20"/>
  <c r="B83" s="1"/>
  <c r="B21"/>
  <c r="B84" s="1"/>
  <c r="B22"/>
  <c r="B85" s="1"/>
  <c r="B23"/>
  <c r="B86" s="1"/>
  <c r="B24"/>
  <c r="B87" s="1"/>
  <c r="B17"/>
  <c r="B80" s="1"/>
  <c r="T11"/>
  <c r="K74" s="1"/>
  <c r="T12"/>
  <c r="K75" s="1"/>
  <c r="T13"/>
  <c r="K76" s="1"/>
  <c r="T14"/>
  <c r="K77" s="1"/>
  <c r="T15"/>
  <c r="K78" s="1"/>
  <c r="T16"/>
  <c r="K79" s="1"/>
  <c r="T10"/>
  <c r="K73" s="1"/>
  <c r="N16"/>
  <c r="H79" s="1"/>
  <c r="N15"/>
  <c r="H78" s="1"/>
  <c r="N14"/>
  <c r="H77" s="1"/>
  <c r="N13"/>
  <c r="H76" s="1"/>
  <c r="N12"/>
  <c r="H75" s="1"/>
  <c r="N11"/>
  <c r="H74" s="1"/>
  <c r="N10"/>
  <c r="H73" s="1"/>
  <c r="F16"/>
  <c r="D79" s="1"/>
  <c r="F15"/>
  <c r="D78" s="1"/>
  <c r="F14"/>
  <c r="D77" s="1"/>
  <c r="F13"/>
  <c r="D76" s="1"/>
  <c r="F12"/>
  <c r="D75" s="1"/>
  <c r="F11"/>
  <c r="D74" s="1"/>
  <c r="F10"/>
  <c r="D73" s="1"/>
  <c r="D11"/>
  <c r="C74" s="1"/>
  <c r="D12"/>
  <c r="C75" s="1"/>
  <c r="D13"/>
  <c r="C76" s="1"/>
  <c r="D14"/>
  <c r="C77" s="1"/>
  <c r="D15"/>
  <c r="C78" s="1"/>
  <c r="D16"/>
  <c r="C79" s="1"/>
  <c r="D10"/>
  <c r="C73" s="1"/>
  <c r="H16"/>
  <c r="E79" s="1"/>
  <c r="H15"/>
  <c r="E78" s="1"/>
  <c r="H14"/>
  <c r="E77" s="1"/>
  <c r="H13"/>
  <c r="E76" s="1"/>
  <c r="H12"/>
  <c r="E75" s="1"/>
  <c r="H11"/>
  <c r="E74" s="1"/>
  <c r="H10"/>
  <c r="E73" s="1"/>
  <c r="B11"/>
  <c r="B74" s="1"/>
  <c r="B12"/>
  <c r="B75" s="1"/>
  <c r="B13"/>
  <c r="B76" s="1"/>
  <c r="B14"/>
  <c r="B77" s="1"/>
  <c r="B15"/>
  <c r="B78" s="1"/>
  <c r="B16"/>
  <c r="B79" s="1"/>
  <c r="B10"/>
  <c r="B73" s="1"/>
  <c r="T4"/>
  <c r="K67" s="1"/>
  <c r="T5"/>
  <c r="K68" s="1"/>
  <c r="T6"/>
  <c r="K69" s="1"/>
  <c r="T7"/>
  <c r="K70" s="1"/>
  <c r="T8"/>
  <c r="K71" s="1"/>
  <c r="T9"/>
  <c r="K72" s="1"/>
  <c r="T3"/>
  <c r="K66" s="1"/>
  <c r="N8"/>
  <c r="H71" s="1"/>
  <c r="N9"/>
  <c r="H72" s="1"/>
  <c r="N5"/>
  <c r="H68" s="1"/>
  <c r="N6"/>
  <c r="H69" s="1"/>
  <c r="N7"/>
  <c r="H70" s="1"/>
  <c r="N4"/>
  <c r="H67" s="1"/>
  <c r="N3"/>
  <c r="H66" s="1"/>
  <c r="J4"/>
  <c r="F67" s="1"/>
  <c r="J5"/>
  <c r="F68" s="1"/>
  <c r="J6"/>
  <c r="F69" s="1"/>
  <c r="J7"/>
  <c r="F70" s="1"/>
  <c r="J8"/>
  <c r="F71" s="1"/>
  <c r="J9"/>
  <c r="F72" s="1"/>
  <c r="J3"/>
  <c r="F66" s="1"/>
  <c r="H4"/>
  <c r="E67" s="1"/>
  <c r="H5"/>
  <c r="E68" s="1"/>
  <c r="H6"/>
  <c r="E69" s="1"/>
  <c r="H7"/>
  <c r="E70" s="1"/>
  <c r="H8"/>
  <c r="E71" s="1"/>
  <c r="H9"/>
  <c r="E72" s="1"/>
  <c r="H3"/>
  <c r="E66" s="1"/>
  <c r="F4"/>
  <c r="D67" s="1"/>
  <c r="F5"/>
  <c r="D68" s="1"/>
  <c r="F6"/>
  <c r="D69" s="1"/>
  <c r="F7"/>
  <c r="D70" s="1"/>
  <c r="F8"/>
  <c r="D71" s="1"/>
  <c r="F9"/>
  <c r="D72" s="1"/>
  <c r="F3"/>
  <c r="D66" s="1"/>
  <c r="D4"/>
  <c r="C67" s="1"/>
  <c r="D5"/>
  <c r="C68" s="1"/>
  <c r="D6"/>
  <c r="C69" s="1"/>
  <c r="D7"/>
  <c r="C70" s="1"/>
  <c r="D8"/>
  <c r="C71" s="1"/>
  <c r="D9"/>
  <c r="C72" s="1"/>
  <c r="D3"/>
  <c r="C66" s="1"/>
  <c r="B4"/>
  <c r="B67" s="1"/>
  <c r="B5"/>
  <c r="B68" s="1"/>
  <c r="B6"/>
  <c r="B69" s="1"/>
  <c r="B7"/>
  <c r="B70" s="1"/>
  <c r="B8"/>
  <c r="B71" s="1"/>
  <c r="B9"/>
  <c r="B72" s="1"/>
  <c r="B3"/>
  <c r="B66" s="1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E2" i="63"/>
  <c r="E2" i="43"/>
  <c r="D5" s="1"/>
  <c r="B76" i="63"/>
  <c r="B73"/>
  <c r="B72"/>
  <c r="B71"/>
  <c r="B70"/>
  <c r="D67"/>
  <c r="B66"/>
  <c r="B63"/>
  <c r="B62"/>
  <c r="B61"/>
  <c r="B60"/>
  <c r="B55"/>
  <c r="B53"/>
  <c r="B52"/>
  <c r="B51"/>
  <c r="B48"/>
  <c r="B46"/>
  <c r="B44"/>
  <c r="B43"/>
  <c r="B42"/>
  <c r="M1" i="66"/>
  <c r="G2" i="63"/>
  <c r="H1"/>
  <c r="D18" s="1"/>
  <c r="H10" l="1"/>
  <c r="F9"/>
  <c r="I9"/>
  <c r="C9" s="1"/>
  <c r="H56" i="39"/>
  <c r="G58"/>
  <c r="F19" i="43"/>
  <c r="I19"/>
  <c r="C19" s="1"/>
  <c r="F59"/>
  <c r="J20"/>
  <c r="A12"/>
  <c r="A16"/>
  <c r="J71" i="63"/>
  <c r="I71" s="1"/>
  <c r="D8"/>
  <c r="I3"/>
  <c r="D20"/>
  <c r="D19"/>
  <c r="L1" i="60"/>
  <c r="H16" i="63"/>
  <c r="K1" i="60"/>
  <c r="F47" i="63"/>
  <c r="F45"/>
  <c r="F43"/>
  <c r="D43" s="1"/>
  <c r="J48"/>
  <c r="I48" s="1"/>
  <c r="J46"/>
  <c r="I46" s="1"/>
  <c r="J44"/>
  <c r="I44" s="1"/>
  <c r="F42"/>
  <c r="D42" s="1"/>
  <c r="J51"/>
  <c r="I51" s="1"/>
  <c r="F56"/>
  <c r="F54"/>
  <c r="F52"/>
  <c r="J56"/>
  <c r="I56" s="1"/>
  <c r="J54"/>
  <c r="I54" s="1"/>
  <c r="J52"/>
  <c r="I52" s="1"/>
  <c r="F60"/>
  <c r="G60" s="1"/>
  <c r="D60" s="1"/>
  <c r="F66"/>
  <c r="G66" s="1"/>
  <c r="D66" s="1"/>
  <c r="F64"/>
  <c r="G64" s="1"/>
  <c r="D64" s="1"/>
  <c r="F62"/>
  <c r="G62" s="1"/>
  <c r="D62" s="1"/>
  <c r="J67"/>
  <c r="I67" s="1"/>
  <c r="J65"/>
  <c r="I65" s="1"/>
  <c r="J63"/>
  <c r="I63" s="1"/>
  <c r="J61"/>
  <c r="I61" s="1"/>
  <c r="F70"/>
  <c r="G70" s="1"/>
  <c r="D70" s="1"/>
  <c r="F76"/>
  <c r="F74"/>
  <c r="G74" s="1"/>
  <c r="F72"/>
  <c r="G72" s="1"/>
  <c r="D72" s="1"/>
  <c r="J76"/>
  <c r="I76" s="1"/>
  <c r="J74"/>
  <c r="I74" s="1"/>
  <c r="D74" s="1"/>
  <c r="J72"/>
  <c r="I72" s="1"/>
  <c r="F48"/>
  <c r="F46"/>
  <c r="F44"/>
  <c r="J42"/>
  <c r="I42" s="1"/>
  <c r="J47"/>
  <c r="I47" s="1"/>
  <c r="J45"/>
  <c r="I45" s="1"/>
  <c r="J43"/>
  <c r="I43" s="1"/>
  <c r="F51"/>
  <c r="G51" s="1"/>
  <c r="F57"/>
  <c r="F55"/>
  <c r="F53"/>
  <c r="G53" s="1"/>
  <c r="J57"/>
  <c r="I57" s="1"/>
  <c r="J55"/>
  <c r="I55" s="1"/>
  <c r="J53"/>
  <c r="I53" s="1"/>
  <c r="J60"/>
  <c r="I60" s="1"/>
  <c r="F67"/>
  <c r="G67" s="1"/>
  <c r="F65"/>
  <c r="G65" s="1"/>
  <c r="D65" s="1"/>
  <c r="F63"/>
  <c r="F61"/>
  <c r="G61" s="1"/>
  <c r="D61" s="1"/>
  <c r="J66"/>
  <c r="I66" s="1"/>
  <c r="J64"/>
  <c r="I64" s="1"/>
  <c r="J62"/>
  <c r="I62" s="1"/>
  <c r="J70"/>
  <c r="I70" s="1"/>
  <c r="F75"/>
  <c r="G75" s="1"/>
  <c r="D75" s="1"/>
  <c r="F73"/>
  <c r="G73" s="1"/>
  <c r="D73" s="1"/>
  <c r="F71"/>
  <c r="G71" s="1"/>
  <c r="D71" s="1"/>
  <c r="J75"/>
  <c r="I75" s="1"/>
  <c r="J73"/>
  <c r="I73" s="1"/>
  <c r="D53"/>
  <c r="D51"/>
  <c r="I2" i="43"/>
  <c r="M1" s="1"/>
  <c r="D1"/>
  <c r="G2"/>
  <c r="E17" s="1"/>
  <c r="I56" i="39" l="1"/>
  <c r="H58"/>
  <c r="C10" i="63"/>
  <c r="H5" i="44"/>
  <c r="H6"/>
  <c r="M1" i="60"/>
  <c r="C7" i="63" s="1"/>
  <c r="G57"/>
  <c r="D57"/>
  <c r="G44"/>
  <c r="D44"/>
  <c r="G48"/>
  <c r="D48"/>
  <c r="D76"/>
  <c r="E70" s="1"/>
  <c r="B68" s="1"/>
  <c r="G76"/>
  <c r="G54"/>
  <c r="D54"/>
  <c r="D45"/>
  <c r="G45"/>
  <c r="G63"/>
  <c r="D63"/>
  <c r="E60" s="1"/>
  <c r="B58" s="1"/>
  <c r="G55"/>
  <c r="D55"/>
  <c r="G46"/>
  <c r="D46"/>
  <c r="D52"/>
  <c r="G52"/>
  <c r="G56"/>
  <c r="D56"/>
  <c r="G43"/>
  <c r="G47"/>
  <c r="D47"/>
  <c r="O4" i="59"/>
  <c r="O3"/>
  <c r="J56" i="39" l="1"/>
  <c r="I58"/>
  <c r="E51" i="63"/>
  <c r="B49" s="1"/>
  <c r="E42"/>
  <c r="K56" i="39" l="1"/>
  <c r="J58"/>
  <c r="F28" i="59"/>
  <c r="F31"/>
  <c r="G29"/>
  <c r="F13"/>
  <c r="F18" s="1"/>
  <c r="F9" i="9" s="1"/>
  <c r="B8" i="59"/>
  <c r="C11" i="39" l="1"/>
  <c r="G3" i="63"/>
  <c r="B11" i="64"/>
  <c r="G3" i="43"/>
  <c r="L56" i="39"/>
  <c r="K58"/>
  <c r="F16" i="59"/>
  <c r="F8" i="9" s="1"/>
  <c r="F19" i="59"/>
  <c r="F10" i="9" s="1"/>
  <c r="F32" i="59"/>
  <c r="B86" i="43"/>
  <c r="B75"/>
  <c r="B66"/>
  <c r="B55"/>
  <c r="Q29" i="39"/>
  <c r="Z29" s="1"/>
  <c r="D91"/>
  <c r="E91" s="1"/>
  <c r="F91" s="1"/>
  <c r="H29"/>
  <c r="AB29" s="1"/>
  <c r="F29"/>
  <c r="AA29" s="1"/>
  <c r="C29"/>
  <c r="M56" l="1"/>
  <c r="L58"/>
  <c r="F29" i="59"/>
  <c r="F33" s="1"/>
  <c r="B17" i="9" s="1"/>
  <c r="F17" i="59"/>
  <c r="F12" s="1"/>
  <c r="F5" i="9"/>
  <c r="C21" i="64"/>
  <c r="U29" i="39"/>
  <c r="S29"/>
  <c r="H22" i="43"/>
  <c r="F22"/>
  <c r="G91" i="39"/>
  <c r="J29"/>
  <c r="C28" i="64" l="1"/>
  <c r="C27" s="1"/>
  <c r="C30"/>
  <c r="C29" s="1"/>
  <c r="N56" i="39"/>
  <c r="M58"/>
  <c r="F20" i="59"/>
  <c r="F22" s="1"/>
  <c r="AC29" i="39"/>
  <c r="W29"/>
  <c r="E27" i="64" l="1"/>
  <c r="B2" s="1"/>
  <c r="B3"/>
  <c r="E30"/>
  <c r="E28"/>
  <c r="O56" i="39"/>
  <c r="O58" s="1"/>
  <c r="N58"/>
  <c r="E29" i="64"/>
  <c r="F114" i="43"/>
  <c r="N100"/>
  <c r="N109" s="1"/>
  <c r="M100"/>
  <c r="M109" s="1"/>
  <c r="L100"/>
  <c r="L109" s="1"/>
  <c r="K100"/>
  <c r="K109" s="1"/>
  <c r="J100"/>
  <c r="J109" s="1"/>
  <c r="I100"/>
  <c r="I109" s="1"/>
  <c r="H100"/>
  <c r="H109" s="1"/>
  <c r="G100"/>
  <c r="G109" s="1"/>
  <c r="F100"/>
  <c r="F109" s="1"/>
  <c r="E100"/>
  <c r="E109" s="1"/>
  <c r="D100"/>
  <c r="D109" s="1"/>
  <c r="C100"/>
  <c r="C109" s="1"/>
  <c r="D101"/>
  <c r="H101"/>
  <c r="L101"/>
  <c r="N101"/>
  <c r="D78"/>
  <c r="F81"/>
  <c r="H83" s="1"/>
  <c r="B84"/>
  <c r="B83"/>
  <c r="B72"/>
  <c r="B61"/>
  <c r="B50"/>
  <c r="M88"/>
  <c r="N88" s="1"/>
  <c r="K88"/>
  <c r="J88" s="1"/>
  <c r="D88" s="1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 s="1"/>
  <c r="M74"/>
  <c r="N74" s="1"/>
  <c r="K74"/>
  <c r="J74" s="1"/>
  <c r="M73"/>
  <c r="N73" s="1"/>
  <c r="K73"/>
  <c r="J73" s="1"/>
  <c r="D73" s="1"/>
  <c r="M72"/>
  <c r="N72" s="1"/>
  <c r="K72"/>
  <c r="J72" s="1"/>
  <c r="M71"/>
  <c r="N71" s="1"/>
  <c r="K71"/>
  <c r="J71" s="1"/>
  <c r="M70"/>
  <c r="N70" s="1"/>
  <c r="K70"/>
  <c r="J70" s="1"/>
  <c r="M67"/>
  <c r="N67" s="1"/>
  <c r="K67"/>
  <c r="J67" s="1"/>
  <c r="M66"/>
  <c r="N66" s="1"/>
  <c r="K66"/>
  <c r="J66" s="1"/>
  <c r="M65"/>
  <c r="N65" s="1"/>
  <c r="K65"/>
  <c r="J65" s="1"/>
  <c r="M64"/>
  <c r="N64" s="1"/>
  <c r="K64"/>
  <c r="J64" s="1"/>
  <c r="D64" s="1"/>
  <c r="M63"/>
  <c r="N63" s="1"/>
  <c r="K63"/>
  <c r="J63" s="1"/>
  <c r="D63" s="1"/>
  <c r="M62"/>
  <c r="N62" s="1"/>
  <c r="K62"/>
  <c r="J62" s="1"/>
  <c r="D62" s="1"/>
  <c r="M61"/>
  <c r="N61" s="1"/>
  <c r="K61"/>
  <c r="J61" s="1"/>
  <c r="D61" s="1"/>
  <c r="M60"/>
  <c r="N60" s="1"/>
  <c r="K60"/>
  <c r="J60" s="1"/>
  <c r="D60" s="1"/>
  <c r="M59"/>
  <c r="N59" s="1"/>
  <c r="K59"/>
  <c r="J59" s="1"/>
  <c r="D59" s="1"/>
  <c r="M56"/>
  <c r="N56" s="1"/>
  <c r="K56"/>
  <c r="J56" s="1"/>
  <c r="D56" s="1"/>
  <c r="M55"/>
  <c r="N55" s="1"/>
  <c r="K55"/>
  <c r="J55" s="1"/>
  <c r="D55" s="1"/>
  <c r="M54"/>
  <c r="N54" s="1"/>
  <c r="K54"/>
  <c r="J54" s="1"/>
  <c r="M53"/>
  <c r="N53" s="1"/>
  <c r="K53"/>
  <c r="J53" s="1"/>
  <c r="D53"/>
  <c r="M52"/>
  <c r="N52" s="1"/>
  <c r="K52"/>
  <c r="J52" s="1"/>
  <c r="D52" s="1"/>
  <c r="M51"/>
  <c r="N51" s="1"/>
  <c r="K51"/>
  <c r="J51" s="1"/>
  <c r="D51" s="1"/>
  <c r="M50"/>
  <c r="N50" s="1"/>
  <c r="K50"/>
  <c r="J50" s="1"/>
  <c r="M49"/>
  <c r="N49" s="1"/>
  <c r="K49"/>
  <c r="J49" s="1"/>
  <c r="D49"/>
  <c r="M48"/>
  <c r="N48" s="1"/>
  <c r="K48"/>
  <c r="J48" s="1"/>
  <c r="D48" s="1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F33"/>
  <c r="P17"/>
  <c r="O17"/>
  <c r="N17"/>
  <c r="M17"/>
  <c r="C18"/>
  <c r="H17"/>
  <c r="F15"/>
  <c r="E15"/>
  <c r="D15"/>
  <c r="C15"/>
  <c r="C10"/>
  <c r="C11" s="1"/>
  <c r="C9"/>
  <c r="A7"/>
  <c r="C23" i="39"/>
  <c r="I53"/>
  <c r="J53" s="1"/>
  <c r="G53"/>
  <c r="H53" s="1"/>
  <c r="E53"/>
  <c r="F53" s="1"/>
  <c r="B98"/>
  <c r="F35" s="1"/>
  <c r="B100"/>
  <c r="H36" s="1"/>
  <c r="D69"/>
  <c r="E69" s="1"/>
  <c r="F69" s="1"/>
  <c r="G69" s="1"/>
  <c r="H69" s="1"/>
  <c r="I69" s="1"/>
  <c r="J69" s="1"/>
  <c r="K69" s="1"/>
  <c r="L69" s="1"/>
  <c r="M69" s="1"/>
  <c r="W7"/>
  <c r="AB7"/>
  <c r="S7"/>
  <c r="J38"/>
  <c r="W38" s="1"/>
  <c r="H38"/>
  <c r="AB38" s="1"/>
  <c r="F38"/>
  <c r="AA38" s="1"/>
  <c r="D112"/>
  <c r="E112" s="1"/>
  <c r="F112" s="1"/>
  <c r="G112" s="1"/>
  <c r="D108"/>
  <c r="E108" s="1"/>
  <c r="F108" s="1"/>
  <c r="G108" s="1"/>
  <c r="H108" s="1"/>
  <c r="I108" s="1"/>
  <c r="J108" s="1"/>
  <c r="K108" s="1"/>
  <c r="L108" s="1"/>
  <c r="M108" s="1"/>
  <c r="J37"/>
  <c r="D97"/>
  <c r="F34"/>
  <c r="AA34" s="1"/>
  <c r="D95"/>
  <c r="E95" s="1"/>
  <c r="D93"/>
  <c r="E93" s="1"/>
  <c r="F93" s="1"/>
  <c r="G93" s="1"/>
  <c r="H93" s="1"/>
  <c r="I93" s="1"/>
  <c r="J93" s="1"/>
  <c r="K93" s="1"/>
  <c r="L93" s="1"/>
  <c r="M93" s="1"/>
  <c r="D89"/>
  <c r="D87"/>
  <c r="E87" s="1"/>
  <c r="Q39"/>
  <c r="Z39" s="1"/>
  <c r="Q40"/>
  <c r="Z40" s="1"/>
  <c r="Q41"/>
  <c r="Z41" s="1"/>
  <c r="Q42"/>
  <c r="Z42" s="1"/>
  <c r="Q43"/>
  <c r="Z43" s="1"/>
  <c r="Q44"/>
  <c r="Z44" s="1"/>
  <c r="Q45"/>
  <c r="Z45" s="1"/>
  <c r="Q38"/>
  <c r="Z38" s="1"/>
  <c r="Q36"/>
  <c r="Z36" s="1"/>
  <c r="Q37"/>
  <c r="Z37" s="1"/>
  <c r="M104"/>
  <c r="L104"/>
  <c r="K104"/>
  <c r="J104"/>
  <c r="I104"/>
  <c r="H104"/>
  <c r="G104"/>
  <c r="F104"/>
  <c r="E104"/>
  <c r="D104"/>
  <c r="C104"/>
  <c r="H45"/>
  <c r="B117"/>
  <c r="H44" s="1"/>
  <c r="B115"/>
  <c r="J43" s="1"/>
  <c r="D114"/>
  <c r="E114" s="1"/>
  <c r="F114" s="1"/>
  <c r="G114" s="1"/>
  <c r="H114" s="1"/>
  <c r="I114" s="1"/>
  <c r="J114" s="1"/>
  <c r="K114" s="1"/>
  <c r="L114" s="1"/>
  <c r="M114" s="1"/>
  <c r="D110"/>
  <c r="E110" s="1"/>
  <c r="F110" s="1"/>
  <c r="G110" s="1"/>
  <c r="H110" s="1"/>
  <c r="I110" s="1"/>
  <c r="J110" s="1"/>
  <c r="K110" s="1"/>
  <c r="L110" s="1"/>
  <c r="M110" s="1"/>
  <c r="B92"/>
  <c r="D85"/>
  <c r="E85" s="1"/>
  <c r="D83"/>
  <c r="E83" s="1"/>
  <c r="D81"/>
  <c r="E81" s="1"/>
  <c r="D79"/>
  <c r="E79" s="1"/>
  <c r="D77"/>
  <c r="E77" s="1"/>
  <c r="B74"/>
  <c r="F14"/>
  <c r="AA14" s="1"/>
  <c r="B72"/>
  <c r="B70"/>
  <c r="H12" s="1"/>
  <c r="U12" s="1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 s="1"/>
  <c r="F39"/>
  <c r="AA39" s="1"/>
  <c r="Q35"/>
  <c r="Z35" s="1"/>
  <c r="Q34"/>
  <c r="Z34" s="1"/>
  <c r="Q32"/>
  <c r="Z32" s="1"/>
  <c r="Q31"/>
  <c r="Z31" s="1"/>
  <c r="Q27"/>
  <c r="Z27" s="1"/>
  <c r="Q25"/>
  <c r="Z25" s="1"/>
  <c r="Q23"/>
  <c r="Z23" s="1"/>
  <c r="Q21"/>
  <c r="Z21" s="1"/>
  <c r="Q19"/>
  <c r="Z19" s="1"/>
  <c r="Q17"/>
  <c r="Z17" s="1"/>
  <c r="Q15"/>
  <c r="Z15" s="1"/>
  <c r="Q14"/>
  <c r="Z14" s="1"/>
  <c r="Q13"/>
  <c r="Z13" s="1"/>
  <c r="Q12"/>
  <c r="Z12" s="1"/>
  <c r="Q11"/>
  <c r="Z11" s="1"/>
  <c r="Q10"/>
  <c r="Z10" s="1"/>
  <c r="Q9"/>
  <c r="Z9" s="1"/>
  <c r="J9"/>
  <c r="AC9" s="1"/>
  <c r="H9"/>
  <c r="AB9" s="1"/>
  <c r="F9"/>
  <c r="AA9" s="1"/>
  <c r="J8"/>
  <c r="AC8" s="1"/>
  <c r="H8"/>
  <c r="AB8" s="1"/>
  <c r="F8"/>
  <c r="AA8" s="1"/>
  <c r="B88" i="43"/>
  <c r="B85"/>
  <c r="C21" i="39"/>
  <c r="F45"/>
  <c r="AA45" s="1"/>
  <c r="J44"/>
  <c r="W44" s="1"/>
  <c r="F36"/>
  <c r="S36" s="1"/>
  <c r="J36"/>
  <c r="AC36" s="1"/>
  <c r="F42"/>
  <c r="AA42" s="1"/>
  <c r="F41"/>
  <c r="AA41" s="1"/>
  <c r="H39"/>
  <c r="U39" s="1"/>
  <c r="H34"/>
  <c r="AB34" s="1"/>
  <c r="E97"/>
  <c r="F97" s="1"/>
  <c r="G97" s="1"/>
  <c r="H97" s="1"/>
  <c r="I97" s="1"/>
  <c r="J97" s="1"/>
  <c r="K97" s="1"/>
  <c r="L97" s="1"/>
  <c r="M97" s="1"/>
  <c r="H31"/>
  <c r="AB31" s="1"/>
  <c r="F31"/>
  <c r="AA31" s="1"/>
  <c r="E89"/>
  <c r="F89" s="1"/>
  <c r="G89" s="1"/>
  <c r="H42"/>
  <c r="AB42" s="1"/>
  <c r="J34"/>
  <c r="AC34" s="1"/>
  <c r="J31"/>
  <c r="W31" s="1"/>
  <c r="H27"/>
  <c r="AB27" s="1"/>
  <c r="C25"/>
  <c r="H11"/>
  <c r="AB11" s="1"/>
  <c r="F43"/>
  <c r="AA43" s="1"/>
  <c r="H43"/>
  <c r="U43" s="1"/>
  <c r="J14"/>
  <c r="AC14" s="1"/>
  <c r="H14"/>
  <c r="AB14" s="1"/>
  <c r="F13"/>
  <c r="AA13" s="1"/>
  <c r="J13"/>
  <c r="W13" s="1"/>
  <c r="H13"/>
  <c r="U13" s="1"/>
  <c r="J41"/>
  <c r="W41" s="1"/>
  <c r="J42"/>
  <c r="AC42" s="1"/>
  <c r="C12" i="43"/>
  <c r="H37" i="39"/>
  <c r="AB37" s="1"/>
  <c r="F11"/>
  <c r="AA11" s="1"/>
  <c r="J11"/>
  <c r="AC11" s="1"/>
  <c r="G17" i="43"/>
  <c r="F34"/>
  <c r="F39"/>
  <c r="F37"/>
  <c r="H9" i="44"/>
  <c r="H12"/>
  <c r="H7"/>
  <c r="F35" i="43"/>
  <c r="J17"/>
  <c r="C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 s="1"/>
  <c r="C15"/>
  <c r="B70" i="43"/>
  <c r="C19" i="39"/>
  <c r="B59" i="43"/>
  <c r="B77"/>
  <c r="B67"/>
  <c r="B56"/>
  <c r="B73"/>
  <c r="B63"/>
  <c r="B52"/>
  <c r="B82"/>
  <c r="F40" i="39"/>
  <c r="S40" s="1"/>
  <c r="B114" i="43"/>
  <c r="I119" s="1"/>
  <c r="J119" s="1"/>
  <c r="K119" s="1"/>
  <c r="L119" s="1"/>
  <c r="M119" s="1"/>
  <c r="M102"/>
  <c r="M107" s="1"/>
  <c r="K102"/>
  <c r="I102"/>
  <c r="I108" s="1"/>
  <c r="G102"/>
  <c r="G108" s="1"/>
  <c r="E102"/>
  <c r="C102"/>
  <c r="C108" s="1"/>
  <c r="N102"/>
  <c r="L102"/>
  <c r="L108" s="1"/>
  <c r="J102"/>
  <c r="J108" s="1"/>
  <c r="H102"/>
  <c r="F102"/>
  <c r="D102"/>
  <c r="D108" s="1"/>
  <c r="AA10" i="39"/>
  <c r="AB10"/>
  <c r="S14"/>
  <c r="AC44"/>
  <c r="J12"/>
  <c r="AC12" s="1"/>
  <c r="F12"/>
  <c r="S12" s="1"/>
  <c r="U8"/>
  <c r="H35"/>
  <c r="U35" s="1"/>
  <c r="J35"/>
  <c r="AC35" s="1"/>
  <c r="N10" i="43"/>
  <c r="N6"/>
  <c r="N2"/>
  <c r="M11"/>
  <c r="M7"/>
  <c r="M3"/>
  <c r="N1"/>
  <c r="N7"/>
  <c r="M10"/>
  <c r="M2"/>
  <c r="M8"/>
  <c r="H15" i="44"/>
  <c r="M4" i="43"/>
  <c r="N9"/>
  <c r="H62"/>
  <c r="N110" l="1"/>
  <c r="E81"/>
  <c r="E70"/>
  <c r="B68" s="1"/>
  <c r="E59"/>
  <c r="B57" s="1"/>
  <c r="D50"/>
  <c r="F101"/>
  <c r="D54"/>
  <c r="B79"/>
  <c r="J101"/>
  <c r="G101"/>
  <c r="W8" i="39"/>
  <c r="J23"/>
  <c r="AC23" s="1"/>
  <c r="F23"/>
  <c r="AA23" s="1"/>
  <c r="AB36"/>
  <c r="U36"/>
  <c r="U34"/>
  <c r="S13"/>
  <c r="J27"/>
  <c r="AC27" s="1"/>
  <c r="C24" i="43"/>
  <c r="H110"/>
  <c r="F110"/>
  <c r="G20"/>
  <c r="E8"/>
  <c r="E10"/>
  <c r="E11"/>
  <c r="E9"/>
  <c r="F108"/>
  <c r="E110"/>
  <c r="M110"/>
  <c r="M101"/>
  <c r="E101"/>
  <c r="K101"/>
  <c r="C101"/>
  <c r="C23" s="1"/>
  <c r="C110"/>
  <c r="K110"/>
  <c r="AB13" i="39"/>
  <c r="F27"/>
  <c r="AA27" s="1"/>
  <c r="AC38"/>
  <c r="I101" i="43"/>
  <c r="H82"/>
  <c r="AC13" i="39"/>
  <c r="H106" i="43"/>
  <c r="K103"/>
  <c r="AC7" i="39"/>
  <c r="U7"/>
  <c r="AA7"/>
  <c r="W14"/>
  <c r="W36"/>
  <c r="S8"/>
  <c r="F44"/>
  <c r="S42"/>
  <c r="S41"/>
  <c r="W39"/>
  <c r="S39"/>
  <c r="U38"/>
  <c r="S38"/>
  <c r="U14"/>
  <c r="AA36"/>
  <c r="AB43"/>
  <c r="AB39"/>
  <c r="J40"/>
  <c r="AA40"/>
  <c r="W42"/>
  <c r="H15"/>
  <c r="U15" s="1"/>
  <c r="F77"/>
  <c r="G77" s="1"/>
  <c r="F15"/>
  <c r="J15"/>
  <c r="W15" s="1"/>
  <c r="F37"/>
  <c r="U44"/>
  <c r="AB44"/>
  <c r="W43"/>
  <c r="AC43"/>
  <c r="H112"/>
  <c r="I112" s="1"/>
  <c r="J112" s="1"/>
  <c r="K112" s="1"/>
  <c r="L112" s="1"/>
  <c r="M112" s="1"/>
  <c r="H41"/>
  <c r="U41" s="1"/>
  <c r="AB40"/>
  <c r="AC41"/>
  <c r="AB45"/>
  <c r="U45"/>
  <c r="S45"/>
  <c r="J45"/>
  <c r="H23"/>
  <c r="U23" s="1"/>
  <c r="F85"/>
  <c r="G85" s="1"/>
  <c r="U37"/>
  <c r="AA35"/>
  <c r="S35"/>
  <c r="F87"/>
  <c r="G87" s="1"/>
  <c r="H25"/>
  <c r="U25" s="1"/>
  <c r="F25"/>
  <c r="S25" s="1"/>
  <c r="J25"/>
  <c r="W25" s="1"/>
  <c r="W35"/>
  <c r="S34"/>
  <c r="F79"/>
  <c r="G79" s="1"/>
  <c r="F17"/>
  <c r="AA17" s="1"/>
  <c r="J17"/>
  <c r="W17" s="1"/>
  <c r="H17"/>
  <c r="AB17" s="1"/>
  <c r="F83"/>
  <c r="G83" s="1"/>
  <c r="H21"/>
  <c r="U21" s="1"/>
  <c r="J21"/>
  <c r="AC21" s="1"/>
  <c r="F21"/>
  <c r="AA21" s="1"/>
  <c r="F32"/>
  <c r="AA32" s="1"/>
  <c r="F95"/>
  <c r="G95" s="1"/>
  <c r="H95" s="1"/>
  <c r="I95" s="1"/>
  <c r="J95" s="1"/>
  <c r="K95" s="1"/>
  <c r="L95" s="1"/>
  <c r="M95" s="1"/>
  <c r="J32"/>
  <c r="AC32" s="1"/>
  <c r="H32"/>
  <c r="U32" s="1"/>
  <c r="F81"/>
  <c r="G81" s="1"/>
  <c r="F19"/>
  <c r="AA19" s="1"/>
  <c r="H19"/>
  <c r="U19" s="1"/>
  <c r="J19"/>
  <c r="AC19" s="1"/>
  <c r="W37"/>
  <c r="AC37"/>
  <c r="W34"/>
  <c r="S31"/>
  <c r="U27"/>
  <c r="AC25"/>
  <c r="AA25"/>
  <c r="W23"/>
  <c r="S23"/>
  <c r="W21"/>
  <c r="AB19"/>
  <c r="U17"/>
  <c r="AC15"/>
  <c r="AB15"/>
  <c r="AA12"/>
  <c r="AB12"/>
  <c r="W12"/>
  <c r="U11"/>
  <c r="S11"/>
  <c r="W11"/>
  <c r="E105" i="43"/>
  <c r="N103"/>
  <c r="D116"/>
  <c r="E116" s="1"/>
  <c r="F116" s="1"/>
  <c r="G116" s="1"/>
  <c r="H116" s="1"/>
  <c r="I106"/>
  <c r="J110"/>
  <c r="I117"/>
  <c r="J117" s="1"/>
  <c r="K117" s="1"/>
  <c r="L117" s="1"/>
  <c r="M117" s="1"/>
  <c r="B118"/>
  <c r="C118" s="1"/>
  <c r="M103"/>
  <c r="I110"/>
  <c r="E108"/>
  <c r="N107"/>
  <c r="J106"/>
  <c r="F105"/>
  <c r="U9" i="39"/>
  <c r="S9"/>
  <c r="W9"/>
  <c r="H87" i="43"/>
  <c r="H86"/>
  <c r="H85"/>
  <c r="H81"/>
  <c r="H84"/>
  <c r="H88"/>
  <c r="D118"/>
  <c r="E118" s="1"/>
  <c r="F118" s="1"/>
  <c r="G118" s="1"/>
  <c r="H118" s="1"/>
  <c r="I116"/>
  <c r="J116" s="1"/>
  <c r="K116" s="1"/>
  <c r="L116" s="1"/>
  <c r="M116" s="1"/>
  <c r="B116"/>
  <c r="C116" s="1"/>
  <c r="M105"/>
  <c r="M108"/>
  <c r="I104"/>
  <c r="E107"/>
  <c r="E103"/>
  <c r="N105"/>
  <c r="N108"/>
  <c r="J104"/>
  <c r="F107"/>
  <c r="F103"/>
  <c r="D22"/>
  <c r="H61"/>
  <c r="U10" i="39"/>
  <c r="G119" i="43"/>
  <c r="H119" s="1"/>
  <c r="D119"/>
  <c r="E119" s="1"/>
  <c r="F119" s="1"/>
  <c r="D117"/>
  <c r="E117" s="1"/>
  <c r="F117" s="1"/>
  <c r="G117" s="1"/>
  <c r="H117" s="1"/>
  <c r="I118"/>
  <c r="J118" s="1"/>
  <c r="K118" s="1"/>
  <c r="L118" s="1"/>
  <c r="M118" s="1"/>
  <c r="B119"/>
  <c r="C119" s="1"/>
  <c r="B117"/>
  <c r="C117" s="1"/>
  <c r="M106"/>
  <c r="M104"/>
  <c r="I107"/>
  <c r="I105"/>
  <c r="I103"/>
  <c r="E106"/>
  <c r="E104"/>
  <c r="N106"/>
  <c r="N104"/>
  <c r="J107"/>
  <c r="J105"/>
  <c r="J103"/>
  <c r="F106"/>
  <c r="F104"/>
  <c r="H63"/>
  <c r="S10" i="39"/>
  <c r="L106" i="43"/>
  <c r="D105"/>
  <c r="G110"/>
  <c r="M12"/>
  <c r="N5"/>
  <c r="M6"/>
  <c r="N3"/>
  <c r="N11"/>
  <c r="C6"/>
  <c r="M5"/>
  <c r="M9"/>
  <c r="N4"/>
  <c r="F70" s="1"/>
  <c r="N8"/>
  <c r="F48" s="1"/>
  <c r="N12"/>
  <c r="H14" i="44"/>
  <c r="H13"/>
  <c r="H16"/>
  <c r="H11"/>
  <c r="L110" i="43"/>
  <c r="H108"/>
  <c r="K107"/>
  <c r="G106"/>
  <c r="C105"/>
  <c r="L104"/>
  <c r="H107"/>
  <c r="H103"/>
  <c r="D104"/>
  <c r="D110"/>
  <c r="K105"/>
  <c r="K108"/>
  <c r="G104"/>
  <c r="C107"/>
  <c r="C103"/>
  <c r="H64"/>
  <c r="L107"/>
  <c r="L105"/>
  <c r="L103"/>
  <c r="H105"/>
  <c r="H104"/>
  <c r="D106"/>
  <c r="D107"/>
  <c r="D103"/>
  <c r="K106"/>
  <c r="K104"/>
  <c r="G107"/>
  <c r="G105"/>
  <c r="G103"/>
  <c r="C106"/>
  <c r="C104"/>
  <c r="H65"/>
  <c r="H66"/>
  <c r="H67"/>
  <c r="H59"/>
  <c r="H60"/>
  <c r="W10" i="39"/>
  <c r="AC10"/>
  <c r="C16" i="43"/>
  <c r="AB35" i="39"/>
  <c r="U31"/>
  <c r="S43"/>
  <c r="S32"/>
  <c r="AB25"/>
  <c r="S27"/>
  <c r="W27"/>
  <c r="AC17"/>
  <c r="U42"/>
  <c r="AC31"/>
  <c r="H72" i="43" l="1"/>
  <c r="H74"/>
  <c r="H78"/>
  <c r="H76"/>
  <c r="H75"/>
  <c r="H71"/>
  <c r="H70"/>
  <c r="H73"/>
  <c r="H77"/>
  <c r="W32" i="39"/>
  <c r="AB23"/>
  <c r="E48" i="43"/>
  <c r="B46" s="1"/>
  <c r="B17" i="59"/>
  <c r="B18" s="1"/>
  <c r="C20" i="43"/>
  <c r="C5"/>
  <c r="S21" i="39"/>
  <c r="S17"/>
  <c r="AB21"/>
  <c r="H49" i="43"/>
  <c r="H56"/>
  <c r="H55"/>
  <c r="H52"/>
  <c r="H53"/>
  <c r="H48"/>
  <c r="H51"/>
  <c r="H54"/>
  <c r="H50"/>
  <c r="C7"/>
  <c r="AA44" i="39"/>
  <c r="S44"/>
  <c r="AC40"/>
  <c r="W40"/>
  <c r="AB41"/>
  <c r="T47" s="1"/>
  <c r="G47" s="1"/>
  <c r="S19"/>
  <c r="AA15"/>
  <c r="S15"/>
  <c r="AA37"/>
  <c r="S37"/>
  <c r="W45"/>
  <c r="AC45"/>
  <c r="R47"/>
  <c r="E47" s="1"/>
  <c r="E51" s="1"/>
  <c r="F51" s="1"/>
  <c r="AB32"/>
  <c r="W19"/>
  <c r="D114" i="43"/>
  <c r="J22" s="1"/>
  <c r="C21" s="1"/>
  <c r="V47" i="39"/>
  <c r="I47" s="1"/>
  <c r="I51" s="1"/>
  <c r="J51" s="1"/>
  <c r="C35" i="43" l="1"/>
  <c r="E35" s="1"/>
  <c r="C33"/>
  <c r="E33" s="1"/>
  <c r="C36"/>
  <c r="E36" s="1"/>
  <c r="C34"/>
  <c r="G34" s="1"/>
  <c r="I34" s="1"/>
  <c r="C37"/>
  <c r="E37" s="1"/>
  <c r="C39"/>
  <c r="E39" s="1"/>
  <c r="C38"/>
  <c r="E38" s="1"/>
  <c r="C29"/>
  <c r="B3" s="1"/>
  <c r="R48" i="39"/>
  <c r="C47" s="1"/>
  <c r="I52"/>
  <c r="J52" s="1"/>
  <c r="G52"/>
  <c r="H52" s="1"/>
  <c r="E52"/>
  <c r="F52" s="1"/>
  <c r="G51"/>
  <c r="H51" s="1"/>
  <c r="G37" i="43" l="1"/>
  <c r="I37" s="1"/>
  <c r="C30"/>
  <c r="E34"/>
  <c r="G35"/>
  <c r="I35" s="1"/>
  <c r="G33"/>
  <c r="I33" s="1"/>
  <c r="G38"/>
  <c r="I38" s="1"/>
  <c r="E29"/>
  <c r="C26" s="1"/>
  <c r="B2" s="1"/>
  <c r="G39"/>
  <c r="I39" s="1"/>
  <c r="G36"/>
  <c r="I36" s="1"/>
  <c r="C48" i="39"/>
  <c r="B3" s="1"/>
  <c r="E30" i="43" l="1"/>
  <c r="C27" s="1"/>
  <c r="B2" i="39"/>
  <c r="G42" i="63" l="1"/>
  <c r="B40"/>
  <c r="C15" s="1"/>
  <c r="F21" i="59" l="1"/>
  <c r="F13" i="9"/>
  <c r="F11"/>
  <c r="F11" i="59" l="1"/>
  <c r="F12" i="9"/>
  <c r="F14" s="1"/>
  <c r="E13" i="63" l="1"/>
  <c r="F13" s="1"/>
  <c r="G13"/>
  <c r="H13" s="1"/>
  <c r="G12"/>
  <c r="H12" s="1"/>
  <c r="D14"/>
  <c r="B80"/>
  <c r="B83" s="1"/>
  <c r="C21"/>
  <c r="E21" s="1"/>
  <c r="E12"/>
  <c r="C20"/>
  <c r="B4" s="1"/>
  <c r="E20" l="1"/>
  <c r="B85"/>
  <c r="F12"/>
  <c r="D13" s="1"/>
  <c r="B84"/>
  <c r="B81" s="1"/>
  <c r="B82"/>
  <c r="D12" l="1"/>
  <c r="C11" s="1"/>
  <c r="C18" l="1"/>
  <c r="C19"/>
  <c r="E19" s="1"/>
  <c r="B3"/>
  <c r="F6" i="59" s="1"/>
  <c r="C22" i="63"/>
  <c r="B5" s="1"/>
  <c r="E18"/>
  <c r="F5" i="59" l="1"/>
  <c r="F8" l="1"/>
  <c r="F9" s="1"/>
  <c r="B12" i="9" s="1"/>
  <c r="B5"/>
  <c r="F10" i="59" l="1"/>
  <c r="B13" i="9" s="1"/>
  <c r="B11"/>
  <c r="B14" l="1"/>
  <c r="F4" i="59"/>
  <c r="F24" s="1"/>
  <c r="F25" l="1"/>
  <c r="F35"/>
  <c r="B18" i="9" s="1"/>
  <c r="C11" i="68" s="1"/>
  <c r="B15" i="9"/>
  <c r="B16" l="1"/>
  <c r="F36" i="59"/>
  <c r="B19" i="9" s="1"/>
  <c r="H1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<sst xmlns="http://schemas.openxmlformats.org/spreadsheetml/2006/main" count="3928" uniqueCount="1775">
  <si>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</si>
  <si>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</si>
  <si>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</si>
  <si>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</si>
  <si>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</si>
  <si>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</si>
  <si>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</si>
  <si>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</si>
  <si>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</si>
  <si>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</si>
  <si>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</si>
  <si>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</si>
  <si>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</si>
  <si>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</si>
  <si>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</si>
  <si>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</si>
  <si>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</si>
  <si>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</si>
  <si>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</si>
  <si>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</si>
  <si>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</si>
  <si>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</si>
  <si>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</si>
  <si>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</si>
  <si>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</si>
  <si>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</si>
  <si>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</si>
  <si>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</si>
  <si>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</si>
  <si>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</si>
  <si>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</si>
  <si>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</si>
  <si>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</si>
  <si>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</si>
  <si>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</si>
  <si>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</si>
  <si>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</si>
  <si>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</si>
  <si>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</si>
  <si>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</si>
  <si>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</si>
  <si>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</si>
  <si>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</si>
  <si>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</si>
  <si>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</si>
  <si>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</si>
  <si>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</si>
  <si>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</si>
  <si>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</si>
  <si>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</si>
  <si>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</si>
  <si>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</si>
  <si>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</si>
  <si>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</si>
  <si>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</si>
  <si>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</si>
  <si>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</si>
  <si>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</si>
  <si>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</si>
  <si>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</si>
  <si>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</si>
  <si>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</si>
  <si>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</si>
  <si>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</si>
  <si>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</si>
  <si>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</si>
  <si>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</si>
  <si>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</si>
  <si>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</si>
  <si>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</si>
  <si>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</si>
  <si>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</si>
  <si>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</si>
  <si>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</si>
  <si>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</si>
  <si>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</si>
  <si>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</si>
  <si>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</si>
  <si>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</si>
  <si>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</si>
  <si>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</si>
  <si>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</si>
  <si>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</si>
  <si>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</si>
  <si>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</si>
  <si>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</si>
  <si>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</si>
  <si>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</si>
  <si>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</si>
  <si>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</si>
  <si>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</si>
  <si>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</si>
  <si>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</si>
  <si>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</si>
  <si>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</si>
  <si>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</si>
  <si>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</si>
  <si>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</si>
  <si>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</si>
  <si>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</si>
  <si>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</si>
  <si>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</si>
  <si>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</si>
  <si>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</si>
  <si>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</si>
  <si>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</si>
  <si>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</si>
  <si>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</si>
  <si>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</si>
  <si>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</si>
  <si>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</si>
  <si>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</si>
  <si>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</si>
  <si>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</si>
  <si>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</si>
  <si>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</si>
  <si>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</si>
  <si>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</si>
  <si>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</si>
  <si>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</si>
  <si>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</si>
  <si>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</si>
  <si>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</si>
  <si>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</si>
  <si>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</si>
  <si>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</si>
  <si>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</si>
  <si>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</si>
  <si>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</si>
  <si>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</si>
  <si>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</si>
  <si>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</si>
  <si>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</si>
  <si>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</si>
  <si>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</si>
  <si>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</si>
  <si>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</si>
  <si>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</si>
  <si>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</si>
  <si>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</si>
  <si>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</si>
  <si>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</si>
  <si>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</si>
  <si>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</si>
  <si>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</si>
  <si>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</si>
  <si>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</si>
  <si>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</si>
  <si>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</si>
  <si>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</si>
  <si>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</si>
  <si>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</si>
  <si>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</si>
  <si>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</si>
  <si>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</si>
  <si>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</si>
  <si>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</si>
  <si>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</si>
  <si>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</si>
  <si>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</si>
  <si>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</si>
  <si>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</si>
  <si>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</si>
  <si>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</si>
  <si>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</si>
  <si>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</si>
  <si>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</si>
  <si>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</si>
  <si>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</si>
  <si>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</si>
  <si>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</si>
  <si>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</si>
  <si>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</si>
  <si>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</si>
  <si>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</si>
  <si>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</si>
  <si>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</si>
  <si>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</si>
  <si>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</si>
  <si>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</si>
  <si>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</si>
  <si>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</si>
  <si>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</si>
  <si>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</si>
  <si>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</si>
  <si>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</si>
  <si>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</si>
  <si>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</si>
  <si>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</si>
  <si>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</si>
  <si>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</si>
  <si>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</si>
  <si>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</si>
  <si>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</si>
  <si>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</si>
  <si>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</si>
  <si>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</si>
  <si>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</si>
  <si>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</si>
  <si>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</si>
  <si>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</si>
  <si>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</si>
  <si>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</si>
  <si>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</si>
  <si>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</si>
  <si>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</si>
  <si>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</si>
  <si>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</si>
  <si>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</si>
  <si>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</si>
  <si>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</si>
  <si>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</si>
  <si>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</si>
  <si>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</si>
  <si>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</si>
  <si>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</si>
  <si>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</si>
  <si>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</si>
  <si>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</si>
  <si>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</si>
  <si>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</si>
  <si>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</si>
  <si>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</si>
  <si>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</si>
  <si>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</si>
  <si>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</si>
  <si>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</si>
  <si>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</si>
  <si>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</si>
  <si>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</si>
  <si>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</si>
  <si>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</si>
  <si>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</si>
  <si>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</si>
  <si>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</si>
  <si>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</si>
  <si>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</si>
  <si>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</si>
  <si>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</si>
  <si>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</si>
  <si>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</si>
  <si>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</si>
  <si>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</si>
  <si>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</si>
  <si>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</si>
  <si>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</si>
  <si>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</si>
  <si>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</si>
  <si>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</si>
  <si>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</si>
  <si>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</si>
  <si>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</si>
  <si>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</si>
  <si>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</si>
  <si>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</si>
  <si>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</si>
  <si>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</si>
  <si>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</si>
  <si>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</si>
  <si>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</si>
  <si>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</si>
  <si>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</si>
  <si>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</si>
  <si>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</si>
  <si>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</si>
  <si>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</si>
  <si>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</si>
  <si>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</si>
  <si>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</si>
  <si>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</si>
  <si>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</si>
  <si>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</si>
  <si>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</si>
  <si>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</si>
  <si>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</si>
  <si>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</si>
  <si>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</si>
  <si>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</si>
  <si>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</si>
  <si>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</si>
  <si>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</si>
  <si>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</si>
  <si>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</si>
  <si>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</si>
  <si>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</si>
  <si>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</si>
  <si>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</si>
  <si>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</si>
  <si>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</si>
  <si>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</si>
  <si>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</si>
  <si>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</si>
  <si>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</si>
  <si>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</si>
  <si>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</si>
  <si>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</si>
  <si>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</si>
  <si>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</si>
  <si>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</si>
  <si>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</si>
  <si>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</si>
  <si>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</si>
  <si>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</si>
  <si>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</si>
  <si>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</si>
  <si>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</si>
  <si>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</si>
  <si>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</si>
  <si>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</si>
  <si>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</si>
  <si>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</si>
  <si>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</si>
  <si>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</si>
  <si>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</si>
  <si>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</si>
  <si>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</si>
  <si>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</si>
  <si>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</si>
  <si>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</si>
  <si>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</si>
  <si>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</si>
  <si>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</si>
  <si>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</si>
  <si>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</si>
  <si>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</si>
  <si>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</si>
  <si>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</si>
  <si>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</si>
  <si>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</si>
  <si>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</si>
  <si>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</si>
  <si>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</si>
  <si>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</si>
  <si>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</si>
  <si>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</si>
  <si>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</si>
  <si>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</si>
  <si>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</si>
  <si>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</si>
  <si>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</si>
  <si>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</si>
  <si>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</si>
  <si>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</si>
  <si>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</si>
  <si>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</si>
  <si>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</si>
  <si>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</si>
  <si>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</si>
  <si>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</si>
  <si>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</si>
  <si>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</si>
  <si>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</si>
  <si>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</si>
  <si>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</si>
  <si>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</si>
  <si>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</si>
  <si>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</si>
  <si>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</si>
  <si>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</si>
  <si>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</si>
  <si>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</si>
  <si>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</si>
  <si>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</si>
  <si>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</si>
  <si>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</si>
  <si>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</si>
  <si>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</si>
  <si>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</si>
  <si>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</si>
  <si>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</si>
  <si>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</si>
  <si>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</si>
  <si>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</si>
  <si>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</si>
  <si>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</si>
  <si>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</si>
  <si>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</si>
  <si>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</si>
  <si>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</si>
  <si>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</si>
  <si>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</si>
  <si>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</si>
  <si>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</si>
  <si>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</si>
  <si>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</si>
  <si>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</si>
  <si>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</si>
  <si>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</si>
  <si>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</si>
  <si>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</si>
  <si>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</si>
  <si>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</si>
  <si>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</si>
  <si>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</si>
  <si>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</si>
  <si>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</si>
  <si>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</si>
  <si>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</si>
  <si>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</si>
  <si>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</si>
  <si>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</si>
  <si>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</si>
  <si>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</si>
  <si>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</si>
  <si>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</si>
  <si>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</si>
  <si>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</si>
  <si>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</si>
  <si>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</si>
  <si>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</si>
  <si>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</si>
  <si>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</si>
  <si>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</si>
  <si>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</si>
  <si>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</si>
  <si>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</si>
  <si>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</si>
  <si>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</si>
  <si>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</si>
  <si>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</si>
  <si>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</si>
  <si>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</si>
  <si>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</si>
  <si>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</si>
  <si>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</si>
  <si>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</si>
  <si>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</si>
  <si>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</si>
  <si>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</si>
  <si>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</si>
  <si>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</si>
  <si>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</si>
  <si>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</si>
  <si>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</si>
  <si>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</si>
  <si>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</si>
  <si>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</si>
  <si>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</si>
  <si>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</si>
  <si>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</si>
  <si>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</si>
  <si>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</si>
  <si>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</si>
  <si>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</si>
  <si>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</si>
  <si>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</si>
  <si>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</si>
  <si>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</si>
  <si>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</si>
  <si>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</si>
  <si>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</si>
  <si>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</si>
  <si>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</si>
  <si>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</si>
  <si>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</si>
  <si>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</si>
  <si>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</si>
  <si>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</si>
  <si>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</si>
  <si>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</si>
  <si>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</si>
  <si>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</si>
  <si>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</si>
  <si>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</si>
  <si>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</si>
  <si>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</si>
  <si>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</si>
  <si>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</si>
  <si>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</si>
  <si>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</si>
  <si>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</si>
  <si>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</si>
  <si>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</si>
  <si>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</si>
  <si>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</si>
  <si>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</si>
  <si>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</si>
  <si>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</si>
  <si>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</si>
  <si>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</si>
  <si>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</si>
  <si>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</si>
  <si>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</si>
  <si>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</si>
  <si>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</si>
  <si>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</si>
  <si>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</si>
  <si>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</si>
  <si>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</si>
  <si>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</si>
  <si>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</si>
  <si>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</si>
  <si>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</si>
  <si>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</si>
  <si>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</si>
  <si>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</si>
  <si>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</si>
  <si>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</si>
  <si>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</si>
  <si>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</si>
  <si>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</si>
  <si>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</si>
  <si>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</si>
  <si>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</si>
  <si>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</si>
  <si>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</si>
  <si>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</si>
  <si>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</si>
  <si>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</si>
  <si>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</si>
  <si>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</si>
  <si>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</si>
  <si>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</si>
  <si>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</si>
  <si>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</si>
  <si>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</si>
  <si>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</si>
  <si>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</si>
  <si>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</si>
  <si>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</si>
  <si>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</si>
  <si>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</si>
  <si>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</si>
  <si>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</si>
  <si>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</si>
  <si>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</si>
  <si>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</si>
  <si>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</si>
  <si>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</si>
  <si>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</si>
  <si>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</si>
  <si>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</si>
  <si>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</si>
  <si>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</si>
  <si>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</si>
  <si>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</si>
  <si>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</si>
  <si>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</si>
  <si>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</si>
  <si>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</si>
  <si>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</si>
  <si>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</si>
  <si>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</si>
  <si>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</si>
  <si>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</si>
  <si>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</si>
  <si>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</si>
  <si>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</si>
  <si>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</si>
  <si>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</si>
  <si>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</si>
  <si>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</si>
  <si>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</si>
  <si>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</si>
  <si>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</si>
  <si>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</si>
  <si>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</si>
  <si>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</si>
  <si>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</si>
  <si>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</si>
  <si>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</si>
  <si>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</si>
  <si>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</si>
  <si>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</si>
  <si>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</si>
  <si>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</si>
  <si>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</si>
  <si>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</si>
  <si>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</si>
  <si>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</si>
  <si>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</si>
  <si>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</si>
  <si>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</si>
  <si>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</si>
  <si>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</si>
  <si>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</si>
  <si>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</si>
  <si>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</si>
  <si>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</si>
  <si>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</si>
  <si>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</si>
  <si>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</si>
  <si>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</si>
  <si>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</si>
  <si>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</si>
  <si>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</si>
  <si>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</si>
  <si>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</si>
  <si>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</si>
  <si>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</si>
  <si>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</si>
  <si>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</si>
  <si>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</si>
  <si>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</si>
  <si>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</si>
  <si>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</si>
  <si>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</si>
  <si>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</si>
  <si>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</si>
  <si>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</si>
  <si>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</si>
  <si>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</si>
  <si>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</si>
  <si>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</si>
  <si>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</si>
  <si>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</si>
  <si>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</si>
  <si>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</si>
  <si>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</si>
  <si>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</si>
  <si>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</si>
  <si>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</si>
  <si>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</si>
  <si>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</si>
  <si>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</si>
  <si>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</si>
  <si>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</si>
  <si>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</si>
  <si>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</si>
  <si>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</si>
  <si>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</si>
  <si>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</si>
  <si>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</si>
  <si>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</si>
  <si>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</si>
  <si>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</si>
  <si>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</si>
  <si>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</si>
  <si>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</si>
  <si>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</si>
  <si>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</si>
  <si>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</si>
  <si>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</si>
  <si>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</si>
  <si>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</si>
  <si>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</si>
  <si>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</si>
  <si>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</si>
  <si>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</si>
  <si>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</si>
  <si>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</si>
  <si>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</si>
  <si>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</si>
  <si>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</si>
  <si>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</si>
  <si>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</si>
  <si>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</si>
  <si>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</si>
  <si>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</si>
  <si>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</si>
  <si>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</si>
  <si>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</si>
  <si>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</si>
  <si>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</si>
  <si>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</si>
  <si>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</si>
  <si>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</si>
  <si>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</si>
  <si>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</si>
  <si>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</si>
  <si>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</si>
  <si>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</si>
  <si>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</si>
  <si>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</si>
  <si>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</si>
  <si>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</si>
  <si>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</si>
  <si>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</si>
  <si>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</si>
  <si>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</si>
  <si>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</si>
  <si>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</si>
  <si>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</si>
  <si>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</si>
  <si>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</si>
  <si>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</si>
  <si>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</si>
  <si>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</si>
  <si>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</si>
  <si>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</si>
  <si>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</si>
  <si>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</si>
  <si>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</si>
  <si>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</si>
  <si>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</si>
  <si>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</si>
  <si>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</si>
  <si>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</si>
  <si>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</si>
  <si>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</si>
  <si>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</si>
  <si>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</si>
  <si>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</si>
  <si>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</si>
  <si>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</si>
  <si>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</si>
  <si>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</si>
  <si>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</si>
  <si>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</si>
  <si>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</si>
  <si>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</si>
  <si>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</si>
  <si>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</si>
  <si>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</si>
  <si>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</si>
  <si>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</si>
  <si>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</si>
  <si>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</si>
  <si>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</si>
  <si>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</si>
  <si>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</si>
  <si>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</si>
  <si>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</si>
  <si>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</si>
  <si>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</si>
  <si>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</si>
  <si>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</si>
  <si>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</si>
  <si>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</si>
  <si>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</si>
  <si>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</si>
  <si>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</si>
  <si>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</si>
  <si>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</si>
  <si>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</si>
  <si>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</si>
  <si>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</si>
  <si>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</si>
  <si>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</si>
  <si>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</si>
  <si>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</si>
  <si>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</si>
  <si>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</si>
  <si>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</si>
  <si>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</si>
  <si>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</si>
  <si>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</si>
  <si>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</si>
  <si>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</si>
  <si>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</si>
  <si>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</si>
  <si>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</si>
  <si>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</si>
  <si>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</si>
  <si>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</si>
  <si>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</si>
  <si>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</si>
  <si>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</si>
  <si>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</si>
  <si>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</si>
  <si>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</si>
  <si>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</si>
  <si>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</si>
  <si>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</si>
  <si>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</si>
  <si>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</si>
  <si>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</si>
  <si>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</si>
  <si>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</si>
  <si>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</si>
  <si>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</si>
  <si>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</si>
  <si>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</si>
  <si>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</si>
  <si>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</si>
  <si>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</si>
  <si>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</si>
  <si>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</si>
  <si>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</si>
  <si>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</si>
  <si>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</si>
  <si>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</si>
  <si>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</si>
  <si>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</si>
  <si>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</si>
  <si>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</si>
  <si>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</si>
  <si>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</si>
  <si>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</si>
  <si>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</si>
  <si>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</si>
  <si>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</si>
  <si>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</si>
  <si>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</si>
  <si>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</si>
  <si>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</si>
  <si>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</si>
  <si>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</si>
  <si>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</si>
  <si>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</si>
  <si>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</si>
  <si>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</si>
  <si>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</si>
  <si>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</si>
  <si>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</si>
  <si>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</si>
  <si>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</si>
  <si>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</si>
  <si>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</si>
  <si>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</si>
  <si>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</si>
  <si>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</si>
  <si>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</si>
  <si>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</si>
  <si>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</si>
  <si>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</si>
  <si>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</si>
  <si>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</si>
  <si>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</si>
  <si>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</si>
  <si>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</si>
  <si>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</si>
  <si>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</si>
  <si>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</si>
  <si>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</si>
  <si>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</si>
  <si>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</si>
  <si>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</si>
  <si>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</si>
  <si>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</si>
  <si>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</si>
  <si>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</si>
  <si>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</si>
  <si>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</si>
  <si>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</si>
  <si>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</si>
  <si>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</si>
  <si>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</si>
  <si>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</si>
  <si>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</si>
  <si>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</si>
  <si>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</si>
  <si>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</si>
  <si>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</si>
  <si>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</si>
  <si>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</si>
  <si>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</si>
  <si>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</si>
  <si>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</si>
  <si>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</si>
  <si>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</si>
  <si>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</si>
  <si>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</si>
  <si>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</si>
  <si>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</si>
  <si>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</si>
  <si>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</si>
  <si>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</si>
  <si>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</si>
  <si>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</si>
  <si>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</si>
  <si>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</si>
  <si>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</si>
  <si>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</si>
  <si>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</si>
  <si>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</si>
  <si>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</si>
  <si>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</si>
  <si>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</si>
  <si>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</si>
  <si>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</si>
  <si>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</si>
  <si>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</si>
  <si>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</si>
  <si>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</si>
  <si>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</si>
  <si>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</si>
  <si>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</si>
  <si>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</si>
  <si>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</si>
  <si>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</si>
  <si>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</si>
  <si>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</si>
  <si>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</si>
  <si>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</si>
  <si>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</si>
  <si>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</si>
  <si>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</si>
  <si>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</si>
  <si>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</si>
  <si>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</si>
  <si>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</si>
  <si>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</si>
  <si>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</si>
  <si>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</si>
  <si>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</si>
  <si>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</si>
  <si>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</si>
  <si>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</si>
  <si>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</si>
  <si>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</si>
  <si>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</si>
  <si>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</si>
  <si>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</si>
  <si>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</si>
  <si>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</si>
  <si>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</si>
  <si>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</si>
  <si>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</si>
  <si>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</si>
  <si>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</si>
  <si>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</si>
  <si>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</si>
  <si>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</si>
  <si>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</si>
  <si>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</si>
  <si>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</si>
  <si>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</si>
  <si>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</si>
  <si>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</si>
  <si>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</si>
  <si>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</si>
  <si>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</si>
  <si>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</si>
  <si>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</si>
  <si>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</si>
  <si>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</si>
  <si>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</si>
  <si>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</si>
  <si>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</si>
  <si>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</si>
  <si>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</si>
  <si>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</si>
  <si>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</si>
  <si>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</si>
  <si>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</si>
  <si>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</si>
  <si>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</si>
  <si>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</si>
  <si>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</si>
  <si>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</si>
  <si>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</si>
  <si>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</si>
  <si>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</si>
  <si>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</si>
  <si>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</si>
  <si>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</si>
  <si>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</si>
  <si>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</si>
  <si>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</si>
  <si>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</si>
  <si>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</si>
  <si>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</si>
  <si>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</si>
  <si>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</si>
  <si>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</si>
  <si>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</si>
  <si>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</si>
  <si>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</si>
  <si>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</si>
  <si>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</si>
  <si>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</si>
  <si>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</si>
  <si>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</si>
  <si>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</si>
  <si>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</si>
  <si>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</si>
  <si>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</si>
  <si>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</si>
  <si>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</si>
  <si>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</si>
  <si>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</si>
  <si>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</si>
  <si>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</si>
  <si>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</si>
  <si>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</si>
  <si>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</si>
  <si>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</si>
  <si>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</si>
  <si>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</si>
  <si>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</si>
  <si>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</si>
  <si>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</si>
  <si>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</si>
  <si>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</si>
  <si>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</si>
  <si>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</si>
  <si>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</si>
  <si>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</si>
  <si>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</si>
  <si>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</si>
  <si>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</si>
  <si>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</si>
  <si>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</si>
  <si>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</si>
  <si>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</si>
  <si>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</si>
  <si>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</si>
  <si>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</si>
  <si>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</si>
  <si>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</si>
  <si>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</si>
  <si>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</si>
  <si>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</si>
  <si>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</si>
  <si>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</si>
  <si>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</si>
  <si>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</si>
  <si>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</si>
  <si>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</si>
  <si>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</si>
  <si>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</si>
  <si>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</si>
  <si>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</si>
  <si>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</si>
  <si>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</si>
  <si>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</si>
  <si>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</si>
  <si>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</si>
  <si>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</si>
  <si>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</si>
  <si>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</si>
  <si>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</si>
  <si>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</si>
  <si>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</si>
  <si>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</si>
  <si>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</si>
  <si>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</si>
  <si>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</si>
  <si>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</si>
  <si>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</si>
  <si>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</si>
  <si>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</si>
  <si>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</si>
  <si>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</si>
  <si>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</si>
  <si>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</si>
  <si>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</si>
  <si>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</si>
  <si>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</si>
  <si>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</si>
  <si>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</si>
  <si>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</si>
  <si>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</si>
  <si>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</si>
  <si>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</si>
  <si>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</si>
  <si>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</si>
  <si>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</si>
  <si>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</si>
  <si>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</si>
  <si>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</si>
  <si>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</si>
  <si>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</si>
  <si>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</si>
  <si>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</si>
  <si>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</si>
  <si>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</si>
  <si>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</si>
  <si>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</si>
  <si>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</si>
  <si>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</si>
  <si>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</si>
  <si>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</si>
  <si>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</si>
  <si>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</si>
  <si>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</si>
  <si>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</si>
  <si>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</si>
  <si>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</si>
  <si>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</si>
  <si>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</si>
  <si>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</si>
  <si>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</si>
  <si>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</si>
  <si>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</si>
  <si>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</si>
  <si>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</si>
  <si>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</si>
  <si>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</si>
  <si>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</si>
  <si>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</si>
  <si>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</si>
  <si>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</si>
  <si>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</si>
  <si>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</si>
  <si>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</si>
  <si>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</si>
  <si>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</si>
  <si>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</si>
  <si>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</si>
  <si>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</si>
  <si>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</si>
  <si>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</si>
  <si>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</si>
  <si>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</si>
  <si>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</si>
  <si>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</si>
  <si>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</si>
  <si>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</si>
  <si>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</si>
  <si>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</si>
  <si>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</si>
  <si>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</si>
  <si>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</si>
  <si>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</si>
  <si>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</si>
  <si>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</si>
  <si>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</si>
  <si>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</si>
  <si>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</si>
  <si>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</si>
  <si>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</si>
  <si>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</si>
  <si>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</si>
  <si>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</si>
  <si>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</si>
  <si>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</si>
  <si>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</si>
  <si>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</si>
  <si>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</si>
  <si>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</si>
  <si>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</si>
  <si>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</si>
  <si>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</si>
  <si>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</si>
  <si>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</si>
  <si>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</si>
  <si>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</si>
  <si>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</si>
  <si>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</si>
  <si>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</si>
  <si>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</si>
  <si>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</si>
  <si>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</si>
  <si>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</si>
  <si>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</si>
  <si>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</si>
  <si>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</si>
  <si>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</si>
  <si>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</si>
  <si>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</si>
  <si>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</si>
  <si>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</si>
  <si>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</si>
  <si>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</si>
  <si>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</si>
  <si>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</si>
  <si>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</si>
  <si>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</si>
  <si>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</si>
  <si>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</si>
  <si>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</si>
  <si>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</si>
  <si>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</si>
  <si>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</si>
  <si>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</si>
  <si>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</si>
  <si>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</si>
  <si>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</si>
  <si>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</si>
  <si>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</si>
  <si>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</si>
  <si>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</si>
  <si>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</si>
  <si>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</si>
  <si>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</si>
  <si>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</si>
  <si>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</si>
  <si>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</si>
  <si>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</si>
  <si>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</si>
  <si>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</si>
  <si>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</si>
  <si>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</si>
  <si>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</si>
  <si>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</si>
  <si>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</si>
  <si>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</si>
  <si>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</si>
  <si>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</si>
  <si>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</si>
  <si>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</si>
  <si>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</si>
  <si>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</si>
  <si>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</si>
  <si>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</si>
  <si>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</si>
  <si>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</si>
  <si>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</si>
  <si>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</si>
  <si>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</si>
  <si>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</si>
  <si>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</si>
  <si>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</si>
  <si>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</si>
  <si>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</si>
  <si>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</si>
  <si>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</si>
  <si>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</si>
  <si>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</si>
  <si>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</si>
  <si>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</si>
  <si>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</si>
  <si>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</si>
  <si>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</si>
  <si>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</si>
  <si>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</si>
  <si>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</si>
  <si>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</si>
  <si>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</si>
  <si>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</si>
  <si>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</si>
  <si>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</si>
  <si>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</si>
  <si>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</si>
  <si>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</si>
  <si>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</si>
  <si>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</si>
  <si>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</si>
  <si>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</si>
  <si>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</si>
  <si>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</si>
  <si>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</si>
  <si>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</si>
  <si>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</si>
  <si>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</si>
  <si>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</si>
  <si>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</si>
  <si>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</si>
  <si>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</si>
  <si>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</si>
  <si>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</si>
  <si>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</si>
  <si>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</si>
  <si>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</si>
  <si>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</si>
  <si>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</si>
  <si>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</si>
  <si>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</si>
  <si>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</si>
  <si>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</si>
  <si>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</si>
  <si>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</si>
  <si>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</si>
  <si>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</si>
  <si>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</si>
  <si>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</si>
  <si>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</si>
  <si>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</si>
  <si>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</si>
  <si>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</si>
  <si>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</si>
  <si>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</si>
  <si>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</si>
  <si>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</si>
  <si>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</si>
  <si>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</si>
  <si>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</si>
  <si>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</si>
  <si>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</si>
  <si>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</si>
  <si>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</si>
  <si>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</si>
  <si>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</si>
  <si>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</si>
  <si>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</si>
  <si>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</si>
  <si>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</si>
  <si>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</si>
  <si>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</si>
  <si>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</si>
  <si>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</si>
  <si>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</si>
  <si>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</si>
  <si>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</si>
  <si>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</si>
  <si>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</si>
  <si>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</si>
  <si>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</si>
  <si>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</si>
  <si>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</si>
  <si>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</si>
  <si>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</si>
  <si>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</si>
  <si>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</si>
  <si>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</si>
  <si>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</si>
  <si>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</si>
  <si>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</si>
  <si>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</si>
  <si>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</si>
  <si>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</si>
  <si>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</si>
  <si>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</si>
  <si>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</si>
  <si>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</si>
  <si>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</si>
  <si>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</si>
  <si>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</si>
  <si>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</si>
  <si>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</si>
  <si>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</si>
  <si>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</si>
  <si>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</si>
  <si>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</si>
  <si>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</si>
  <si>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</si>
  <si>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</si>
  <si>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</si>
  <si>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</si>
  <si>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</si>
  <si>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</si>
  <si>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</si>
  <si>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</si>
  <si>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</si>
  <si>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</si>
  <si>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</si>
  <si>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</si>
  <si>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</si>
  <si>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</si>
  <si>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</si>
  <si>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</si>
  <si>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</si>
  <si>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</si>
  <si>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</si>
  <si>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</si>
  <si>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</si>
  <si>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</si>
  <si>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</si>
  <si>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</si>
  <si>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</si>
  <si>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</si>
  <si>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</si>
  <si>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</si>
  <si>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</si>
  <si>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</si>
  <si>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</si>
  <si>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</si>
  <si>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</si>
  <si>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</si>
  <si>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</si>
  <si>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</si>
  <si>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</si>
  <si>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</si>
  <si>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</si>
  <si>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</si>
  <si>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</si>
  <si>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</si>
  <si>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</si>
  <si>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</si>
  <si>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</si>
  <si>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</si>
  <si>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</si>
  <si>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</si>
  <si>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</si>
  <si>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</si>
  <si>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</si>
  <si>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</si>
  <si>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</si>
  <si>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</si>
  <si>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</si>
  <si>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</si>
  <si>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</si>
  <si>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</si>
  <si>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</si>
  <si>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</si>
  <si>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</si>
  <si>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</si>
  <si>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</si>
  <si>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</si>
  <si>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</si>
  <si>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</si>
  <si>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</si>
  <si>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</si>
  <si>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</si>
  <si>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</si>
  <si>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</si>
  <si>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</si>
  <si>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</si>
  <si>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</si>
  <si>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</si>
  <si>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</si>
  <si>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</si>
  <si>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</si>
  <si>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</si>
  <si>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</si>
  <si>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</si>
  <si>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</si>
  <si>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</si>
  <si>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</si>
  <si>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</si>
  <si>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</si>
  <si>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</si>
  <si>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</si>
  <si>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</si>
  <si>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</si>
  <si>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</si>
  <si>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</si>
  <si>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</si>
  <si>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</si>
  <si>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</si>
  <si>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</si>
  <si>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</si>
  <si>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</si>
  <si>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</si>
  <si>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</si>
  <si>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</si>
  <si>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</si>
  <si>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</si>
  <si>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</si>
  <si>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</si>
  <si>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</si>
  <si>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</si>
  <si>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</si>
  <si>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</si>
  <si>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</si>
  <si>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</si>
  <si>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</si>
  <si>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</si>
  <si>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</si>
  <si>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</si>
  <si>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</si>
  <si>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</si>
  <si>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</si>
  <si>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</si>
  <si>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</si>
  <si>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</si>
  <si>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</si>
  <si>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</si>
  <si>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</si>
  <si>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</si>
  <si>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</si>
  <si>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</si>
  <si>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</si>
  <si>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</si>
  <si>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</si>
  <si>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</si>
  <si>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</si>
  <si>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</si>
  <si>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</si>
  <si>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</si>
  <si>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</si>
  <si>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</si>
  <si>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</si>
  <si>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</si>
  <si>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</si>
  <si>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</si>
  <si>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</si>
  <si>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</si>
  <si>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</si>
  <si>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</si>
  <si>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</si>
  <si>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</si>
  <si>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</si>
  <si>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</si>
  <si>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</si>
  <si>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</si>
  <si>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</si>
  <si>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</si>
  <si>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</si>
  <si>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</si>
  <si>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</si>
  <si>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</si>
  <si>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</si>
  <si>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</si>
  <si>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</si>
  <si>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</si>
  <si>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</si>
  <si>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</si>
  <si>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</si>
  <si>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</si>
  <si>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</si>
  <si>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</si>
  <si>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</si>
  <si>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</si>
  <si>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</si>
  <si>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</si>
  <si>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</si>
  <si>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</si>
  <si>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</si>
  <si>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</si>
  <si>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</si>
  <si>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</si>
  <si>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</si>
  <si>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</si>
  <si>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</si>
  <si>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</si>
  <si>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</si>
  <si>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</si>
  <si>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</si>
  <si>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</si>
  <si>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</si>
  <si>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</si>
  <si>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</si>
  <si>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</si>
  <si>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</si>
  <si>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</si>
  <si>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</si>
  <si>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</si>
  <si>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</si>
  <si>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</si>
  <si>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</si>
  <si>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</si>
  <si>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</si>
  <si>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</si>
  <si>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</si>
  <si>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</si>
  <si>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</si>
  <si>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</si>
  <si>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</si>
  <si>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</si>
  <si>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</si>
  <si>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</si>
  <si>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</si>
  <si>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</si>
  <si>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</si>
  <si>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</si>
  <si>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</si>
  <si>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</si>
  <si>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</si>
  <si>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</si>
  <si>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</si>
  <si>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</si>
  <si>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</si>
  <si>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</si>
  <si>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</si>
  <si>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</si>
  <si>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</si>
  <si>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</si>
  <si>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</si>
  <si>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</si>
  <si>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</si>
  <si>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</si>
  <si>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</si>
  <si>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</si>
  <si>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</si>
  <si>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</si>
  <si>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</si>
  <si>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</si>
  <si>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</si>
  <si>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</si>
  <si>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</si>
  <si>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</si>
  <si>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</si>
  <si>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</si>
  <si>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</si>
  <si>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</si>
  <si>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</si>
  <si>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</si>
  <si>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</si>
  <si>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</si>
  <si>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</si>
  <si>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</si>
  <si>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</si>
  <si>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</si>
  <si>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</si>
  <si>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</si>
  <si>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</si>
  <si>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</si>
  <si>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</si>
  <si>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</si>
  <si>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</si>
  <si>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</si>
  <si>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</si>
  <si>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</si>
  <si>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</si>
  <si>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</si>
  <si>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</si>
  <si>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</si>
  <si>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</si>
  <si>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</si>
  <si>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</si>
  <si>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</si>
  <si>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</si>
  <si>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</si>
  <si>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</si>
  <si>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</si>
  <si>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</si>
  <si>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</si>
  <si>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</si>
  <si>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</si>
  <si>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</si>
  <si>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</si>
  <si>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</si>
  <si>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</si>
  <si>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</si>
  <si>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</si>
  <si>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</si>
  <si>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</si>
  <si>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</si>
  <si>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</si>
  <si>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</si>
  <si>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</si>
  <si>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</si>
  <si>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</si>
  <si>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</si>
  <si>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</si>
  <si>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</si>
  <si>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</si>
  <si>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</si>
  <si>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</si>
  <si>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</si>
  <si>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</si>
  <si>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</si>
  <si>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</si>
  <si>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</si>
  <si>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</si>
  <si>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</si>
  <si>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</si>
  <si>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</si>
  <si>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</si>
  <si>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</si>
  <si>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</si>
  <si>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</si>
  <si>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</si>
  <si>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</si>
  <si>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</si>
  <si>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</si>
  <si>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</si>
  <si>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</si>
  <si>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</si>
  <si>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</si>
  <si>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</si>
  <si>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</si>
  <si>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</si>
  <si>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</si>
  <si>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</si>
  <si>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</si>
  <si>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</si>
  <si>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</si>
  <si>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</si>
  <si>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</si>
  <si>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</si>
  <si>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</si>
  <si>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</si>
  <si>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</si>
  <si>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</si>
  <si>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</si>
  <si>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</si>
  <si>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</si>
  <si>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</si>
  <si>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</si>
  <si>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</si>
  <si>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</si>
  <si>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</si>
  <si>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</si>
  <si>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</si>
  <si>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</si>
  <si>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</si>
  <si>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</si>
  <si>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</si>
  <si>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</si>
  <si>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</si>
  <si>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</si>
  <si>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</si>
  <si>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</si>
  <si>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</si>
  <si>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</si>
  <si>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</si>
  <si>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</si>
  <si>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</si>
  <si>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</si>
  <si>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</si>
  <si>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</si>
  <si>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</si>
  <si>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</si>
  <si>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</si>
  <si>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</si>
  <si>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</si>
  <si>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</si>
  <si>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</si>
  <si>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</si>
  <si>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</si>
  <si>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</si>
  <si>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</si>
  <si>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</si>
  <si>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</si>
  <si>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</si>
  <si>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</si>
  <si>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</si>
  <si>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</si>
  <si>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</si>
  <si>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</si>
  <si>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</si>
  <si>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</si>
  <si>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</si>
  <si>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</si>
  <si>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</si>
  <si>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</si>
  <si>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</si>
  <si>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</si>
  <si>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</si>
  <si>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</si>
  <si>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</si>
  <si>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</si>
  <si>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</si>
  <si>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</si>
  <si>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</si>
  <si>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</si>
  <si>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</si>
  <si>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</si>
  <si>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</si>
  <si>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</si>
  <si>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</si>
  <si>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</si>
  <si>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</si>
  <si>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</si>
  <si>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</si>
  <si>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</si>
  <si>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</si>
  <si>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</si>
  <si>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</si>
  <si>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</si>
  <si>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</si>
  <si>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</si>
  <si>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</si>
  <si>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</si>
  <si>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</si>
  <si>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</si>
  <si>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</si>
  <si>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</si>
  <si>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</si>
  <si>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</si>
  <si>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</si>
  <si>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</si>
  <si>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</si>
  <si>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</si>
  <si>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</si>
  <si>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</si>
  <si>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</si>
  <si>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</si>
  <si>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</si>
  <si>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</si>
  <si>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</si>
  <si>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</si>
  <si>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</si>
  <si>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</si>
  <si>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</si>
  <si>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</si>
  <si>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</si>
  <si>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</si>
  <si>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</si>
  <si>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</si>
  <si>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</si>
  <si>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</si>
  <si>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</si>
  <si>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</si>
  <si>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</si>
  <si>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</si>
  <si>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</si>
  <si>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</si>
  <si>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</si>
  <si>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</si>
  <si>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</si>
  <si>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</si>
  <si>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</si>
  <si>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</si>
  <si>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</si>
  <si>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</si>
  <si>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</si>
  <si>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</si>
  <si>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</si>
  <si>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</si>
  <si>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</si>
  <si>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</si>
  <si>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</si>
  <si>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</si>
  <si>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</si>
  <si>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</si>
  <si>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</si>
  <si>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</si>
  <si>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</si>
  <si>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</si>
  <si>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</t>
  </si>
  <si>
    <t>住宅/居住</t>
  </si>
  <si>
    <t>城镇拆迁</t>
  </si>
  <si>
    <t>钢混</t>
  </si>
  <si>
    <t>扣出让金</t>
  </si>
  <si>
    <t>周边有樱花园、惠新里、芍药居等居住社区，综合评价居住社区成熟度较好。</t>
    <phoneticPr fontId="43" type="noConversion"/>
  </si>
  <si>
    <t>估价对象周边有119路、515路、567路等10余条公交线路及地铁10号线、13号线换乘站（芍药居站）通过，交通便捷度较好。</t>
    <phoneticPr fontId="43" type="noConversion"/>
  </si>
  <si>
    <t>自然环境：太阳宫体育休闲公园、护城河；人文环境：中国现代文学馆、民族服饰博物馆、对外经济贸易大学、北京化工大学、北京中医药大学、北京联合大学；综合评价环境状况较好。</t>
    <phoneticPr fontId="43" type="noConversion"/>
  </si>
  <si>
    <t>估价对象所在区域公共配套设施较好</t>
    <phoneticPr fontId="43" type="noConversion"/>
  </si>
  <si>
    <t>七通一平</t>
    <phoneticPr fontId="23" type="noConversion"/>
  </si>
  <si>
    <t>紧邻城市支路——育慧南路</t>
    <phoneticPr fontId="3" type="noConversion"/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</si>
</sst>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164" fillId="0" borderId="17" xfId="0" applyFont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250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1399</v>
      </c>
    </row>
    <row r="19" spans="1:2" ht="13.5">
      <c r="A19" s="1748"/>
      <c r="B19" s="666" t="s">
        <v>1400</v>
      </c>
    </row>
    <row r="20" spans="1:2" ht="13.5">
      <c r="A20" s="1748"/>
      <c r="B20" s="666" t="s">
        <v>1401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1314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1315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9" t="s">
        <v>970</v>
      </c>
      <c r="D17" s="325"/>
      <c r="E17" s="248" t="s">
        <v>699</v>
      </c>
      <c r="F17" s="326"/>
      <c r="G17" s="326"/>
    </row>
    <row r="18" spans="1:9" s="332" customFormat="1" ht="19.5" customHeight="1">
      <c r="A18" s="1786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86"/>
      <c r="B19" s="1786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86"/>
      <c r="B20" s="1786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86"/>
      <c r="B21" s="1786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86"/>
      <c r="B22" s="1786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6" t="s">
        <v>1314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86"/>
      <c r="B24" s="1786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6"/>
      <c r="B25" s="1786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6"/>
      <c r="B26" s="1786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6"/>
      <c r="B27" s="1786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86"/>
      <c r="B28" s="1786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86"/>
      <c r="B29" s="1786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86"/>
      <c r="B30" s="1786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86"/>
      <c r="B31" s="1786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86"/>
      <c r="B32" s="1786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86" t="s">
        <v>1313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86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86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86"/>
      <c r="B36" s="1786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86"/>
      <c r="B37" s="1786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86"/>
      <c r="B38" s="1786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86"/>
      <c r="B39" s="1786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1316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4"/>
      <c r="B60" s="394"/>
      <c r="C60" s="394" t="s">
        <v>885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6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86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86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86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86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86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86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86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86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86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86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86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86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86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86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86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86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86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86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86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86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86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86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86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86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86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86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86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86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86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86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86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86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86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86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86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86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86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86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6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6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6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6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6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6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6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6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6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86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86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>
        <f>SUMPRODUCT((A105:A204=ROUNDDOWN('2014基准地价'!G3,1))*(B104:M104='2014基准地价'!G2)*(B105:M204))</f>
        <v>0.8075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zoomScale="90" zoomScaleNormal="90" zoomScaleSheetLayoutView="89" workbookViewId="0">
      <selection activeCell="E30" sqref="E30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1400</v>
      </c>
      <c r="B1" s="724"/>
      <c r="C1" s="725"/>
      <c r="D1" s="725"/>
      <c r="E1" s="725"/>
      <c r="F1" s="725"/>
      <c r="G1" s="726" t="s">
        <v>1183</v>
      </c>
      <c r="H1" s="526">
        <f>主表!B7</f>
        <v>56.64</v>
      </c>
      <c r="I1" s="726" t="s">
        <v>1353</v>
      </c>
      <c r="J1" s="526">
        <f>主表!B6</f>
        <v>10.46</v>
      </c>
      <c r="AE1" s="731"/>
      <c r="AF1" s="731"/>
    </row>
    <row r="2" spans="1:36" ht="24">
      <c r="A2" s="686" t="s">
        <v>910</v>
      </c>
      <c r="B2" s="633" t="s">
        <v>1569</v>
      </c>
      <c r="C2" s="732" t="s">
        <v>983</v>
      </c>
      <c r="D2" s="733" t="s">
        <v>986</v>
      </c>
      <c r="E2" s="734" t="str">
        <f>主表!B12</f>
        <v>住宅/居住</v>
      </c>
      <c r="F2" s="733" t="s">
        <v>686</v>
      </c>
      <c r="G2" s="735" t="str">
        <f>主表!B10</f>
        <v>四级</v>
      </c>
      <c r="H2" s="734" t="s">
        <v>1363</v>
      </c>
      <c r="I2" s="1352"/>
      <c r="J2" s="736"/>
      <c r="AE2" s="731"/>
      <c r="AF2" s="731"/>
    </row>
    <row r="3" spans="1:36" ht="15.75">
      <c r="A3" s="687" t="s">
        <v>913</v>
      </c>
      <c r="B3" s="1438">
        <f>C18</f>
        <v>0</v>
      </c>
      <c r="C3" s="732" t="s">
        <v>914</v>
      </c>
      <c r="D3" s="733" t="s">
        <v>253</v>
      </c>
      <c r="E3" s="737"/>
      <c r="F3" s="1499" t="s">
        <v>1226</v>
      </c>
      <c r="G3" s="238">
        <f>IF(F3="容积率",主表!B8,主表!B9)</f>
        <v>5.41</v>
      </c>
      <c r="H3" s="738" t="s">
        <v>927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1578</v>
      </c>
      <c r="B4" s="633">
        <f>C20</f>
        <v>0</v>
      </c>
      <c r="C4" s="1437" t="s">
        <v>1580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1579</v>
      </c>
      <c r="B5" s="1436">
        <f>C22</f>
        <v>0</v>
      </c>
      <c r="C5" s="1439" t="s">
        <v>1581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915</v>
      </c>
      <c r="B6" s="740" t="s">
        <v>1346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1347</v>
      </c>
      <c r="C7" s="1055">
        <f>IF(I2="地上",'2002地价表'!M1,ROUND('2002地价表'!M1/3,0))</f>
        <v>948</v>
      </c>
      <c r="D7" s="750" t="s">
        <v>1544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1348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65"/>
      <c r="F8" s="757" t="s">
        <v>1354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8" t="s">
        <v>930</v>
      </c>
      <c r="B9" s="1635" t="s">
        <v>933</v>
      </c>
      <c r="C9" s="1636">
        <f>IF(OR(H9&gt;=DATE(2014,8,28),H9&lt;DATE(2002,12,10)),0,ROUND(I9/F9,4))</f>
        <v>0</v>
      </c>
      <c r="D9" s="1637" t="s">
        <v>262</v>
      </c>
      <c r="E9" s="1638">
        <v>37257</v>
      </c>
      <c r="F9" s="1639">
        <f>ROUND(SUMIF(地价!B3:F3,E2,地价!B70:F70),0)</f>
        <v>104</v>
      </c>
      <c r="G9" s="1640" t="s">
        <v>263</v>
      </c>
      <c r="H9" s="1641">
        <f>主表!B4</f>
        <v>36137</v>
      </c>
      <c r="I9" s="1642">
        <f>ROUND(SUMPRODUCT((地价!A20:A70=YEAR(H9)&amp;"-"&amp;ROUNDUP(MONTH(H9)/3,0))*(地价!B3:F3=E2)*(地价!B20:F70)),0)</f>
        <v>0</v>
      </c>
      <c r="J9" s="789"/>
      <c r="AE9" s="731"/>
      <c r="AF9" s="731"/>
    </row>
    <row r="10" spans="1:36" ht="16.5" thickBot="1">
      <c r="A10" s="1643" t="s">
        <v>932</v>
      </c>
      <c r="B10" s="1644" t="s">
        <v>202</v>
      </c>
      <c r="C10" s="1645">
        <f>ROUND(POWER(1+E10,H10-G10)*(POWER(1+E10,G10)-1)/(POWER(1+E10,H10)-1),4)</f>
        <v>0</v>
      </c>
      <c r="D10" s="1524" t="s">
        <v>937</v>
      </c>
      <c r="E10" s="1525">
        <v>0.04</v>
      </c>
      <c r="F10" s="1646"/>
      <c r="G10" s="1647">
        <f>IF(F10="剩余土地使用年限",主表!B15,主表!B16)</f>
        <v>0</v>
      </c>
      <c r="H10" s="1647">
        <f>IF(E2="住宅/居住",70,IF(E2="商业",40,50))</f>
        <v>70</v>
      </c>
      <c r="I10" s="1634"/>
      <c r="J10" s="1648"/>
      <c r="AE10" s="731"/>
      <c r="AF10" s="731"/>
    </row>
    <row r="11" spans="1:36" ht="15">
      <c r="A11" s="764" t="s">
        <v>934</v>
      </c>
      <c r="B11" s="765" t="s">
        <v>939</v>
      </c>
      <c r="C11" s="1353">
        <f>IF(E2="工业",1,IF(G3&gt;10,D14,IF(D11="郊区",D13,D12)))</f>
        <v>0.89980000000000004</v>
      </c>
      <c r="D11" s="1531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1361</v>
      </c>
      <c r="C12" s="638" t="s">
        <v>1501</v>
      </c>
      <c r="D12" s="1520">
        <f>IF(E12=G12,F12,IF(G3&lt;=10,ROUND(F12+(H12-F12)*(G3-E12)/(G12-E12),4),"——"))</f>
        <v>0.89980000000000004</v>
      </c>
      <c r="E12" s="1522">
        <f>ROUNDDOWN(G3,1)</f>
        <v>5.4</v>
      </c>
      <c r="F12" s="1523">
        <f>IF(G3&lt;=10,SUMPRODUCT(('2002容积率修正'!A3:A102=E12)*('2002容积率修正'!B2:D2=E2)*('2002容积率修正'!B3:D102)),"——")</f>
        <v>0.9</v>
      </c>
      <c r="G12" s="1521">
        <f>ROUNDUP(G3,1)</f>
        <v>5.5</v>
      </c>
      <c r="H12" s="638">
        <f>IF(G3&lt;=10,SUMPRODUCT(('2002容积率修正'!A3:A102=G12)*('2002容积率修正'!B2:D2=E2)*('2002容积率修正'!B3:D102)),"——")</f>
        <v>0.89800000000000002</v>
      </c>
      <c r="I12" s="688"/>
      <c r="J12" s="768"/>
      <c r="AE12" s="731"/>
      <c r="AF12" s="731"/>
    </row>
    <row r="13" spans="1:36" ht="15">
      <c r="A13" s="706"/>
      <c r="B13" s="767" t="s">
        <v>1362</v>
      </c>
      <c r="C13" s="638" t="s">
        <v>1501</v>
      </c>
      <c r="D13" s="1520">
        <f>IF(E12=G12,F12,IF(G3&lt;=10,ROUND(F12+(H12-F12)*(G3-E12)/(G12-E12),4),"——"))</f>
        <v>0.89980000000000004</v>
      </c>
      <c r="E13" s="1522">
        <f>ROUNDDOWN(G3,1)</f>
        <v>5.4</v>
      </c>
      <c r="F13" s="1523">
        <f>IF(G3&lt;=10,SUMPRODUCT(('2002容积率修正'!A3:A102=E13)*('2002容积率修正'!E2:G2=E2)*('2002容积率修正'!E3:G102)),"——")</f>
        <v>0.76500000000000001</v>
      </c>
      <c r="G13" s="1521">
        <f>ROUNDUP(G3,1)</f>
        <v>5.5</v>
      </c>
      <c r="H13" s="638">
        <f>IF(G3&lt;=10,SUMPRODUCT(('2002容积率修正'!A3:A102=G13)*('2002容积率修正'!E2:G2=E2)*('2002容积率修正'!E3:G102)),"——")</f>
        <v>0.76300000000000001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281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938</v>
      </c>
      <c r="B15" s="761" t="s">
        <v>942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3" t="s">
        <v>1336</v>
      </c>
      <c r="B16" s="1644" t="s">
        <v>1345</v>
      </c>
      <c r="C16" s="1649"/>
      <c r="D16" s="1650" t="s">
        <v>1349</v>
      </c>
      <c r="E16" s="1526" t="s">
        <v>926</v>
      </c>
      <c r="F16" s="1527"/>
      <c r="G16" s="1651" t="s">
        <v>928</v>
      </c>
      <c r="H16" s="1652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3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943</v>
      </c>
      <c r="B17" s="777" t="s">
        <v>944</v>
      </c>
      <c r="C17" s="977" t="s">
        <v>1502</v>
      </c>
      <c r="D17" s="778" t="s">
        <v>1352</v>
      </c>
      <c r="E17" s="779" t="s">
        <v>957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1350</v>
      </c>
      <c r="B18" s="780" t="s">
        <v>1337</v>
      </c>
      <c r="C18" s="646">
        <f>ROUND(C7*C9*C10*C11*C15*C16,0)</f>
        <v>0</v>
      </c>
      <c r="D18" s="647">
        <f>H1</f>
        <v>56.64</v>
      </c>
      <c r="E18" s="648">
        <f>ROUND(C18*D18,0)</f>
        <v>0</v>
      </c>
      <c r="F18" s="781" t="s">
        <v>1341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1340</v>
      </c>
      <c r="C19" s="638">
        <f>ROUND(C7*C9*C10*C11*C15*C16*G3,0)</f>
        <v>0</v>
      </c>
      <c r="D19" s="647">
        <f>J1</f>
        <v>10.46</v>
      </c>
      <c r="E19" s="648">
        <f>ROUND(C19*D19,0)</f>
        <v>0</v>
      </c>
      <c r="F19" s="786" t="s">
        <v>1342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1351</v>
      </c>
      <c r="B20" s="767" t="s">
        <v>1338</v>
      </c>
      <c r="C20" s="652">
        <f>ROUND(IF(G3&gt;=I3,C8*C9*C10*C15,C8*C9*C10*C15*G3),0)</f>
        <v>0</v>
      </c>
      <c r="D20" s="653">
        <f>H1</f>
        <v>56.64</v>
      </c>
      <c r="E20" s="654">
        <f>ROUND(C20*D20,0)</f>
        <v>0</v>
      </c>
      <c r="F20" s="787" t="s">
        <v>1343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1339</v>
      </c>
      <c r="C21" s="655">
        <f>ROUND(IF(G3&lt;I3,C8*C9*C10*C15,C8*C9*C10*C15*G3),0)</f>
        <v>0</v>
      </c>
      <c r="D21" s="656">
        <f>J1</f>
        <v>10.46</v>
      </c>
      <c r="E21" s="657">
        <f t="shared" ref="E21" si="0">ROUND(C21*D21,0)</f>
        <v>0</v>
      </c>
      <c r="F21" s="791" t="s">
        <v>1344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4" t="s">
        <v>1360</v>
      </c>
      <c r="B22" s="794"/>
      <c r="C22" s="643">
        <f>ROUND(IF(D22="四环路内",C18*0.4,C18*0.6),0)</f>
        <v>0</v>
      </c>
      <c r="D22" s="795"/>
      <c r="E22" s="796"/>
      <c r="F22" s="796"/>
      <c r="G22" s="796"/>
      <c r="H22" s="796"/>
      <c r="I22" s="796"/>
      <c r="J22" s="1655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971</v>
      </c>
      <c r="B24" s="382" t="e">
        <f>ROUNDDOWN(1+DATEDIF(E9,H9,"M")/3,0)</f>
        <v>#NUM!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264</v>
      </c>
      <c r="B25" s="1425" t="s">
        <v>1503</v>
      </c>
      <c r="C25" s="1498" t="s">
        <v>269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278</v>
      </c>
      <c r="B26" s="1426"/>
      <c r="C26" s="1448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8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1355</v>
      </c>
      <c r="B28" s="630">
        <v>0.02</v>
      </c>
      <c r="C28" s="1448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1356</v>
      </c>
      <c r="B29" s="630">
        <v>2.5899999999999999E-2</v>
      </c>
      <c r="C29" s="1448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891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1467</v>
      </c>
      <c r="E41" s="812" t="s">
        <v>1468</v>
      </c>
      <c r="F41" s="813" t="s">
        <v>1469</v>
      </c>
      <c r="G41" s="813" t="s">
        <v>1470</v>
      </c>
      <c r="H41" s="813" t="s">
        <v>1471</v>
      </c>
      <c r="I41" s="813" t="s">
        <v>1472</v>
      </c>
      <c r="J41" s="813" t="s">
        <v>1473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60">
      <c r="A43" s="247" t="s">
        <v>12</v>
      </c>
      <c r="B43" s="254" t="str">
        <f>估价对象房地状况!C6</f>
        <v>估价对象周边有119路、515路、567路等10余条公交线路及地铁10号线、13号线换乘站（芍药居站）通过，交通便捷度较好。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898</v>
      </c>
      <c r="B45" s="1705" t="s">
        <v>1753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24">
      <c r="A46" s="247" t="s">
        <v>899</v>
      </c>
      <c r="B46" s="254" t="str">
        <f>估价对象房地状况!C12</f>
        <v>紧邻城市支路——育慧南路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900</v>
      </c>
      <c r="B47" s="1706" t="s">
        <v>1754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902</v>
      </c>
      <c r="B48" s="254" t="str">
        <f>估价对象房地状况!C10</f>
        <v>七通一平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1317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892</v>
      </c>
      <c r="B50" s="254"/>
      <c r="C50" s="248" t="s">
        <v>894</v>
      </c>
      <c r="D50" s="249" t="s">
        <v>1504</v>
      </c>
      <c r="E50" s="250" t="s">
        <v>1505</v>
      </c>
      <c r="F50" s="138" t="s">
        <v>1506</v>
      </c>
      <c r="G50" s="138" t="s">
        <v>1507</v>
      </c>
      <c r="H50" s="138" t="s">
        <v>1508</v>
      </c>
      <c r="I50" s="138" t="s">
        <v>1509</v>
      </c>
      <c r="J50" s="138" t="s">
        <v>1510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60">
      <c r="A52" s="247" t="s">
        <v>12</v>
      </c>
      <c r="B52" s="254" t="str">
        <f>估价对象房地状况!C6</f>
        <v>估价对象周边有119路、515路、567路等10余条公交线路及地铁10号线、13号线换乘站（芍药居站）通过，交通便捷度较好。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898</v>
      </c>
      <c r="B54" s="1705" t="s">
        <v>1753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24">
      <c r="A55" s="247" t="s">
        <v>899</v>
      </c>
      <c r="B55" s="254" t="str">
        <f>估价对象房地状况!C12</f>
        <v>紧邻城市支路——育慧南路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900</v>
      </c>
      <c r="B56" s="1706" t="s">
        <v>1754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24.75" thickBot="1">
      <c r="A57" s="247" t="s">
        <v>1327</v>
      </c>
      <c r="B57" s="489" t="str">
        <f>估价对象房地状况!C9&amp;","&amp;估价对象房地状况!C10</f>
        <v>估价对象所在区域公共配套设施较好,七通一平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1318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892</v>
      </c>
      <c r="B59" s="254"/>
      <c r="C59" s="248" t="s">
        <v>894</v>
      </c>
      <c r="D59" s="249" t="s">
        <v>1511</v>
      </c>
      <c r="E59" s="250" t="s">
        <v>1512</v>
      </c>
      <c r="F59" s="138" t="s">
        <v>1513</v>
      </c>
      <c r="G59" s="138" t="s">
        <v>1514</v>
      </c>
      <c r="H59" s="138" t="s">
        <v>1515</v>
      </c>
      <c r="I59" s="138" t="s">
        <v>1516</v>
      </c>
      <c r="J59" s="138" t="s">
        <v>1517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周边有樱花园、惠新里、芍药居等居住社区，综合评价居住社区成熟度较好。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-8.5000000000000006E-3</v>
      </c>
      <c r="J60" s="531">
        <f>SUMPRODUCT(('2002因素修正幅度'!$A$80:$A$87=A60)*('2002因素修正幅度'!$B$35:$K$35=$G$2)*('2002因素修正幅度'!$B$80:$K$87))</f>
        <v>-1.7000000000000001E-2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60">
      <c r="A61" s="247" t="s">
        <v>12</v>
      </c>
      <c r="B61" s="254" t="str">
        <f>估价对象房地状况!C6</f>
        <v>估价对象周边有119路、515路、567路等10余条公交线路及地铁10号线、13号线换乘站（芍药居站）通过，交通便捷度较好。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-1.7000000000000001E-2</v>
      </c>
      <c r="J61" s="531">
        <f>SUMPRODUCT(('2002因素修正幅度'!$A$80:$A$87=A61)*('2002因素修正幅度'!$B$35:$K$35=$G$2)*('2002因素修正幅度'!$B$80:$K$87))</f>
        <v>-3.4000000000000002E-2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-8.5000000000000006E-3</v>
      </c>
      <c r="J62" s="531">
        <f>SUMPRODUCT(('2002因素修正幅度'!$A$80:$A$87=A62)*('2002因素修正幅度'!$B$35:$K$35=$G$2)*('2002因素修正幅度'!$B$80:$K$87))</f>
        <v>-1.7000000000000001E-2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24">
      <c r="A63" s="247" t="s">
        <v>906</v>
      </c>
      <c r="B63" s="254" t="str">
        <f>估价对象房地状况!C12</f>
        <v>紧邻城市支路——育慧南路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-8.5000000000000006E-3</v>
      </c>
      <c r="J63" s="531">
        <f>SUMPRODUCT(('2002因素修正幅度'!$A$80:$A$87=A63)*('2002因素修正幅度'!$B$35:$K$35=$G$2)*('2002因素修正幅度'!$B$80:$K$87))</f>
        <v>-1.7000000000000001E-2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900</v>
      </c>
      <c r="B64" s="1706" t="s">
        <v>1754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-6.7999999999999996E-3</v>
      </c>
      <c r="J64" s="531">
        <f>SUMPRODUCT(('2002因素修正幅度'!$A$80:$A$87=A64)*('2002因素修正幅度'!$B$35:$K$35=$G$2)*('2002因素修正幅度'!$B$80:$K$87))</f>
        <v>-1.3599999999999999E-2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24">
      <c r="A65" s="247" t="s">
        <v>1327</v>
      </c>
      <c r="B65" s="489" t="str">
        <f>估价对象房地状况!C9&amp;","&amp;估价对象房地状况!C10</f>
        <v>估价对象所在区域公共配套设施较好,七通一平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-1.0200000000000001E-2</v>
      </c>
      <c r="J65" s="531">
        <f>SUMPRODUCT(('2002因素修正幅度'!$A$80:$A$87=A65)*('2002因素修正幅度'!$B$35:$K$35=$G$2)*('2002因素修正幅度'!$B$80:$K$87))</f>
        <v>-2.0400000000000001E-2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96">
      <c r="A66" s="247" t="s">
        <v>903</v>
      </c>
      <c r="B66" s="251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-1.7000000000000001E-2</v>
      </c>
      <c r="J66" s="531">
        <f>SUMPRODUCT(('2002因素修正幅度'!$A$80:$A$87=A66)*('2002因素修正幅度'!$B$35:$K$35=$G$2)*('2002因素修正幅度'!$B$80:$K$87))</f>
        <v>-3.4000000000000002E-2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1328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-8.5000000000000006E-3</v>
      </c>
      <c r="J67" s="531">
        <f>SUMPRODUCT(('2002因素修正幅度'!$A$80:$A$87=A67)*('2002因素修正幅度'!$B$35:$K$35=$G$2)*('2002因素修正幅度'!$B$80:$K$87))</f>
        <v>-1.7000000000000001E-2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226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892</v>
      </c>
      <c r="B69" s="254"/>
      <c r="C69" s="248" t="s">
        <v>894</v>
      </c>
      <c r="D69" s="249" t="s">
        <v>1511</v>
      </c>
      <c r="E69" s="250" t="s">
        <v>1512</v>
      </c>
      <c r="F69" s="138" t="s">
        <v>1513</v>
      </c>
      <c r="G69" s="138" t="s">
        <v>1514</v>
      </c>
      <c r="H69" s="138" t="s">
        <v>1515</v>
      </c>
      <c r="I69" s="138" t="s">
        <v>1516</v>
      </c>
      <c r="J69" s="138" t="s">
        <v>1517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4.8000000000000001E-2</v>
      </c>
      <c r="G70" s="531">
        <f t="shared" ref="G70:G76" si="11">F70/2</f>
        <v>2.4E-2</v>
      </c>
      <c r="H70" s="532">
        <v>0</v>
      </c>
      <c r="I70" s="531">
        <f t="shared" ref="I70:I76" si="12">J70/2</f>
        <v>-2.4E-2</v>
      </c>
      <c r="J70" s="531">
        <f>SUMPRODUCT(('2002因素修正幅度'!$A$88:$A$94=A70)*('2002因素修正幅度'!$B$35:$K$35=$G$2)*('2002因素修正幅度'!$B$88:$K$94))</f>
        <v>-4.8000000000000001E-2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7.6799999999999993E-2</v>
      </c>
      <c r="G71" s="531">
        <f t="shared" si="11"/>
        <v>3.8399999999999997E-2</v>
      </c>
      <c r="H71" s="532">
        <v>0</v>
      </c>
      <c r="I71" s="531">
        <f t="shared" si="12"/>
        <v>-3.8399999999999997E-2</v>
      </c>
      <c r="J71" s="531">
        <f>SUMPRODUCT(('2002因素修正幅度'!$A$88:$A$94=A71)*('2002因素修正幅度'!$B$35:$K$35=$G$2)*('2002因素修正幅度'!$B$88:$K$94))</f>
        <v>-7.6799999999999993E-2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2.4E-2</v>
      </c>
      <c r="G72" s="531">
        <f t="shared" si="11"/>
        <v>1.2E-2</v>
      </c>
      <c r="H72" s="532">
        <v>0</v>
      </c>
      <c r="I72" s="531">
        <f t="shared" si="12"/>
        <v>-1.2E-2</v>
      </c>
      <c r="J72" s="531">
        <f>SUMPRODUCT(('2002因素修正幅度'!$A$88:$A$94=A72)*('2002因素修正幅度'!$B$35:$K$35=$G$2)*('2002因素修正幅度'!$B$88:$K$94))</f>
        <v>-2.4E-2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906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1.9199999999999998E-2</v>
      </c>
      <c r="G73" s="531">
        <f t="shared" si="11"/>
        <v>9.5999999999999992E-3</v>
      </c>
      <c r="H73" s="532">
        <v>0</v>
      </c>
      <c r="I73" s="531">
        <f t="shared" si="12"/>
        <v>-9.5999999999999992E-3</v>
      </c>
      <c r="J73" s="531">
        <f>SUMPRODUCT(('2002因素修正幅度'!$A$88:$A$94=A73)*('2002因素修正幅度'!$B$35:$K$35=$G$2)*('2002因素修正幅度'!$B$88:$K$94))</f>
        <v>-1.9199999999999998E-2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900</v>
      </c>
      <c r="B74" s="1706" t="s">
        <v>1754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2.8799999999999999E-2</v>
      </c>
      <c r="G74" s="531">
        <f t="shared" si="11"/>
        <v>1.44E-2</v>
      </c>
      <c r="H74" s="532">
        <v>0</v>
      </c>
      <c r="I74" s="531">
        <f t="shared" si="12"/>
        <v>-1.44E-2</v>
      </c>
      <c r="J74" s="531">
        <f>SUMPRODUCT(('2002因素修正幅度'!$A$88:$A$94=A74)*('2002因素修正幅度'!$B$35:$K$35=$G$2)*('2002因素修正幅度'!$B$88:$K$94))</f>
        <v>-2.8799999999999999E-2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902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2.4E-2</v>
      </c>
      <c r="G75" s="531">
        <f t="shared" si="11"/>
        <v>1.2E-2</v>
      </c>
      <c r="H75" s="532">
        <v>0</v>
      </c>
      <c r="I75" s="531">
        <f t="shared" si="12"/>
        <v>-1.2E-2</v>
      </c>
      <c r="J75" s="531">
        <f>SUMPRODUCT(('2002因素修正幅度'!$A$88:$A$94=A75)*('2002因素修正幅度'!$B$35:$K$35=$G$2)*('2002因素修正幅度'!$B$88:$K$94))</f>
        <v>-2.4E-2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909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1.9199999999999998E-2</v>
      </c>
      <c r="G76" s="531">
        <f t="shared" si="11"/>
        <v>9.5999999999999992E-3</v>
      </c>
      <c r="H76" s="532">
        <v>0</v>
      </c>
      <c r="I76" s="531">
        <f t="shared" si="12"/>
        <v>-9.5999999999999992E-3</v>
      </c>
      <c r="J76" s="531">
        <f>SUMPRODUCT(('2002因素修正幅度'!$A$88:$A$94=A76)*('2002因素修正幅度'!$B$35:$K$35=$G$2)*('2002因素修正幅度'!$B$88:$K$94))</f>
        <v>-1.9199999999999998E-2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1478</v>
      </c>
      <c r="B80" s="599">
        <f>G3</f>
        <v>5.41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1479</v>
      </c>
      <c r="B81" s="600">
        <f>SUMIF(A82:A85,E2,B82:B85)</f>
        <v>0.89949999999999997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0.69020000000000004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1317</v>
      </c>
      <c r="B83" s="600">
        <f>ROUND(1.007-0.0278*B80,4)</f>
        <v>0.85660000000000003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1319</v>
      </c>
      <c r="B84" s="600">
        <f>ROUND(1.018-0.0219*B80,4)</f>
        <v>0.89949999999999997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1320</v>
      </c>
      <c r="B85" s="601">
        <f>ROUND(0.7275-0.01*B80,4)</f>
        <v>0.6734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686</v>
      </c>
      <c r="B88" s="820" t="s">
        <v>290</v>
      </c>
      <c r="C88" s="820" t="s">
        <v>33</v>
      </c>
      <c r="D88" s="820" t="s">
        <v>292</v>
      </c>
      <c r="E88" s="820" t="s">
        <v>30</v>
      </c>
      <c r="F88" s="820" t="s">
        <v>31</v>
      </c>
      <c r="G88" s="820" t="s">
        <v>32</v>
      </c>
      <c r="H88" s="820" t="s">
        <v>296</v>
      </c>
      <c r="I88" s="820" t="s">
        <v>297</v>
      </c>
      <c r="J88" s="820" t="s">
        <v>298</v>
      </c>
      <c r="K88" s="820" t="s">
        <v>299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1314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1315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226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四级</v>
      </c>
      <c r="M1" s="583">
        <f>SUMPRODUCT((K3:K7=L1)*(L2:O2=K1)*(L3:O7))</f>
        <v>2845</v>
      </c>
    </row>
    <row r="2" spans="1:19">
      <c r="A2" s="587" t="s">
        <v>1308</v>
      </c>
      <c r="B2" s="588" t="s">
        <v>1304</v>
      </c>
      <c r="C2" s="589"/>
      <c r="D2" s="590" t="s">
        <v>1305</v>
      </c>
      <c r="E2" s="590"/>
      <c r="F2" s="591" t="s">
        <v>1306</v>
      </c>
      <c r="G2" s="590"/>
      <c r="H2" s="591" t="s">
        <v>1307</v>
      </c>
      <c r="I2" s="590"/>
      <c r="K2" s="272"/>
      <c r="L2" s="273" t="s">
        <v>0</v>
      </c>
      <c r="M2" s="273" t="s">
        <v>1314</v>
      </c>
      <c r="N2" s="273" t="s">
        <v>1315</v>
      </c>
      <c r="O2" s="273" t="s">
        <v>226</v>
      </c>
    </row>
    <row r="3" spans="1:19">
      <c r="A3" s="592"/>
      <c r="B3" s="593" t="s">
        <v>1303</v>
      </c>
      <c r="C3" s="593" t="s">
        <v>1302</v>
      </c>
      <c r="D3" s="584" t="s">
        <v>1303</v>
      </c>
      <c r="E3" s="584" t="s">
        <v>1302</v>
      </c>
      <c r="F3" s="584" t="s">
        <v>1303</v>
      </c>
      <c r="G3" s="584" t="s">
        <v>1302</v>
      </c>
      <c r="H3" s="584" t="s">
        <v>1303</v>
      </c>
      <c r="I3" s="584" t="s">
        <v>1302</v>
      </c>
      <c r="K3" s="584" t="s">
        <v>343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343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403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403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581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581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251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251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663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663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666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666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668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668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670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670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674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674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1309</v>
      </c>
      <c r="B14" s="584" t="s">
        <v>1303</v>
      </c>
      <c r="C14" s="584" t="s">
        <v>1302</v>
      </c>
      <c r="D14" s="584" t="s">
        <v>1303</v>
      </c>
      <c r="E14" s="584" t="s">
        <v>1302</v>
      </c>
      <c r="F14" s="584" t="s">
        <v>1303</v>
      </c>
      <c r="G14" s="584" t="s">
        <v>1302</v>
      </c>
      <c r="H14" s="584" t="s">
        <v>1303</v>
      </c>
      <c r="I14" s="596" t="s">
        <v>1302</v>
      </c>
      <c r="L14" s="1058" t="s">
        <v>0</v>
      </c>
      <c r="M14" s="273" t="s">
        <v>1314</v>
      </c>
      <c r="N14" s="273" t="s">
        <v>1315</v>
      </c>
      <c r="O14" s="1059" t="s">
        <v>226</v>
      </c>
      <c r="P14" s="1058" t="s">
        <v>0</v>
      </c>
      <c r="Q14" s="273" t="s">
        <v>1314</v>
      </c>
      <c r="R14" s="273" t="s">
        <v>1315</v>
      </c>
      <c r="S14" s="1059" t="s">
        <v>226</v>
      </c>
    </row>
    <row r="15" spans="1:19" ht="14.25">
      <c r="A15" s="584" t="s">
        <v>343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343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403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403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581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581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251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251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663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663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666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666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668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668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670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670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674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674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1321</v>
      </c>
      <c r="B1" s="1811" t="s">
        <v>1322</v>
      </c>
      <c r="C1" s="1812"/>
      <c r="D1" s="1813"/>
      <c r="E1" s="1811" t="s">
        <v>1323</v>
      </c>
      <c r="F1" s="1812"/>
      <c r="G1" s="1813"/>
    </row>
    <row r="2" spans="1:7">
      <c r="A2" s="1815"/>
      <c r="B2" s="603" t="s">
        <v>1324</v>
      </c>
      <c r="C2" s="604" t="s">
        <v>1325</v>
      </c>
      <c r="D2" s="605" t="s">
        <v>1326</v>
      </c>
      <c r="E2" s="603" t="s">
        <v>1324</v>
      </c>
      <c r="F2" s="604" t="s">
        <v>1325</v>
      </c>
      <c r="G2" s="605" t="s">
        <v>1326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1329</v>
      </c>
      <c r="B1" s="554" t="s">
        <v>343</v>
      </c>
      <c r="C1" s="558" t="s">
        <v>343</v>
      </c>
      <c r="D1" s="554" t="s">
        <v>403</v>
      </c>
      <c r="E1" s="555" t="s">
        <v>403</v>
      </c>
      <c r="F1" s="560" t="s">
        <v>581</v>
      </c>
      <c r="G1" s="558" t="s">
        <v>581</v>
      </c>
      <c r="H1" s="554" t="s">
        <v>251</v>
      </c>
      <c r="I1" s="555" t="s">
        <v>251</v>
      </c>
      <c r="J1" s="560" t="s">
        <v>663</v>
      </c>
      <c r="K1" s="558" t="s">
        <v>663</v>
      </c>
      <c r="L1" s="554" t="s">
        <v>34</v>
      </c>
      <c r="M1" s="555" t="s">
        <v>34</v>
      </c>
      <c r="N1" s="560" t="s">
        <v>666</v>
      </c>
      <c r="O1" s="558" t="s">
        <v>666</v>
      </c>
      <c r="P1" s="554" t="s">
        <v>668</v>
      </c>
      <c r="Q1" s="555" t="s">
        <v>668</v>
      </c>
      <c r="R1" s="560" t="s">
        <v>670</v>
      </c>
      <c r="S1" s="558" t="s">
        <v>670</v>
      </c>
      <c r="T1" s="554" t="s">
        <v>674</v>
      </c>
      <c r="U1" s="555" t="s">
        <v>674</v>
      </c>
    </row>
    <row r="2" spans="1:21" ht="12.75" thickBot="1">
      <c r="A2" s="569"/>
      <c r="B2" s="556" t="s">
        <v>1334</v>
      </c>
      <c r="C2" s="559" t="s">
        <v>1335</v>
      </c>
      <c r="D2" s="556" t="s">
        <v>1334</v>
      </c>
      <c r="E2" s="557" t="s">
        <v>1335</v>
      </c>
      <c r="F2" s="561" t="s">
        <v>1334</v>
      </c>
      <c r="G2" s="559" t="s">
        <v>1335</v>
      </c>
      <c r="H2" s="556" t="s">
        <v>1334</v>
      </c>
      <c r="I2" s="557" t="s">
        <v>1335</v>
      </c>
      <c r="J2" s="561" t="s">
        <v>1334</v>
      </c>
      <c r="K2" s="559" t="s">
        <v>1335</v>
      </c>
      <c r="L2" s="556" t="s">
        <v>1334</v>
      </c>
      <c r="M2" s="557" t="s">
        <v>1335</v>
      </c>
      <c r="N2" s="561" t="s">
        <v>1334</v>
      </c>
      <c r="O2" s="559" t="s">
        <v>1335</v>
      </c>
      <c r="P2" s="556" t="s">
        <v>1334</v>
      </c>
      <c r="Q2" s="557" t="s">
        <v>1335</v>
      </c>
      <c r="R2" s="561" t="s">
        <v>1334</v>
      </c>
      <c r="S2" s="559" t="s">
        <v>1335</v>
      </c>
      <c r="T2" s="556" t="s">
        <v>1330</v>
      </c>
      <c r="U2" s="557" t="s">
        <v>1331</v>
      </c>
    </row>
    <row r="3" spans="1:21">
      <c r="A3" s="533" t="s">
        <v>895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898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899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900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902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904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898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899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900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1327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906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900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1327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903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1328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906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900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902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909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1333</v>
      </c>
      <c r="B35" s="549" t="s">
        <v>290</v>
      </c>
      <c r="C35" s="550" t="s">
        <v>33</v>
      </c>
      <c r="D35" s="550" t="s">
        <v>292</v>
      </c>
      <c r="E35" s="550" t="s">
        <v>30</v>
      </c>
      <c r="F35" s="550" t="s">
        <v>31</v>
      </c>
      <c r="G35" s="550" t="s">
        <v>32</v>
      </c>
      <c r="H35" s="551" t="s">
        <v>296</v>
      </c>
      <c r="I35" s="551" t="s">
        <v>297</v>
      </c>
      <c r="J35" s="550" t="s">
        <v>298</v>
      </c>
      <c r="K35" s="552" t="s">
        <v>299</v>
      </c>
    </row>
    <row r="36" spans="1:11">
      <c r="A36" s="536" t="s">
        <v>895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898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899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900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902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904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898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899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900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1327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906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900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1327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903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1328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906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900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902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909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1332</v>
      </c>
      <c r="B65" s="550" t="s">
        <v>290</v>
      </c>
      <c r="C65" s="550" t="s">
        <v>33</v>
      </c>
      <c r="D65" s="550" t="s">
        <v>292</v>
      </c>
      <c r="E65" s="550" t="s">
        <v>30</v>
      </c>
      <c r="F65" s="550" t="s">
        <v>31</v>
      </c>
      <c r="G65" s="550" t="s">
        <v>32</v>
      </c>
      <c r="H65" s="551" t="s">
        <v>296</v>
      </c>
      <c r="I65" s="551" t="s">
        <v>297</v>
      </c>
      <c r="J65" s="550" t="s">
        <v>298</v>
      </c>
      <c r="K65" s="552" t="s">
        <v>299</v>
      </c>
    </row>
    <row r="66" spans="1:11">
      <c r="A66" s="536" t="s">
        <v>895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898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899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900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902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904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898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899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900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1327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906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900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1327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903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1328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906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900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902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909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zoomScale="90" zoomScaleNormal="90" zoomScaleSheetLayoutView="89" workbookViewId="0">
      <selection activeCell="F33" sqref="F33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1466</v>
      </c>
      <c r="B1" s="632"/>
      <c r="C1" s="1530" t="s">
        <v>1571</v>
      </c>
      <c r="D1" s="703" t="s">
        <v>1431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910</v>
      </c>
      <c r="B2" s="715" t="str">
        <f>IF(C1="求取熟地价",E27,IF(C1="求取毛地价",E29,"——"))</f>
        <v>——</v>
      </c>
      <c r="C2" s="978" t="s">
        <v>983</v>
      </c>
      <c r="D2" s="1826" t="s">
        <v>1436</v>
      </c>
      <c r="E2" s="1816" t="s">
        <v>1432</v>
      </c>
      <c r="F2" s="680" t="s">
        <v>1435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1567</v>
      </c>
      <c r="B3" s="717">
        <f ca="1">IF(C1="求取熟地价",C27,ROUND((C15*B11+C18)*C22/B11,0))</f>
        <v>2170</v>
      </c>
      <c r="C3" s="979" t="s">
        <v>914</v>
      </c>
      <c r="D3" s="1827"/>
      <c r="E3" s="1817"/>
      <c r="F3" s="680" t="s">
        <v>1446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7"/>
      <c r="E4" s="1817"/>
      <c r="F4" s="680" t="s">
        <v>1447</v>
      </c>
      <c r="G4" s="376"/>
      <c r="H4" s="376"/>
      <c r="I4" s="683"/>
      <c r="J4" s="707"/>
      <c r="AE4" s="480"/>
      <c r="AF4" s="480"/>
    </row>
    <row r="5" spans="1:36" ht="14.25">
      <c r="A5" s="718" t="s">
        <v>986</v>
      </c>
      <c r="B5" s="981" t="str">
        <f>主表!B12</f>
        <v>住宅/居住</v>
      </c>
      <c r="C5" s="722"/>
      <c r="D5" s="1828"/>
      <c r="E5" s="1818"/>
      <c r="F5" s="680" t="s">
        <v>1448</v>
      </c>
      <c r="G5" s="376"/>
      <c r="H5" s="376"/>
      <c r="I5" s="683"/>
      <c r="J5" s="707"/>
      <c r="AE5" s="480"/>
      <c r="AF5" s="480"/>
    </row>
    <row r="6" spans="1:36" ht="14.25">
      <c r="A6" s="719" t="s">
        <v>1444</v>
      </c>
      <c r="B6" s="1354" t="s">
        <v>1764</v>
      </c>
      <c r="C6" s="722"/>
      <c r="D6" s="1826" t="s">
        <v>1437</v>
      </c>
      <c r="E6" s="1816" t="s">
        <v>1433</v>
      </c>
      <c r="F6" s="680" t="s">
        <v>1449</v>
      </c>
      <c r="G6" s="376"/>
      <c r="H6" s="376"/>
      <c r="I6" s="683"/>
      <c r="J6" s="707"/>
      <c r="AE6" s="480"/>
      <c r="AF6" s="480"/>
    </row>
    <row r="7" spans="1:36" ht="14.25">
      <c r="A7" s="1387" t="s">
        <v>1445</v>
      </c>
      <c r="B7" s="1388" t="str">
        <f>LEFT(主表!B10,1)&amp;"类"</f>
        <v>四类</v>
      </c>
      <c r="C7" s="722"/>
      <c r="D7" s="1827"/>
      <c r="E7" s="1817"/>
      <c r="F7" s="680" t="s">
        <v>1450</v>
      </c>
      <c r="G7" s="376"/>
      <c r="H7" s="376"/>
      <c r="I7" s="683"/>
      <c r="J7" s="707"/>
      <c r="AE7" s="480"/>
      <c r="AF7" s="480"/>
    </row>
    <row r="8" spans="1:36" ht="15">
      <c r="A8" s="719" t="s">
        <v>1572</v>
      </c>
      <c r="B8" s="1420" t="s">
        <v>1766</v>
      </c>
      <c r="C8" s="722"/>
      <c r="D8" s="1828"/>
      <c r="E8" s="1818"/>
      <c r="F8" s="680" t="s">
        <v>1451</v>
      </c>
      <c r="G8" s="376"/>
      <c r="H8" s="376"/>
      <c r="I8" s="683"/>
      <c r="J8" s="707"/>
      <c r="AE8" s="480"/>
      <c r="AF8" s="480"/>
    </row>
    <row r="9" spans="1:36" ht="15">
      <c r="A9" s="719" t="s">
        <v>1183</v>
      </c>
      <c r="B9" s="720">
        <f>主表!B7</f>
        <v>56.64</v>
      </c>
      <c r="C9" s="722"/>
      <c r="D9" s="706" t="s">
        <v>1438</v>
      </c>
      <c r="E9" s="682" t="s">
        <v>1414</v>
      </c>
      <c r="F9" s="680" t="s">
        <v>1452</v>
      </c>
      <c r="G9" s="376"/>
      <c r="H9" s="376"/>
      <c r="I9" s="683"/>
      <c r="J9" s="707"/>
      <c r="AE9" s="480"/>
      <c r="AF9" s="480"/>
    </row>
    <row r="10" spans="1:36" ht="15">
      <c r="A10" s="719" t="s">
        <v>1353</v>
      </c>
      <c r="B10" s="720">
        <f>主表!B6</f>
        <v>10.46</v>
      </c>
      <c r="C10" s="722"/>
      <c r="D10" s="1826" t="s">
        <v>1415</v>
      </c>
      <c r="E10" s="1816" t="s">
        <v>1434</v>
      </c>
      <c r="F10" s="680" t="s">
        <v>1453</v>
      </c>
      <c r="G10" s="376"/>
      <c r="H10" s="376"/>
      <c r="I10" s="683"/>
      <c r="J10" s="707"/>
      <c r="AE10" s="480"/>
      <c r="AF10" s="480"/>
    </row>
    <row r="11" spans="1:36" ht="15.75" thickBot="1">
      <c r="A11" s="1503" t="s">
        <v>1226</v>
      </c>
      <c r="B11" s="721">
        <f>IF(A11="容积率",主表!B8,主表!B9)</f>
        <v>5.41</v>
      </c>
      <c r="C11" s="722"/>
      <c r="D11" s="1829"/>
      <c r="E11" s="1819"/>
      <c r="F11" s="708" t="s">
        <v>1454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1461</v>
      </c>
      <c r="B13" s="701"/>
      <c r="C13" s="702" t="s">
        <v>1462</v>
      </c>
      <c r="D13" s="980" t="s">
        <v>1303</v>
      </c>
      <c r="E13" s="981" t="s">
        <v>1455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915</v>
      </c>
      <c r="B14" s="1394" t="s">
        <v>1439</v>
      </c>
      <c r="C14" s="1395"/>
      <c r="D14" s="1396">
        <f>SUMPRODUCT((D35:M35=B7)*(B36:B39=B6)*(D36:M39))</f>
        <v>800</v>
      </c>
      <c r="E14" s="1397">
        <f>SUMPRODUCT((D35:M35=B7)*(B40:B43=B6)*(D40:M43))</f>
        <v>1000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1458</v>
      </c>
      <c r="B15" s="1389" t="s">
        <v>1423</v>
      </c>
      <c r="C15" s="1390">
        <f>IF(B5="住宅/居住",C16+C17,C16)</f>
        <v>905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1440</v>
      </c>
      <c r="C16" s="1355">
        <v>630</v>
      </c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1441</v>
      </c>
      <c r="C17" s="1355">
        <v>275</v>
      </c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1576</v>
      </c>
      <c r="G17" s="361"/>
      <c r="H17" s="677"/>
      <c r="I17" s="678"/>
      <c r="J17" s="366"/>
      <c r="AE17" s="480"/>
      <c r="AF17" s="480"/>
    </row>
    <row r="18" spans="1:37" ht="16.5" thickTop="1" thickBot="1">
      <c r="A18" s="1429" t="s">
        <v>1459</v>
      </c>
      <c r="B18" s="1430" t="s">
        <v>1443</v>
      </c>
      <c r="C18" s="1431">
        <f>IF(B8="城镇拆迁",C19*IF(F19="居民住宅",1,IF(F19="企业事业单位",2,4)),C20)</f>
        <v>6850</v>
      </c>
      <c r="D18" s="1432"/>
      <c r="E18" s="1433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1442</v>
      </c>
      <c r="C19" s="1747">
        <v>6850</v>
      </c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1460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1575</v>
      </c>
      <c r="C20" s="1415">
        <v>300</v>
      </c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1428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1573</v>
      </c>
      <c r="B21" s="1403" t="s">
        <v>939</v>
      </c>
      <c r="C21" s="1404">
        <f>IF(B11&lt;1,1,SUMIF(B55:K55,ROUNDDOWN(B11,0),B56:K56)+(SUMIF(B55:K55,ROUNDUP(B11,0),B56:K56)-SUMIF(B55:K55,ROUNDDOWN(B11,0),B56:K56))*(B11-ROUNDDOWN(B11,0)))</f>
        <v>4.4870000000000001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1574</v>
      </c>
      <c r="B22" s="1389" t="s">
        <v>202</v>
      </c>
      <c r="C22" s="1399">
        <f ca="1">ROUND(POWER(1+C23,C25-C24)*(POWER(1+C23,C24)-1)/(POWER(1+C23,C25)-1),4)</f>
        <v>0.99929999999999997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937</v>
      </c>
      <c r="C23" s="689">
        <f ca="1">AVERAGE(存贷款利率!G3,存贷款利率!I3)</f>
        <v>5.4000000000000006E-2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1650</v>
      </c>
      <c r="C24" s="638">
        <f>IF(B24="剩余土地使用年限",主表!B15,主表!B16)</f>
        <v>69.48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1457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941</v>
      </c>
      <c r="B26" s="1407" t="s">
        <v>944</v>
      </c>
      <c r="C26" s="1408" t="s">
        <v>948</v>
      </c>
      <c r="D26" s="1408" t="s">
        <v>1352</v>
      </c>
      <c r="E26" s="1409" t="s">
        <v>957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1350</v>
      </c>
      <c r="B27" s="780" t="s">
        <v>1337</v>
      </c>
      <c r="C27" s="638">
        <f ca="1">ROUND(C28/B11,0)</f>
        <v>2171</v>
      </c>
      <c r="D27" s="647">
        <f>B9</f>
        <v>56.64</v>
      </c>
      <c r="E27" s="648">
        <f ca="1">ROUND(C27*D27,0)</f>
        <v>122965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1340</v>
      </c>
      <c r="C28" s="638">
        <f ca="1">IF(主表!B4&lt;DATE(2002,12,10),ROUND(C14*C21*C22+C15*B11+C18,0),0)</f>
        <v>11746</v>
      </c>
      <c r="D28" s="647">
        <f>B10</f>
        <v>10.46</v>
      </c>
      <c r="E28" s="648">
        <f ca="1">ROUND(C28*D28,0)</f>
        <v>122863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1463</v>
      </c>
      <c r="B29" s="767" t="s">
        <v>1464</v>
      </c>
      <c r="C29" s="652">
        <f ca="1">ROUND(C30/B11,0)</f>
        <v>905</v>
      </c>
      <c r="D29" s="653">
        <f>B9</f>
        <v>56.64</v>
      </c>
      <c r="E29" s="654">
        <f ca="1">ROUND(C29*D29,0)</f>
        <v>51259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2" t="s">
        <v>1465</v>
      </c>
      <c r="C30" s="643">
        <f ca="1">IF(主表!B4&lt;DATE(2002,12,10),ROUND(C14*C21*C22+C15*B11,0),0)</f>
        <v>4896</v>
      </c>
      <c r="D30" s="695">
        <f>B10</f>
        <v>10.46</v>
      </c>
      <c r="E30" s="696">
        <f t="shared" ref="E30" ca="1" si="0">ROUND(C30*D30,0)</f>
        <v>51212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1403</v>
      </c>
      <c r="C35" s="679"/>
      <c r="D35" s="679" t="s">
        <v>1404</v>
      </c>
      <c r="E35" s="679" t="s">
        <v>1405</v>
      </c>
      <c r="F35" s="679" t="s">
        <v>1406</v>
      </c>
      <c r="G35" s="679" t="s">
        <v>1407</v>
      </c>
      <c r="H35" s="679" t="s">
        <v>1408</v>
      </c>
      <c r="I35" s="679" t="s">
        <v>1409</v>
      </c>
      <c r="J35" s="679" t="s">
        <v>1410</v>
      </c>
      <c r="K35" s="679" t="s">
        <v>1411</v>
      </c>
      <c r="L35" s="679" t="s">
        <v>1412</v>
      </c>
      <c r="M35" s="679" t="s">
        <v>1413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1416</v>
      </c>
      <c r="B36" s="985" t="s">
        <v>1417</v>
      </c>
      <c r="C36" s="986" t="s">
        <v>1418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9" t="s">
        <v>1420</v>
      </c>
      <c r="C37" s="990" t="s">
        <v>1418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9" t="s">
        <v>1421</v>
      </c>
      <c r="C38" s="990" t="s">
        <v>1418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2" t="s">
        <v>1422</v>
      </c>
      <c r="C39" s="993" t="s">
        <v>1418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5" t="s">
        <v>1417</v>
      </c>
      <c r="C40" s="986" t="s">
        <v>1419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9" t="s">
        <v>1420</v>
      </c>
      <c r="C41" s="990" t="s">
        <v>1419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9" t="s">
        <v>1421</v>
      </c>
      <c r="C42" s="990" t="s">
        <v>1419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2" t="s">
        <v>1422</v>
      </c>
      <c r="C43" s="993" t="s">
        <v>1419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1423</v>
      </c>
      <c r="B44" s="996" t="s">
        <v>1424</v>
      </c>
      <c r="C44" s="986" t="s">
        <v>1418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97" t="s">
        <v>1425</v>
      </c>
      <c r="C45" s="990" t="s">
        <v>1418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98" t="s">
        <v>1426</v>
      </c>
      <c r="C46" s="993" t="s">
        <v>1418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96" t="s">
        <v>1424</v>
      </c>
      <c r="C47" s="986" t="s">
        <v>1419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97" t="s">
        <v>1425</v>
      </c>
      <c r="C48" s="990" t="s">
        <v>1419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98" t="s">
        <v>1426</v>
      </c>
      <c r="C49" s="993" t="s">
        <v>1419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1427</v>
      </c>
      <c r="B50" s="996" t="s">
        <v>1456</v>
      </c>
      <c r="C50" s="986" t="s">
        <v>1418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98" t="s">
        <v>1430</v>
      </c>
      <c r="C51" s="993" t="s">
        <v>1418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96" t="s">
        <v>1429</v>
      </c>
      <c r="C52" s="986" t="s">
        <v>1419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98" t="s">
        <v>1430</v>
      </c>
      <c r="C53" s="993" t="s">
        <v>1419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1402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1181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1144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1145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2" t="s">
        <v>91</v>
      </c>
      <c r="D4" s="1843"/>
      <c r="E4" s="1844" t="s">
        <v>92</v>
      </c>
      <c r="F4" s="1845"/>
      <c r="G4" s="1842" t="s">
        <v>93</v>
      </c>
      <c r="H4" s="1843"/>
      <c r="I4" s="1842" t="s">
        <v>94</v>
      </c>
      <c r="J4" s="1843"/>
      <c r="K4" s="142" t="s">
        <v>95</v>
      </c>
      <c r="L4" s="451"/>
      <c r="M4" s="452"/>
      <c r="N4" s="452"/>
      <c r="O4" s="452"/>
      <c r="P4" s="1846" t="s">
        <v>96</v>
      </c>
      <c r="Q4" s="1847"/>
      <c r="R4" s="1852" t="s">
        <v>92</v>
      </c>
      <c r="S4" s="1853"/>
      <c r="T4" s="1852" t="s">
        <v>93</v>
      </c>
      <c r="U4" s="1853"/>
      <c r="V4" s="1858" t="s">
        <v>94</v>
      </c>
      <c r="W4" s="1858"/>
      <c r="X4" s="201"/>
      <c r="Y4" s="1852" t="s">
        <v>96</v>
      </c>
      <c r="Z4" s="1853"/>
      <c r="AA4" s="1839" t="s">
        <v>92</v>
      </c>
      <c r="AB4" s="1840" t="s">
        <v>93</v>
      </c>
      <c r="AC4" s="1839" t="s">
        <v>94</v>
      </c>
    </row>
    <row r="5" spans="1:30" ht="15">
      <c r="A5" s="41"/>
      <c r="B5" s="42"/>
      <c r="C5" s="1835" t="s">
        <v>227</v>
      </c>
      <c r="D5" s="1836"/>
      <c r="E5" s="1859" t="s">
        <v>228</v>
      </c>
      <c r="F5" s="1860"/>
      <c r="G5" s="1835" t="s">
        <v>231</v>
      </c>
      <c r="H5" s="1836"/>
      <c r="I5" s="1835" t="s">
        <v>229</v>
      </c>
      <c r="J5" s="1836"/>
      <c r="K5" s="142"/>
      <c r="L5" s="451"/>
      <c r="M5" s="452"/>
      <c r="N5" s="452"/>
      <c r="O5" s="452"/>
      <c r="P5" s="1848"/>
      <c r="Q5" s="1849"/>
      <c r="R5" s="1854"/>
      <c r="S5" s="1855"/>
      <c r="T5" s="1854"/>
      <c r="U5" s="1855"/>
      <c r="V5" s="1858"/>
      <c r="W5" s="1858"/>
      <c r="X5" s="201"/>
      <c r="Y5" s="1854"/>
      <c r="Z5" s="1855"/>
      <c r="AA5" s="1840"/>
      <c r="AB5" s="1840"/>
      <c r="AC5" s="1840"/>
    </row>
    <row r="6" spans="1:30" ht="15.75" thickBot="1">
      <c r="A6" s="43"/>
      <c r="B6" s="44"/>
      <c r="C6" s="1832" t="s">
        <v>230</v>
      </c>
      <c r="D6" s="1833"/>
      <c r="E6" s="1830" t="s">
        <v>230</v>
      </c>
      <c r="F6" s="1831"/>
      <c r="G6" s="1832" t="s">
        <v>230</v>
      </c>
      <c r="H6" s="1833"/>
      <c r="I6" s="1832" t="s">
        <v>230</v>
      </c>
      <c r="J6" s="1833"/>
      <c r="K6" s="142" t="s">
        <v>97</v>
      </c>
      <c r="L6" s="451"/>
      <c r="M6" s="452"/>
      <c r="N6" s="452"/>
      <c r="O6" s="452"/>
      <c r="P6" s="1850"/>
      <c r="Q6" s="1851"/>
      <c r="R6" s="1854"/>
      <c r="S6" s="1855"/>
      <c r="T6" s="1856"/>
      <c r="U6" s="1857"/>
      <c r="V6" s="1858"/>
      <c r="W6" s="1858"/>
      <c r="X6" s="201"/>
      <c r="Y6" s="1856"/>
      <c r="Z6" s="1857"/>
      <c r="AA6" s="1841"/>
      <c r="AB6" s="1841"/>
      <c r="AC6" s="1841"/>
    </row>
    <row r="7" spans="1:30" s="22" customFormat="1" ht="15.75" thickBot="1">
      <c r="A7" s="45" t="s">
        <v>98</v>
      </c>
      <c r="B7" s="46"/>
      <c r="C7" s="1385">
        <f>主表!B4</f>
        <v>36137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7" t="s">
        <v>99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7" t="s">
        <v>99</v>
      </c>
      <c r="Z7" s="183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7" t="s">
        <v>125</v>
      </c>
      <c r="Q8" s="183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7" t="s">
        <v>125</v>
      </c>
      <c r="Z8" s="183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2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1226</v>
      </c>
      <c r="C11" s="1068">
        <f>IF(B11="容积率",主表!B8,主表!B9)</f>
        <v>5.41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1545</v>
      </c>
      <c r="C12" s="1096" t="str">
        <f>主表!B10</f>
        <v>四级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81" hidden="1">
      <c r="A15" s="59" t="s">
        <v>106</v>
      </c>
      <c r="B15" s="1074" t="s">
        <v>86</v>
      </c>
      <c r="C15" s="1079" t="str">
        <f>估价对象房地状况!C3</f>
        <v>周边有樱花园、惠新里、芍药居等居住社区，综合评价居住社区成熟度较好。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135" hidden="1">
      <c r="A21" s="53"/>
      <c r="B21" s="1076" t="s">
        <v>131</v>
      </c>
      <c r="C21" s="1081" t="str">
        <f>估价对象房地状况!C6</f>
        <v>估价对象周边有119路、515路、567路等10余条公交线路及地铁10号线、13号线换乘站（芍药居站）通过，交通便捷度较好。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202.5" hidden="1">
      <c r="A25" s="41"/>
      <c r="B25" s="1077" t="s">
        <v>135</v>
      </c>
      <c r="C25" s="1084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1203</v>
      </c>
      <c r="C27" s="1081" t="str">
        <f>估价对象房地状况!C9</f>
        <v>估价对象所在区域公共配套设施较好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15" hidden="1">
      <c r="A29" s="147"/>
      <c r="B29" s="1078" t="s">
        <v>1204</v>
      </c>
      <c r="C29" s="1081" t="str">
        <f>估价对象房地状况!C10</f>
        <v>七通一平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3"/>
      <c r="Q30" s="500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1558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6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1559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1560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1755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67" t="e">
        <f>ROUND(PRODUCT(R46,AA7:AA45),0)</f>
        <v>#DIV/0!</v>
      </c>
      <c r="S47" s="1867"/>
      <c r="T47" s="1867" t="e">
        <f>ROUND(PRODUCT(T46,AB7:AB45),0)</f>
        <v>#DIV/0!</v>
      </c>
      <c r="U47" s="1867"/>
      <c r="V47" s="1867" t="e">
        <f>ROUND(PRODUCT(V46,AC7:AC45),0)</f>
        <v>#DIV/0!</v>
      </c>
      <c r="W47" s="1867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8" t="str">
        <f>A48</f>
        <v>估价对象比较价值（单价内涵，元/平方米）</v>
      </c>
      <c r="Q48" s="1869"/>
      <c r="R48" s="1870" t="e">
        <f>ROUND(AVERAGE(R47:V47),0)</f>
        <v>#DIV/0!</v>
      </c>
      <c r="S48" s="1870"/>
      <c r="T48" s="1870"/>
      <c r="U48" s="1870"/>
      <c r="V48" s="1870"/>
      <c r="W48" s="187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1998-12-1</v>
      </c>
      <c r="D56" s="1687">
        <f>EDATE(C56,-3)</f>
        <v>36039</v>
      </c>
      <c r="E56" s="1687">
        <f t="shared" ref="E56:O56" si="15">EDATE(D56,-3)</f>
        <v>35947</v>
      </c>
      <c r="F56" s="1687">
        <f t="shared" si="15"/>
        <v>35855</v>
      </c>
      <c r="G56" s="1687">
        <f t="shared" si="15"/>
        <v>35765</v>
      </c>
      <c r="H56" s="1687">
        <f t="shared" si="15"/>
        <v>35674</v>
      </c>
      <c r="I56" s="1687">
        <f t="shared" si="15"/>
        <v>35582</v>
      </c>
      <c r="J56" s="1687">
        <f t="shared" si="15"/>
        <v>35490</v>
      </c>
      <c r="K56" s="1687">
        <f t="shared" si="15"/>
        <v>35400</v>
      </c>
      <c r="L56" s="1687">
        <f t="shared" si="15"/>
        <v>35309</v>
      </c>
      <c r="M56" s="1687">
        <f t="shared" si="15"/>
        <v>35217</v>
      </c>
      <c r="N56" s="1687">
        <f t="shared" si="15"/>
        <v>35125</v>
      </c>
      <c r="O56" s="1687">
        <f t="shared" si="15"/>
        <v>35034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6" t="str">
        <f>YEAR(C56)&amp;"-"&amp;ROUNDUP(MONTH(C56)/3,0)</f>
        <v>1998-4</v>
      </c>
      <c r="D58" s="1686" t="str">
        <f t="shared" ref="D58:O58" si="16">YEAR(D56)&amp;"-"&amp;ROUNDUP(MONTH(D56)/3,0)</f>
        <v>1998-3</v>
      </c>
      <c r="E58" s="1686" t="str">
        <f t="shared" si="16"/>
        <v>1998-2</v>
      </c>
      <c r="F58" s="1686" t="str">
        <f t="shared" si="16"/>
        <v>1998-1</v>
      </c>
      <c r="G58" s="1686" t="str">
        <f t="shared" si="16"/>
        <v>1997-4</v>
      </c>
      <c r="H58" s="1686" t="str">
        <f t="shared" si="16"/>
        <v>1997-3</v>
      </c>
      <c r="I58" s="1686" t="str">
        <f t="shared" si="16"/>
        <v>1997-2</v>
      </c>
      <c r="J58" s="1686" t="str">
        <f t="shared" si="16"/>
        <v>1997-1</v>
      </c>
      <c r="K58" s="1686" t="str">
        <f t="shared" si="16"/>
        <v>1996-4</v>
      </c>
      <c r="L58" s="1686" t="str">
        <f t="shared" si="16"/>
        <v>1996-3</v>
      </c>
      <c r="M58" s="1686" t="str">
        <f t="shared" si="16"/>
        <v>1996-2</v>
      </c>
      <c r="N58" s="1686" t="str">
        <f t="shared" si="16"/>
        <v>1996-1</v>
      </c>
      <c r="O58" s="1686" t="str">
        <f t="shared" si="16"/>
        <v>1995-4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7"/>
      <c r="N59" s="92"/>
      <c r="O59" s="1708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5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1546</v>
      </c>
      <c r="D70" s="1069" t="s">
        <v>1547</v>
      </c>
      <c r="E70" s="1069" t="s">
        <v>1548</v>
      </c>
      <c r="F70" s="1069" t="s">
        <v>1549</v>
      </c>
      <c r="G70" s="1069" t="s">
        <v>1550</v>
      </c>
      <c r="H70" s="1069" t="s">
        <v>1551</v>
      </c>
      <c r="I70" s="1069" t="s">
        <v>1552</v>
      </c>
      <c r="J70" s="1069" t="s">
        <v>1553</v>
      </c>
      <c r="K70" s="1069" t="s">
        <v>1554</v>
      </c>
      <c r="L70" s="1069" t="s">
        <v>1555</v>
      </c>
      <c r="M70" s="1070" t="s">
        <v>1556</v>
      </c>
      <c r="N70" s="1070" t="s">
        <v>1557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1203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1205</v>
      </c>
      <c r="C90" s="11" t="s">
        <v>1198</v>
      </c>
      <c r="D90" s="11" t="s">
        <v>1199</v>
      </c>
      <c r="E90" s="11" t="s">
        <v>1200</v>
      </c>
      <c r="F90" s="11" t="s">
        <v>1201</v>
      </c>
      <c r="G90" s="11" t="s">
        <v>1202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1561</v>
      </c>
      <c r="D102" s="1148" t="s">
        <v>1562</v>
      </c>
      <c r="E102" s="1148" t="s">
        <v>1563</v>
      </c>
      <c r="F102" s="1148" t="s">
        <v>1564</v>
      </c>
      <c r="G102" s="1148" t="s">
        <v>1565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1560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232</v>
      </c>
      <c r="D107" s="1144" t="s">
        <v>233</v>
      </c>
      <c r="E107" s="1144" t="s">
        <v>234</v>
      </c>
      <c r="F107" s="1144" t="s">
        <v>235</v>
      </c>
      <c r="G107" s="1144"/>
      <c r="H107" s="1541"/>
      <c r="I107" s="1541"/>
      <c r="J107" s="1541"/>
      <c r="K107" s="1542"/>
      <c r="L107" s="1543"/>
      <c r="M107" s="1544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5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236</v>
      </c>
      <c r="D109" s="1145" t="s">
        <v>237</v>
      </c>
      <c r="E109" s="1145" t="s">
        <v>238</v>
      </c>
      <c r="F109" s="1144"/>
      <c r="G109" s="1144"/>
      <c r="H109" s="1541"/>
      <c r="I109" s="1541"/>
      <c r="J109" s="1541"/>
      <c r="K109" s="1542"/>
      <c r="L109" s="1543"/>
      <c r="M109" s="1544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5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239</v>
      </c>
      <c r="D111" s="1145" t="s">
        <v>240</v>
      </c>
      <c r="E111" s="1145" t="s">
        <v>241</v>
      </c>
      <c r="F111" s="1145" t="s">
        <v>242</v>
      </c>
      <c r="G111" s="1145" t="s">
        <v>243</v>
      </c>
      <c r="H111" s="1541"/>
      <c r="I111" s="1541"/>
      <c r="J111" s="1541"/>
      <c r="K111" s="1542"/>
      <c r="L111" s="1543"/>
      <c r="M111" s="1544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5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244</v>
      </c>
      <c r="D113" s="1145" t="s">
        <v>245</v>
      </c>
      <c r="E113" s="1144" t="s">
        <v>246</v>
      </c>
      <c r="F113" s="1144" t="s">
        <v>247</v>
      </c>
      <c r="G113" s="1144" t="s">
        <v>248</v>
      </c>
      <c r="H113" s="1541"/>
      <c r="I113" s="1541"/>
      <c r="J113" s="1541"/>
      <c r="K113" s="1542"/>
      <c r="L113" s="1543"/>
      <c r="M113" s="1544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5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1"/>
      <c r="I115" s="1541"/>
      <c r="J115" s="1541"/>
      <c r="K115" s="1542"/>
      <c r="L115" s="1543"/>
      <c r="M115" s="1544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1"/>
      <c r="I117" s="1541"/>
      <c r="J117" s="1541"/>
      <c r="K117" s="1542"/>
      <c r="L117" s="1543"/>
      <c r="M117" s="1544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6"/>
      <c r="I118" s="1546"/>
      <c r="J118" s="1546"/>
      <c r="K118" s="1546"/>
      <c r="L118" s="1546"/>
      <c r="M118" s="1547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1561</v>
      </c>
      <c r="D119" s="1148" t="s">
        <v>1562</v>
      </c>
      <c r="E119" s="1148" t="s">
        <v>1563</v>
      </c>
      <c r="F119" s="1148" t="s">
        <v>1564</v>
      </c>
      <c r="G119" s="1148" t="s">
        <v>1565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1518</v>
      </c>
      <c r="C1" s="1045">
        <f>主表!B3</f>
        <v>43139</v>
      </c>
      <c r="D1" s="1000" t="str">
        <f>主表!A23</f>
        <v>建设期</v>
      </c>
      <c r="E1" s="1040">
        <f>主表!B23</f>
        <v>2</v>
      </c>
      <c r="F1" s="1000" t="s">
        <v>1519</v>
      </c>
      <c r="G1" s="1001">
        <f ca="1">INDIRECT("d"&amp;$K$1)/100</f>
        <v>4.7500000000000001E-2</v>
      </c>
      <c r="H1" s="1000" t="s">
        <v>1520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1206</v>
      </c>
      <c r="C2" s="1046">
        <f>主表!B4</f>
        <v>36137</v>
      </c>
      <c r="D2" s="1044" t="str">
        <f>主表!A24</f>
        <v>土地开发期</v>
      </c>
      <c r="E2" s="1040">
        <f>主表!B24</f>
        <v>1</v>
      </c>
      <c r="F2" s="1000" t="s">
        <v>1519</v>
      </c>
      <c r="G2" s="1001">
        <f ca="1">INDIRECT("e"&amp;$K$2)/100</f>
        <v>6.3899999999999998E-2</v>
      </c>
      <c r="H2" s="1000" t="s">
        <v>1520</v>
      </c>
      <c r="I2" s="1001">
        <f ca="1">SUMIF(F4:F8,E2,G4:G8)/100</f>
        <v>1.4999999999999999E-2</v>
      </c>
      <c r="J2" s="1170">
        <f>IF(C2&gt;C14,0,MATCH(C2,C$14:C$59,-1))+IF(SUMIF(C14:C59,C2,D14:D59)=0,14,13)</f>
        <v>45</v>
      </c>
      <c r="K2" s="1170">
        <f ca="1">MATCH(E2,C4:C8,1)+IF(SUMIF(C4:C8,E2,D4:D8)=0,3,2)</f>
        <v>5</v>
      </c>
      <c r="L2" s="1170">
        <f>IF(C2&gt;M14,0,MATCH(C2,M$14:M$52,-1))+IF(SUMIF(M14:M52,C2,N14:N52)=0,14,13)</f>
        <v>42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1519</v>
      </c>
      <c r="G3" s="1052">
        <f ca="1">INDIRECT("e"&amp;$K$3)/100</f>
        <v>6.6600000000000006E-2</v>
      </c>
      <c r="H3" s="1051" t="s">
        <v>1520</v>
      </c>
      <c r="I3" s="1052">
        <f ca="1">SUMIF(F4:F8,E3,H4:H8)/100</f>
        <v>4.1399999999999999E-2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1521</v>
      </c>
      <c r="C4" s="1037">
        <v>0</v>
      </c>
      <c r="D4" s="1036">
        <f ca="1">INDIRECT("d"&amp;$J$1)</f>
        <v>4.3499999999999996</v>
      </c>
      <c r="E4" s="1036">
        <f ca="1">INDIRECT("d"&amp;$J$2)</f>
        <v>6.12</v>
      </c>
      <c r="F4" s="1037">
        <v>0.5</v>
      </c>
      <c r="G4" s="1038">
        <f ca="1">INDIRECT("p"&amp;$L$1)</f>
        <v>1.3</v>
      </c>
      <c r="H4" s="1038">
        <f ca="1">INDIRECT("p"&amp;$L$2)</f>
        <v>3.33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1522</v>
      </c>
      <c r="C5" s="1007">
        <v>0.5</v>
      </c>
      <c r="D5" s="1008">
        <f ca="1">INDIRECT("e"&amp;$J$1)</f>
        <v>4.3499999999999996</v>
      </c>
      <c r="E5" s="1008">
        <f ca="1">INDIRECT("e"&amp;$J$2)</f>
        <v>6.39</v>
      </c>
      <c r="F5" s="1007">
        <v>1</v>
      </c>
      <c r="G5" s="1039">
        <f ca="1">INDIRECT("q"&amp;$L$1)</f>
        <v>1.5</v>
      </c>
      <c r="H5" s="1039">
        <f ca="1">INDIRECT("q"&amp;$L$2)</f>
        <v>3.78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1523</v>
      </c>
      <c r="C6" s="1007">
        <v>1</v>
      </c>
      <c r="D6" s="1008">
        <f ca="1">INDIRECT("f"&amp;$J$1)</f>
        <v>4.75</v>
      </c>
      <c r="E6" s="1008">
        <f ca="1">INDIRECT("f"&amp;$J$2)</f>
        <v>6.66</v>
      </c>
      <c r="F6" s="1007">
        <v>2</v>
      </c>
      <c r="G6" s="1039">
        <f ca="1">INDIRECT("r"&amp;$L$1)</f>
        <v>2.1</v>
      </c>
      <c r="H6" s="1039">
        <f ca="1">INDIRECT("r"&amp;$L$2)</f>
        <v>3.96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1524</v>
      </c>
      <c r="C7" s="1007">
        <v>3</v>
      </c>
      <c r="D7" s="1008">
        <f ca="1">INDIRECT("g"&amp;$J$1)</f>
        <v>4.75</v>
      </c>
      <c r="E7" s="1008">
        <f ca="1">INDIRECT("g"&amp;$J$2)</f>
        <v>7.2</v>
      </c>
      <c r="F7" s="1007">
        <v>3</v>
      </c>
      <c r="G7" s="1039">
        <f ca="1">INDIRECT("s"&amp;$L$1)</f>
        <v>2.75</v>
      </c>
      <c r="H7" s="1039">
        <f ca="1">INDIRECT("s"&amp;$L$2)</f>
        <v>4.1399999999999997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1525</v>
      </c>
      <c r="C8" s="1007">
        <v>5</v>
      </c>
      <c r="D8" s="1008">
        <f ca="1">INDIRECT("h"&amp;$J$1)</f>
        <v>4.9000000000000004</v>
      </c>
      <c r="E8" s="1008">
        <f ca="1">INDIRECT("h"&amp;$J$2)</f>
        <v>7.56</v>
      </c>
      <c r="F8" s="1007">
        <v>5</v>
      </c>
      <c r="G8" s="1039">
        <f ca="1">INDIRECT("t"&amp;$L$1)</f>
        <v>0</v>
      </c>
      <c r="H8" s="1039">
        <f ca="1">INDIRECT("t"&amp;$L$2)</f>
        <v>4.5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1526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1527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1528</v>
      </c>
      <c r="C12" s="1014" t="s">
        <v>1529</v>
      </c>
      <c r="D12" s="1015" t="s">
        <v>1530</v>
      </c>
      <c r="E12" s="1016"/>
      <c r="F12" s="1015" t="s">
        <v>1531</v>
      </c>
      <c r="G12" s="1017"/>
      <c r="H12" s="1016"/>
      <c r="I12" s="1015" t="s">
        <v>1532</v>
      </c>
      <c r="J12" s="1016"/>
      <c r="K12" s="1012"/>
      <c r="L12" s="1013" t="s">
        <v>1528</v>
      </c>
      <c r="M12" s="1014" t="s">
        <v>1529</v>
      </c>
      <c r="N12" s="1013" t="s">
        <v>1533</v>
      </c>
      <c r="O12" s="1015" t="s">
        <v>1534</v>
      </c>
      <c r="P12" s="1017"/>
      <c r="Q12" s="1017"/>
      <c r="R12" s="1017"/>
      <c r="S12" s="1017"/>
      <c r="T12" s="1016"/>
      <c r="U12" s="1015" t="s">
        <v>1535</v>
      </c>
      <c r="V12" s="1017"/>
      <c r="W12" s="1016"/>
      <c r="X12" s="1013" t="s">
        <v>1536</v>
      </c>
      <c r="Y12" s="1013" t="s">
        <v>1537</v>
      </c>
      <c r="Z12" s="1013" t="s">
        <v>1538</v>
      </c>
    </row>
    <row r="13" spans="1:26" s="1023" customFormat="1">
      <c r="A13" s="1019"/>
      <c r="B13" s="1020"/>
      <c r="C13" s="1021"/>
      <c r="D13" s="1006" t="s">
        <v>1521</v>
      </c>
      <c r="E13" s="1006" t="s">
        <v>1522</v>
      </c>
      <c r="F13" s="1006" t="s">
        <v>1523</v>
      </c>
      <c r="G13" s="1006" t="s">
        <v>1524</v>
      </c>
      <c r="H13" s="1006" t="s">
        <v>1525</v>
      </c>
      <c r="I13" s="1022" t="s">
        <v>1539</v>
      </c>
      <c r="J13" s="1022" t="s">
        <v>1539</v>
      </c>
      <c r="K13" s="1019"/>
      <c r="L13" s="1020"/>
      <c r="M13" s="1021"/>
      <c r="N13" s="1020"/>
      <c r="O13" s="1022" t="s">
        <v>1540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1541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1541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1542</v>
      </c>
      <c r="Y43" s="1030" t="s">
        <v>1542</v>
      </c>
      <c r="Z43" s="1030" t="s">
        <v>1542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1542</v>
      </c>
      <c r="Y44" s="1030" t="s">
        <v>1542</v>
      </c>
      <c r="Z44" s="1030" t="s">
        <v>1542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1542</v>
      </c>
      <c r="Y45" s="1030" t="s">
        <v>1542</v>
      </c>
      <c r="Z45" s="1030" t="s">
        <v>1542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1542</v>
      </c>
      <c r="Y46" s="1030" t="s">
        <v>1542</v>
      </c>
      <c r="Z46" s="1030" t="s">
        <v>1542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1542</v>
      </c>
      <c r="Y47" s="1030" t="s">
        <v>1542</v>
      </c>
      <c r="Z47" s="1030" t="s">
        <v>1542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1542</v>
      </c>
      <c r="Y48" s="1030" t="s">
        <v>1542</v>
      </c>
      <c r="Z48" s="1030" t="s">
        <v>1542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1542</v>
      </c>
      <c r="Y49" s="1030" t="s">
        <v>1542</v>
      </c>
      <c r="Z49" s="1030" t="s">
        <v>1542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1542</v>
      </c>
      <c r="Y50" s="1030" t="s">
        <v>1542</v>
      </c>
      <c r="Z50" s="1030" t="s">
        <v>1542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1542</v>
      </c>
      <c r="Y51" s="1030" t="s">
        <v>1542</v>
      </c>
      <c r="Z51" s="1030" t="s">
        <v>1542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1542</v>
      </c>
      <c r="V52" s="1030" t="s">
        <v>1542</v>
      </c>
      <c r="W52" s="1030" t="s">
        <v>1542</v>
      </c>
      <c r="X52" s="1030" t="s">
        <v>1542</v>
      </c>
      <c r="Y52" s="1030" t="s">
        <v>1542</v>
      </c>
      <c r="Z52" s="1030" t="s">
        <v>1542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1542</v>
      </c>
      <c r="J56" s="1030" t="s">
        <v>1542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8"/>
    <col min="7" max="7" width="9" style="1662"/>
    <col min="8" max="8" width="9" style="1558"/>
    <col min="9" max="12" width="9" style="1558" customWidth="1"/>
    <col min="13" max="13" width="2.25" style="1558" customWidth="1"/>
    <col min="14" max="14" width="9" style="1662" customWidth="1"/>
    <col min="15" max="17" width="9" style="1558" customWidth="1"/>
    <col min="18" max="18" width="2.375" style="1558" customWidth="1"/>
    <col min="19" max="19" width="7.125" style="1662" customWidth="1"/>
    <col min="20" max="22" width="7.125" style="1558" customWidth="1"/>
    <col min="23" max="23" width="2.5" style="1558" customWidth="1"/>
    <col min="24" max="16384" width="9" style="1558"/>
  </cols>
  <sheetData>
    <row r="1" spans="1:32" s="1550" customFormat="1">
      <c r="A1" s="1691" t="s">
        <v>1718</v>
      </c>
      <c r="C1" s="1630"/>
      <c r="D1" s="1630"/>
      <c r="F1" s="1630"/>
      <c r="H1" s="1690"/>
      <c r="I1" s="1690"/>
      <c r="J1" s="1690"/>
      <c r="K1" s="1690"/>
      <c r="L1" s="1690"/>
      <c r="O1" s="1690"/>
      <c r="P1" s="1690"/>
      <c r="Q1" s="1690"/>
      <c r="R1" s="1551"/>
      <c r="T1" s="1690"/>
      <c r="U1" s="1690"/>
      <c r="V1" s="1690"/>
    </row>
    <row r="2" spans="1:32" s="1550" customFormat="1" ht="13.5" thickBot="1">
      <c r="B2" s="1630" t="s">
        <v>1653</v>
      </c>
      <c r="C2" s="1630"/>
      <c r="D2" s="1630"/>
      <c r="F2" s="1630"/>
      <c r="G2" s="1879" t="s">
        <v>1654</v>
      </c>
      <c r="H2" s="1879"/>
      <c r="I2" s="1879"/>
      <c r="J2" s="1879"/>
      <c r="K2" s="1879"/>
      <c r="L2" s="1879"/>
      <c r="N2" s="1871" t="s">
        <v>1655</v>
      </c>
      <c r="O2" s="1871"/>
      <c r="P2" s="1871"/>
      <c r="Q2" s="1871"/>
      <c r="R2" s="1689"/>
      <c r="S2" s="1871" t="s">
        <v>1656</v>
      </c>
      <c r="T2" s="1871"/>
      <c r="U2" s="1871"/>
      <c r="V2" s="1871"/>
    </row>
    <row r="3" spans="1:32" s="1550" customFormat="1" ht="14.25">
      <c r="B3" s="15" t="s">
        <v>1712</v>
      </c>
      <c r="C3" s="15" t="s">
        <v>42</v>
      </c>
      <c r="D3" s="527" t="s">
        <v>1310</v>
      </c>
      <c r="E3" s="527" t="s">
        <v>1311</v>
      </c>
      <c r="F3" s="15" t="s">
        <v>50</v>
      </c>
      <c r="G3" s="1724" t="s">
        <v>1758</v>
      </c>
      <c r="H3" s="1724" t="s">
        <v>1759</v>
      </c>
      <c r="I3" s="486" t="s">
        <v>1712</v>
      </c>
      <c r="J3" s="486" t="s">
        <v>1717</v>
      </c>
      <c r="K3" s="527" t="s">
        <v>1311</v>
      </c>
      <c r="L3" s="486" t="s">
        <v>50</v>
      </c>
      <c r="N3" s="486" t="s">
        <v>1712</v>
      </c>
      <c r="O3" s="486" t="s">
        <v>1717</v>
      </c>
      <c r="P3" s="527" t="s">
        <v>1311</v>
      </c>
      <c r="Q3" s="486" t="s">
        <v>50</v>
      </c>
      <c r="R3" s="1551"/>
      <c r="S3" s="486" t="s">
        <v>1712</v>
      </c>
      <c r="T3" s="486" t="s">
        <v>1717</v>
      </c>
      <c r="U3" s="527" t="s">
        <v>1311</v>
      </c>
      <c r="V3" s="486" t="s">
        <v>50</v>
      </c>
    </row>
    <row r="4" spans="1:32" s="1735" customFormat="1" ht="14.25">
      <c r="A4" s="1746" t="s">
        <v>1762</v>
      </c>
      <c r="B4" s="1736"/>
      <c r="C4" s="1736"/>
      <c r="D4" s="1737"/>
      <c r="E4" s="1737"/>
      <c r="F4" s="1736"/>
      <c r="G4" s="1738"/>
      <c r="H4" s="1738"/>
      <c r="I4" s="1745">
        <f>ROUND(AVERAGE($I7:$I22),2)</f>
        <v>2.4500000000000002</v>
      </c>
      <c r="J4" s="1745">
        <f>ROUND(AVERAGE($J7:$J22),2)</f>
        <v>1.65</v>
      </c>
      <c r="K4" s="1745">
        <f>ROUND(AVERAGE($K7:$K22),2)</f>
        <v>2.71</v>
      </c>
      <c r="L4" s="1745">
        <f>ROUND(AVERAGE($L7:$L22),2)</f>
        <v>1.39</v>
      </c>
      <c r="N4" s="1739"/>
      <c r="O4" s="1739"/>
      <c r="P4" s="1737"/>
      <c r="Q4" s="1739"/>
      <c r="R4" s="1740"/>
      <c r="S4" s="1739"/>
      <c r="T4" s="1739"/>
      <c r="U4" s="1737"/>
      <c r="V4" s="1739"/>
      <c r="X4" s="1741"/>
    </row>
    <row r="5" spans="1:32" s="1725" customFormat="1" ht="14.25">
      <c r="B5" s="1726"/>
      <c r="C5" s="1726"/>
      <c r="D5" s="1727"/>
      <c r="E5" s="1727"/>
      <c r="F5" s="1726"/>
      <c r="G5" s="1728"/>
      <c r="H5" s="1728"/>
      <c r="I5" s="1731"/>
      <c r="J5" s="1731"/>
      <c r="K5" s="1732"/>
      <c r="L5" s="1731"/>
      <c r="N5" s="1729"/>
      <c r="O5" s="1729"/>
      <c r="P5" s="1727"/>
      <c r="Q5" s="1729"/>
      <c r="R5" s="1730"/>
      <c r="S5" s="1729"/>
      <c r="T5" s="1729"/>
      <c r="U5" s="1727"/>
      <c r="V5" s="1729"/>
      <c r="X5" s="1742"/>
    </row>
    <row r="6" spans="1:32" s="1718" customFormat="1" ht="13.5" thickBot="1">
      <c r="A6" s="1715" t="s">
        <v>1760</v>
      </c>
      <c r="B6" s="1716">
        <f>B7*(1+N6)</f>
        <v>439.19121308559727</v>
      </c>
      <c r="C6" s="1716">
        <f t="shared" ref="C6" si="0">C7*(1+O6)</f>
        <v>326.28510789673351</v>
      </c>
      <c r="D6" s="1716">
        <f t="shared" ref="D6:D11" si="1">C6</f>
        <v>326.28510789673351</v>
      </c>
      <c r="E6" s="1716">
        <f t="shared" ref="E6" si="2">E7*(1+P6)</f>
        <v>626.49404043656455</v>
      </c>
      <c r="F6" s="1716">
        <f t="shared" ref="F6" si="3">F7*(1+Q6)</f>
        <v>283.46416215500358</v>
      </c>
      <c r="G6" s="1723">
        <v>2018</v>
      </c>
      <c r="H6" s="1717">
        <v>1</v>
      </c>
      <c r="I6" s="1733">
        <v>0</v>
      </c>
      <c r="J6" s="1733">
        <v>0</v>
      </c>
      <c r="K6" s="1733">
        <v>0</v>
      </c>
      <c r="L6" s="1734">
        <v>0</v>
      </c>
      <c r="N6" s="1719">
        <f t="shared" ref="N6" si="4">I6/100</f>
        <v>0</v>
      </c>
      <c r="O6" s="1720">
        <f t="shared" ref="O6" si="5">J6/100</f>
        <v>0</v>
      </c>
      <c r="P6" s="1720">
        <f t="shared" ref="P6" si="6">K6/100</f>
        <v>0</v>
      </c>
      <c r="Q6" s="1720">
        <f t="shared" ref="Q6" si="7">L6/100</f>
        <v>0</v>
      </c>
      <c r="R6" s="1721"/>
      <c r="S6" s="1722"/>
      <c r="T6" s="1721"/>
      <c r="U6" s="1721"/>
      <c r="V6" s="1721"/>
      <c r="X6" s="1743" t="s">
        <v>1763</v>
      </c>
      <c r="Y6" s="1744"/>
      <c r="Z6" s="1744"/>
      <c r="AA6" s="1744"/>
    </row>
    <row r="7" spans="1:32">
      <c r="A7" s="1552" t="s">
        <v>1761</v>
      </c>
      <c r="B7" s="1557">
        <f>B8*(1+N7)</f>
        <v>439.19121308559727</v>
      </c>
      <c r="C7" s="1557">
        <f t="shared" ref="C7" si="8">C8*(1+O7)</f>
        <v>326.28510789673351</v>
      </c>
      <c r="D7" s="1557">
        <f t="shared" si="1"/>
        <v>326.28510789673351</v>
      </c>
      <c r="E7" s="1557">
        <f t="shared" ref="E7" si="9">E8*(1+P7)</f>
        <v>626.49404043656455</v>
      </c>
      <c r="F7" s="1656">
        <f t="shared" ref="F7" si="10">F8*(1+Q7)</f>
        <v>283.46416215500358</v>
      </c>
      <c r="G7" s="1713">
        <v>2017</v>
      </c>
      <c r="H7" s="1553">
        <v>4</v>
      </c>
      <c r="I7" s="1553">
        <v>1.71</v>
      </c>
      <c r="J7" s="1553">
        <v>1.78</v>
      </c>
      <c r="K7" s="1553">
        <v>1.71</v>
      </c>
      <c r="L7" s="1554">
        <v>1.43</v>
      </c>
      <c r="N7" s="1664">
        <f t="shared" ref="N7" si="11">I7/100</f>
        <v>1.7100000000000001E-2</v>
      </c>
      <c r="O7" s="1559">
        <f t="shared" ref="O7" si="12">J7/100</f>
        <v>1.78E-2</v>
      </c>
      <c r="P7" s="1559">
        <f t="shared" ref="P7" si="13">K7/100</f>
        <v>1.7100000000000001E-2</v>
      </c>
      <c r="Q7" s="1559">
        <f t="shared" ref="Q7" si="14">L7/100</f>
        <v>1.43E-2</v>
      </c>
      <c r="R7" s="1560"/>
      <c r="S7" s="1674"/>
      <c r="T7" s="1561"/>
      <c r="U7" s="1561"/>
      <c r="V7" s="1561"/>
      <c r="AC7" s="1561"/>
      <c r="AD7" s="1561"/>
      <c r="AE7" s="1561"/>
      <c r="AF7" s="1561"/>
    </row>
    <row r="8" spans="1:32" s="1550" customFormat="1">
      <c r="A8" s="1552" t="s">
        <v>1757</v>
      </c>
      <c r="B8" s="1562">
        <f>B9*(1+N8)</f>
        <v>431.80730811680002</v>
      </c>
      <c r="C8" s="1562">
        <f t="shared" ref="C8:C9" si="15">C9*(1+O8)</f>
        <v>320.57880516480003</v>
      </c>
      <c r="D8" s="1562">
        <f t="shared" si="1"/>
        <v>320.57880516480003</v>
      </c>
      <c r="E8" s="1562">
        <f t="shared" ref="E8:F10" si="16">E9*(1+P8)</f>
        <v>615.96110553196797</v>
      </c>
      <c r="F8" s="1562">
        <f t="shared" si="16"/>
        <v>279.46777300108801</v>
      </c>
      <c r="G8" s="1713"/>
      <c r="H8" s="1555">
        <v>3</v>
      </c>
      <c r="I8" s="1692">
        <v>2.98</v>
      </c>
      <c r="J8" s="1692">
        <v>2.11</v>
      </c>
      <c r="K8" s="1692">
        <v>3.24</v>
      </c>
      <c r="L8" s="1693">
        <v>1.72</v>
      </c>
      <c r="N8" s="1664">
        <f t="shared" ref="N8:Q9" si="17">I8/100</f>
        <v>2.98E-2</v>
      </c>
      <c r="O8" s="1559">
        <f t="shared" si="17"/>
        <v>2.1099999999999997E-2</v>
      </c>
      <c r="P8" s="1559">
        <f t="shared" si="17"/>
        <v>3.2400000000000005E-2</v>
      </c>
      <c r="Q8" s="1559">
        <f t="shared" si="17"/>
        <v>1.72E-2</v>
      </c>
      <c r="R8" s="1712"/>
      <c r="S8" s="1663"/>
      <c r="T8" s="1712"/>
      <c r="U8" s="1712"/>
      <c r="V8" s="1712"/>
    </row>
    <row r="9" spans="1:32" s="1550" customFormat="1">
      <c r="A9" s="1552" t="s">
        <v>1657</v>
      </c>
      <c r="B9" s="1562">
        <f>B10*(1+N9)</f>
        <v>419.31181600000002</v>
      </c>
      <c r="C9" s="1562">
        <f t="shared" si="15"/>
        <v>313.95436800000004</v>
      </c>
      <c r="D9" s="1562">
        <f t="shared" si="1"/>
        <v>313.95436800000004</v>
      </c>
      <c r="E9" s="1562">
        <f t="shared" si="16"/>
        <v>596.63028431999999</v>
      </c>
      <c r="F9" s="1562">
        <f t="shared" si="16"/>
        <v>274.74220703999998</v>
      </c>
      <c r="G9" s="1713"/>
      <c r="H9" s="1556">
        <v>2</v>
      </c>
      <c r="I9" s="1709">
        <v>3.4</v>
      </c>
      <c r="J9" s="1709">
        <v>2</v>
      </c>
      <c r="K9" s="1709">
        <v>3.82</v>
      </c>
      <c r="L9" s="1710">
        <v>1.68</v>
      </c>
      <c r="N9" s="1664">
        <f t="shared" si="17"/>
        <v>3.4000000000000002E-2</v>
      </c>
      <c r="O9" s="1559">
        <f t="shared" si="17"/>
        <v>0.02</v>
      </c>
      <c r="P9" s="1559">
        <f t="shared" si="17"/>
        <v>3.8199999999999998E-2</v>
      </c>
      <c r="Q9" s="1559">
        <f t="shared" si="17"/>
        <v>1.6799999999999999E-2</v>
      </c>
      <c r="R9" s="1551"/>
      <c r="S9" s="1663"/>
      <c r="T9" s="1551"/>
      <c r="U9" s="1551"/>
      <c r="V9" s="1551"/>
    </row>
    <row r="10" spans="1:32" s="1550" customFormat="1" ht="13.5" thickBot="1">
      <c r="A10" s="1552" t="s">
        <v>1658</v>
      </c>
      <c r="B10" s="1562">
        <f>B11*(1+N10)</f>
        <v>405.524</v>
      </c>
      <c r="C10" s="1562">
        <f t="shared" ref="C10" si="18">C11*(1+O10)</f>
        <v>307.79840000000002</v>
      </c>
      <c r="D10" s="1562">
        <f t="shared" si="1"/>
        <v>307.79840000000002</v>
      </c>
      <c r="E10" s="1562">
        <f t="shared" si="16"/>
        <v>574.67759999999998</v>
      </c>
      <c r="F10" s="1562">
        <f t="shared" si="16"/>
        <v>270.20280000000002</v>
      </c>
      <c r="G10" s="1714"/>
      <c r="H10" s="1555">
        <v>1</v>
      </c>
      <c r="I10" s="1692">
        <v>3.45</v>
      </c>
      <c r="J10" s="1692">
        <v>1.92</v>
      </c>
      <c r="K10" s="1692">
        <v>3.92</v>
      </c>
      <c r="L10" s="1693">
        <v>1.58</v>
      </c>
      <c r="N10" s="1664">
        <f>I10/100</f>
        <v>3.4500000000000003E-2</v>
      </c>
      <c r="O10" s="1559">
        <f t="shared" ref="O10" si="19">J10/100</f>
        <v>1.9199999999999998E-2</v>
      </c>
      <c r="P10" s="1559">
        <f t="shared" ref="P10" si="20">K10/100</f>
        <v>3.9199999999999999E-2</v>
      </c>
      <c r="Q10" s="1559">
        <f t="shared" ref="Q10" si="21">L10/100</f>
        <v>1.5800000000000002E-2</v>
      </c>
      <c r="R10" s="1551"/>
      <c r="S10" s="1666">
        <f>B10/B11-1</f>
        <v>3.4499999999999975E-2</v>
      </c>
      <c r="T10" s="1565">
        <f>C10/C11-1</f>
        <v>1.9200000000000106E-2</v>
      </c>
      <c r="U10" s="1565">
        <f>E10/E11-1</f>
        <v>3.9199999999999902E-2</v>
      </c>
      <c r="V10" s="1565">
        <f>F10/F11-1</f>
        <v>1.5800000000000036E-2</v>
      </c>
    </row>
    <row r="11" spans="1:32">
      <c r="A11" s="1552" t="s">
        <v>277</v>
      </c>
      <c r="B11" s="1557">
        <v>392</v>
      </c>
      <c r="C11" s="1557">
        <v>302</v>
      </c>
      <c r="D11" s="1557">
        <f t="shared" si="1"/>
        <v>302</v>
      </c>
      <c r="E11" s="1557">
        <v>553</v>
      </c>
      <c r="F11" s="1656">
        <v>266</v>
      </c>
      <c r="G11" s="1875">
        <v>2016</v>
      </c>
      <c r="H11" s="1553">
        <v>4</v>
      </c>
      <c r="I11" s="1553">
        <v>4.5599999999999996</v>
      </c>
      <c r="J11" s="1553">
        <v>2.15</v>
      </c>
      <c r="K11" s="1553">
        <v>5.32</v>
      </c>
      <c r="L11" s="1554">
        <v>1.57</v>
      </c>
      <c r="N11" s="1664">
        <f>I11/100</f>
        <v>4.5599999999999995E-2</v>
      </c>
      <c r="O11" s="1559">
        <f t="shared" ref="O11:Q26" si="22">J11/100</f>
        <v>2.1499999999999998E-2</v>
      </c>
      <c r="P11" s="1559">
        <f t="shared" si="22"/>
        <v>5.3200000000000004E-2</v>
      </c>
      <c r="Q11" s="1559">
        <f t="shared" si="22"/>
        <v>1.5700000000000002E-2</v>
      </c>
      <c r="R11" s="1560"/>
      <c r="S11" s="1674"/>
      <c r="T11" s="1561"/>
      <c r="U11" s="1561"/>
      <c r="V11" s="1561"/>
      <c r="AC11" s="1561"/>
      <c r="AD11" s="1561"/>
      <c r="AE11" s="1561"/>
      <c r="AF11" s="1561"/>
    </row>
    <row r="12" spans="1:32">
      <c r="A12" s="1552" t="s">
        <v>276</v>
      </c>
      <c r="B12" s="1562">
        <f t="shared" ref="B12:C14" si="23">B11/(1+N11)</f>
        <v>374.90436113236416</v>
      </c>
      <c r="C12" s="1562">
        <f t="shared" si="23"/>
        <v>295.64366128242779</v>
      </c>
      <c r="D12" s="1562">
        <f t="shared" ref="D12:D71" si="24">C12</f>
        <v>295.64366128242779</v>
      </c>
      <c r="E12" s="1562">
        <f t="shared" ref="E12:F14" si="25">E11/(1+P11)</f>
        <v>525.06646410938095</v>
      </c>
      <c r="F12" s="1562">
        <f t="shared" si="25"/>
        <v>261.88835286009646</v>
      </c>
      <c r="G12" s="1873"/>
      <c r="H12" s="1555">
        <v>3</v>
      </c>
      <c r="I12" s="1555">
        <v>4.12</v>
      </c>
      <c r="J12" s="1555">
        <v>2</v>
      </c>
      <c r="K12" s="1555">
        <v>4.79</v>
      </c>
      <c r="L12" s="1563">
        <v>1.97</v>
      </c>
      <c r="N12" s="1664">
        <f t="shared" ref="N12:Q46" si="26">I12/100</f>
        <v>4.1200000000000001E-2</v>
      </c>
      <c r="O12" s="1559">
        <f t="shared" si="22"/>
        <v>0.02</v>
      </c>
      <c r="P12" s="1559">
        <f t="shared" si="22"/>
        <v>4.7899999999999998E-2</v>
      </c>
      <c r="Q12" s="1559">
        <f t="shared" si="22"/>
        <v>1.9699999999999999E-2</v>
      </c>
      <c r="R12" s="1560"/>
      <c r="S12" s="1664"/>
      <c r="T12" s="1559"/>
      <c r="U12" s="1559"/>
      <c r="V12" s="1559"/>
    </row>
    <row r="13" spans="1:32">
      <c r="A13" s="1552" t="s">
        <v>266</v>
      </c>
      <c r="B13" s="1562">
        <f t="shared" si="23"/>
        <v>360.06949782209392</v>
      </c>
      <c r="C13" s="1562">
        <f t="shared" si="23"/>
        <v>289.84672674747821</v>
      </c>
      <c r="D13" s="1562">
        <f t="shared" si="24"/>
        <v>289.84672674747821</v>
      </c>
      <c r="E13" s="1562">
        <f t="shared" si="25"/>
        <v>501.06543001181495</v>
      </c>
      <c r="F13" s="1562">
        <f t="shared" si="25"/>
        <v>256.82882500744967</v>
      </c>
      <c r="G13" s="1873"/>
      <c r="H13" s="1556">
        <v>2</v>
      </c>
      <c r="I13" s="1556">
        <v>3.85</v>
      </c>
      <c r="J13" s="1556">
        <v>1.95</v>
      </c>
      <c r="K13" s="1556">
        <v>4.4800000000000004</v>
      </c>
      <c r="L13" s="1564">
        <v>1.41</v>
      </c>
      <c r="N13" s="1664">
        <f t="shared" si="26"/>
        <v>3.85E-2</v>
      </c>
      <c r="O13" s="1559">
        <f t="shared" si="22"/>
        <v>1.95E-2</v>
      </c>
      <c r="P13" s="1559">
        <f t="shared" si="22"/>
        <v>4.4800000000000006E-2</v>
      </c>
      <c r="Q13" s="1559">
        <f t="shared" si="22"/>
        <v>1.41E-2</v>
      </c>
      <c r="R13" s="1560"/>
      <c r="S13" s="1664"/>
      <c r="T13" s="1559"/>
      <c r="U13" s="1559"/>
      <c r="V13" s="1559"/>
    </row>
    <row r="14" spans="1:32" ht="13.5" thickBot="1">
      <c r="A14" s="1552" t="s">
        <v>275</v>
      </c>
      <c r="B14" s="1562">
        <f t="shared" si="23"/>
        <v>346.720748986128</v>
      </c>
      <c r="C14" s="1562">
        <f t="shared" si="23"/>
        <v>284.30282172386285</v>
      </c>
      <c r="D14" s="1562">
        <f t="shared" si="24"/>
        <v>284.30282172386285</v>
      </c>
      <c r="E14" s="1562">
        <f t="shared" si="25"/>
        <v>479.58023546306947</v>
      </c>
      <c r="F14" s="1562">
        <f t="shared" si="25"/>
        <v>253.25788877571213</v>
      </c>
      <c r="G14" s="1874"/>
      <c r="H14" s="1555">
        <v>1</v>
      </c>
      <c r="I14" s="1555">
        <v>4.09</v>
      </c>
      <c r="J14" s="1555">
        <v>2.93</v>
      </c>
      <c r="K14" s="1555">
        <v>4.54</v>
      </c>
      <c r="L14" s="1563">
        <v>1.48</v>
      </c>
      <c r="N14" s="1664">
        <f t="shared" si="26"/>
        <v>4.0899999999999999E-2</v>
      </c>
      <c r="O14" s="1559">
        <f t="shared" si="22"/>
        <v>2.9300000000000003E-2</v>
      </c>
      <c r="P14" s="1559">
        <f t="shared" si="22"/>
        <v>4.5400000000000003E-2</v>
      </c>
      <c r="Q14" s="1559">
        <f t="shared" si="22"/>
        <v>1.4800000000000001E-2</v>
      </c>
      <c r="R14" s="1560"/>
      <c r="S14" s="1666">
        <f>B14/B15-1</f>
        <v>4.1203450408792808E-2</v>
      </c>
      <c r="T14" s="1565">
        <f>C14/C15-1</f>
        <v>2.6363977342465095E-2</v>
      </c>
      <c r="U14" s="1565">
        <f>E14/E15-1</f>
        <v>4.4837114298626357E-2</v>
      </c>
      <c r="V14" s="1565">
        <f>F14/F15-1</f>
        <v>1.7099954922538574E-2</v>
      </c>
      <c r="AC14" s="1566"/>
      <c r="AD14" s="1566"/>
      <c r="AE14" s="1566"/>
      <c r="AF14" s="1566"/>
    </row>
    <row r="15" spans="1:32" ht="13.5" thickBot="1">
      <c r="A15" s="1552" t="s">
        <v>274</v>
      </c>
      <c r="B15" s="1557">
        <v>333</v>
      </c>
      <c r="C15" s="1557">
        <v>277</v>
      </c>
      <c r="D15" s="1557">
        <f t="shared" si="24"/>
        <v>277</v>
      </c>
      <c r="E15" s="1557">
        <v>459</v>
      </c>
      <c r="F15" s="1656">
        <v>249</v>
      </c>
      <c r="G15" s="1872">
        <v>2015</v>
      </c>
      <c r="H15" s="1567">
        <v>4</v>
      </c>
      <c r="I15" s="1567">
        <v>1.63</v>
      </c>
      <c r="J15" s="1567">
        <v>1.1100000000000001</v>
      </c>
      <c r="K15" s="1567">
        <v>1.77</v>
      </c>
      <c r="L15" s="1568">
        <v>1.89</v>
      </c>
      <c r="N15" s="1665">
        <f t="shared" si="26"/>
        <v>1.6299999999999999E-2</v>
      </c>
      <c r="O15" s="1569">
        <f t="shared" si="22"/>
        <v>1.11E-2</v>
      </c>
      <c r="P15" s="1569">
        <f t="shared" si="22"/>
        <v>1.77E-2</v>
      </c>
      <c r="Q15" s="1569">
        <f t="shared" si="22"/>
        <v>1.89E-2</v>
      </c>
      <c r="R15" s="1560"/>
      <c r="AC15" s="1561"/>
      <c r="AD15" s="1561"/>
      <c r="AE15" s="1561"/>
      <c r="AF15" s="1561"/>
    </row>
    <row r="16" spans="1:32">
      <c r="A16" s="1552" t="s">
        <v>273</v>
      </c>
      <c r="B16" s="1562">
        <f t="shared" ref="B16:C18" si="27">B15/(1+N15)</f>
        <v>327.65915576109415</v>
      </c>
      <c r="C16" s="1562">
        <f t="shared" si="27"/>
        <v>273.95905449510434</v>
      </c>
      <c r="D16" s="1562">
        <f t="shared" si="24"/>
        <v>273.95905449510434</v>
      </c>
      <c r="E16" s="1562">
        <f t="shared" ref="E16:F18" si="28">E15/(1+P15)</f>
        <v>451.01699911565294</v>
      </c>
      <c r="F16" s="1562">
        <f t="shared" si="28"/>
        <v>244.38119540681129</v>
      </c>
      <c r="G16" s="1873"/>
      <c r="H16" s="1570">
        <v>3</v>
      </c>
      <c r="I16" s="1570">
        <v>1.65</v>
      </c>
      <c r="J16" s="1570">
        <v>0.92</v>
      </c>
      <c r="K16" s="1570">
        <v>1.88</v>
      </c>
      <c r="L16" s="1571">
        <v>1.26</v>
      </c>
      <c r="N16" s="1664">
        <f t="shared" si="26"/>
        <v>1.6500000000000001E-2</v>
      </c>
      <c r="O16" s="1572">
        <f t="shared" si="22"/>
        <v>9.1999999999999998E-3</v>
      </c>
      <c r="P16" s="1572">
        <f t="shared" si="22"/>
        <v>1.8799999999999997E-2</v>
      </c>
      <c r="Q16" s="1572">
        <f t="shared" si="22"/>
        <v>1.26E-2</v>
      </c>
      <c r="R16" s="1560"/>
      <c r="S16" s="1664"/>
      <c r="T16" s="1559"/>
      <c r="U16" s="1559"/>
      <c r="V16" s="1559"/>
    </row>
    <row r="17" spans="1:32">
      <c r="A17" s="1552" t="s">
        <v>272</v>
      </c>
      <c r="B17" s="1562">
        <f t="shared" si="27"/>
        <v>322.34053690220776</v>
      </c>
      <c r="C17" s="1562">
        <f t="shared" si="27"/>
        <v>271.46160770422546</v>
      </c>
      <c r="D17" s="1562">
        <f t="shared" si="24"/>
        <v>271.46160770422546</v>
      </c>
      <c r="E17" s="1562">
        <f t="shared" si="28"/>
        <v>442.69434542172456</v>
      </c>
      <c r="F17" s="1562">
        <f t="shared" si="28"/>
        <v>241.34030753190925</v>
      </c>
      <c r="G17" s="1873"/>
      <c r="H17" s="1556">
        <v>2</v>
      </c>
      <c r="I17" s="1556">
        <v>0.77</v>
      </c>
      <c r="J17" s="1556">
        <v>0.69</v>
      </c>
      <c r="K17" s="1556">
        <v>0.8</v>
      </c>
      <c r="L17" s="1564">
        <v>0.88</v>
      </c>
      <c r="N17" s="1664">
        <f t="shared" si="26"/>
        <v>7.7000000000000002E-3</v>
      </c>
      <c r="O17" s="1572">
        <f t="shared" si="22"/>
        <v>6.8999999999999999E-3</v>
      </c>
      <c r="P17" s="1572">
        <f t="shared" si="22"/>
        <v>8.0000000000000002E-3</v>
      </c>
      <c r="Q17" s="1572">
        <f t="shared" si="22"/>
        <v>8.8000000000000005E-3</v>
      </c>
      <c r="R17" s="1560"/>
      <c r="S17" s="1664"/>
      <c r="T17" s="1559"/>
      <c r="U17" s="1559"/>
      <c r="V17" s="1559"/>
    </row>
    <row r="18" spans="1:32">
      <c r="A18" s="1552" t="s">
        <v>271</v>
      </c>
      <c r="B18" s="1562">
        <f t="shared" si="27"/>
        <v>319.87748030386797</v>
      </c>
      <c r="C18" s="1562">
        <f t="shared" si="27"/>
        <v>269.60135833173649</v>
      </c>
      <c r="D18" s="1562">
        <f t="shared" si="24"/>
        <v>269.60135833173649</v>
      </c>
      <c r="E18" s="1562">
        <f t="shared" si="28"/>
        <v>439.18089823583784</v>
      </c>
      <c r="F18" s="1562">
        <f t="shared" si="28"/>
        <v>239.23503918706311</v>
      </c>
      <c r="G18" s="1874"/>
      <c r="H18" s="1555">
        <v>1</v>
      </c>
      <c r="I18" s="1555">
        <v>0.51</v>
      </c>
      <c r="J18" s="1555">
        <v>0.54</v>
      </c>
      <c r="K18" s="1555">
        <v>0.48</v>
      </c>
      <c r="L18" s="1563">
        <v>0.93</v>
      </c>
      <c r="N18" s="1666">
        <f t="shared" si="26"/>
        <v>5.1000000000000004E-3</v>
      </c>
      <c r="O18" s="1565">
        <f t="shared" si="22"/>
        <v>5.4000000000000003E-3</v>
      </c>
      <c r="P18" s="1565">
        <f t="shared" si="22"/>
        <v>4.7999999999999996E-3</v>
      </c>
      <c r="Q18" s="1565">
        <f t="shared" si="22"/>
        <v>9.300000000000001E-3</v>
      </c>
      <c r="R18" s="1560"/>
      <c r="S18" s="1666">
        <f>B18/B19-1</f>
        <v>5.9040261127922822E-3</v>
      </c>
      <c r="T18" s="1565">
        <f>C18/C19-1</f>
        <v>5.9752176557332781E-3</v>
      </c>
      <c r="U18" s="1565">
        <f>E18/E19-1</f>
        <v>4.9906138119859556E-3</v>
      </c>
      <c r="V18" s="1565">
        <f>F18/F19-1</f>
        <v>9.4305450930933787E-3</v>
      </c>
      <c r="AC18" s="1566"/>
      <c r="AD18" s="1566"/>
      <c r="AE18" s="1566"/>
      <c r="AF18" s="1566"/>
    </row>
    <row r="19" spans="1:32" ht="13.5" thickBot="1">
      <c r="A19" s="1552" t="s">
        <v>270</v>
      </c>
      <c r="B19" s="1573">
        <v>318</v>
      </c>
      <c r="C19" s="1573">
        <v>268</v>
      </c>
      <c r="D19" s="1573">
        <f t="shared" si="24"/>
        <v>268</v>
      </c>
      <c r="E19" s="1573">
        <v>437</v>
      </c>
      <c r="F19" s="1657">
        <v>237</v>
      </c>
      <c r="G19" s="1872">
        <v>2014</v>
      </c>
      <c r="H19" s="1567">
        <v>4</v>
      </c>
      <c r="I19" s="1567">
        <v>0.21</v>
      </c>
      <c r="J19" s="1567">
        <v>0.41</v>
      </c>
      <c r="K19" s="1567">
        <v>0.12</v>
      </c>
      <c r="L19" s="1568">
        <v>0.89</v>
      </c>
      <c r="N19" s="1664">
        <f t="shared" si="26"/>
        <v>2.0999999999999999E-3</v>
      </c>
      <c r="O19" s="1559">
        <f t="shared" si="22"/>
        <v>4.0999999999999995E-3</v>
      </c>
      <c r="P19" s="1559">
        <f t="shared" si="22"/>
        <v>1.1999999999999999E-3</v>
      </c>
      <c r="Q19" s="1559">
        <f t="shared" si="22"/>
        <v>8.8999999999999999E-3</v>
      </c>
      <c r="R19" s="1560"/>
      <c r="S19" s="1674"/>
      <c r="T19" s="1561"/>
      <c r="U19" s="1561"/>
      <c r="V19" s="1561"/>
      <c r="AC19" s="1561"/>
      <c r="AD19" s="1561"/>
      <c r="AE19" s="1561"/>
      <c r="AF19" s="1561"/>
    </row>
    <row r="20" spans="1:32">
      <c r="A20" s="1552" t="s">
        <v>269</v>
      </c>
      <c r="B20" s="1562">
        <f t="shared" ref="B20:C22" si="29">B19/(1+N19)</f>
        <v>317.33359944117353</v>
      </c>
      <c r="C20" s="1562">
        <f t="shared" si="29"/>
        <v>266.90568668459315</v>
      </c>
      <c r="D20" s="1562">
        <f t="shared" si="24"/>
        <v>266.90568668459315</v>
      </c>
      <c r="E20" s="1562">
        <f t="shared" ref="E20:F22" si="30">E19/(1+P19)</f>
        <v>436.47622852576905</v>
      </c>
      <c r="F20" s="1562">
        <f t="shared" si="30"/>
        <v>234.90930716622066</v>
      </c>
      <c r="G20" s="1873"/>
      <c r="H20" s="1574">
        <v>3</v>
      </c>
      <c r="I20" s="1574">
        <v>0.83</v>
      </c>
      <c r="J20" s="1574">
        <v>1.47</v>
      </c>
      <c r="K20" s="1574">
        <v>0.65</v>
      </c>
      <c r="L20" s="1575">
        <v>0.72</v>
      </c>
      <c r="N20" s="1664">
        <f t="shared" si="26"/>
        <v>8.3000000000000001E-3</v>
      </c>
      <c r="O20" s="1559">
        <f t="shared" si="22"/>
        <v>1.47E-2</v>
      </c>
      <c r="P20" s="1559">
        <f t="shared" si="22"/>
        <v>6.5000000000000006E-3</v>
      </c>
      <c r="Q20" s="1559">
        <f t="shared" si="22"/>
        <v>7.1999999999999998E-3</v>
      </c>
      <c r="R20" s="1560"/>
      <c r="S20" s="1664"/>
      <c r="T20" s="1559"/>
      <c r="U20" s="1559"/>
      <c r="V20" s="1559"/>
    </row>
    <row r="21" spans="1:32" ht="13.5" thickBot="1">
      <c r="A21" s="1552" t="s">
        <v>268</v>
      </c>
      <c r="B21" s="1562">
        <f t="shared" si="29"/>
        <v>314.72141172386546</v>
      </c>
      <c r="C21" s="1562">
        <f t="shared" si="29"/>
        <v>263.03901319069001</v>
      </c>
      <c r="D21" s="1562">
        <f t="shared" si="24"/>
        <v>263.03901319069001</v>
      </c>
      <c r="E21" s="1562">
        <f t="shared" si="30"/>
        <v>433.65745506782821</v>
      </c>
      <c r="F21" s="1562">
        <f t="shared" si="30"/>
        <v>233.23005080045735</v>
      </c>
      <c r="G21" s="1873"/>
      <c r="H21" s="1567">
        <v>2</v>
      </c>
      <c r="I21" s="1567">
        <v>2.4</v>
      </c>
      <c r="J21" s="1567">
        <v>2.0299999999999998</v>
      </c>
      <c r="K21" s="1567">
        <v>2.59</v>
      </c>
      <c r="L21" s="1568">
        <v>1.52</v>
      </c>
      <c r="N21" s="1664">
        <f t="shared" si="26"/>
        <v>2.4E-2</v>
      </c>
      <c r="O21" s="1559">
        <f t="shared" si="22"/>
        <v>2.0299999999999999E-2</v>
      </c>
      <c r="P21" s="1559">
        <f t="shared" si="22"/>
        <v>2.5899999999999999E-2</v>
      </c>
      <c r="Q21" s="1559">
        <f t="shared" si="22"/>
        <v>1.52E-2</v>
      </c>
      <c r="R21" s="1560"/>
      <c r="S21" s="1664"/>
      <c r="T21" s="1559"/>
      <c r="U21" s="1559"/>
      <c r="V21" s="1559"/>
    </row>
    <row r="22" spans="1:32" s="1621" customFormat="1" ht="13.5" thickBot="1">
      <c r="A22" s="1617" t="s">
        <v>267</v>
      </c>
      <c r="B22" s="1618">
        <f t="shared" si="29"/>
        <v>307.34512863658733</v>
      </c>
      <c r="C22" s="1618">
        <f t="shared" si="29"/>
        <v>257.80556031626975</v>
      </c>
      <c r="D22" s="1618">
        <f t="shared" si="24"/>
        <v>257.80556031626975</v>
      </c>
      <c r="E22" s="1618">
        <f t="shared" si="30"/>
        <v>422.70928459677179</v>
      </c>
      <c r="F22" s="1618">
        <f t="shared" si="30"/>
        <v>229.73803270336617</v>
      </c>
      <c r="G22" s="1874"/>
      <c r="H22" s="1619">
        <v>1</v>
      </c>
      <c r="I22" s="1619">
        <v>2.97</v>
      </c>
      <c r="J22" s="1619">
        <v>2.34</v>
      </c>
      <c r="K22" s="1619">
        <v>3.28</v>
      </c>
      <c r="L22" s="1620">
        <v>1.36</v>
      </c>
      <c r="N22" s="1667">
        <f t="shared" si="26"/>
        <v>2.9700000000000001E-2</v>
      </c>
      <c r="O22" s="1622">
        <f t="shared" si="22"/>
        <v>2.3399999999999997E-2</v>
      </c>
      <c r="P22" s="1622">
        <f t="shared" si="22"/>
        <v>3.2799999999999996E-2</v>
      </c>
      <c r="Q22" s="1622">
        <f t="shared" si="22"/>
        <v>1.3600000000000001E-2</v>
      </c>
      <c r="R22" s="1623"/>
      <c r="S22" s="1675">
        <f>B22/B23-1</f>
        <v>2.7910129219355539E-2</v>
      </c>
      <c r="T22" s="1624">
        <f>C22/C23-1</f>
        <v>2.3037937762975247E-2</v>
      </c>
      <c r="U22" s="1624">
        <f>E22/E23-1</f>
        <v>3.3519033243940788E-2</v>
      </c>
      <c r="V22" s="1624">
        <f>F22/F23-1</f>
        <v>1.2061818076502862E-2</v>
      </c>
      <c r="AC22" s="1625"/>
      <c r="AD22" s="1625"/>
      <c r="AE22" s="1625"/>
      <c r="AF22" s="1625"/>
    </row>
    <row r="23" spans="1:32" ht="13.5" thickBot="1">
      <c r="A23" s="1552" t="s">
        <v>1659</v>
      </c>
      <c r="B23" s="1557">
        <v>299</v>
      </c>
      <c r="C23" s="1557">
        <v>252</v>
      </c>
      <c r="D23" s="1557">
        <f t="shared" si="24"/>
        <v>252</v>
      </c>
      <c r="E23" s="1557">
        <v>409</v>
      </c>
      <c r="F23" s="1656">
        <v>227</v>
      </c>
      <c r="G23" s="1876">
        <v>2013</v>
      </c>
      <c r="H23" s="1576">
        <v>4</v>
      </c>
      <c r="I23" s="1576">
        <v>1.83</v>
      </c>
      <c r="J23" s="1576">
        <v>1.68</v>
      </c>
      <c r="K23" s="1576">
        <v>1.97</v>
      </c>
      <c r="L23" s="1577">
        <v>0.87</v>
      </c>
      <c r="N23" s="1665">
        <f t="shared" si="26"/>
        <v>1.83E-2</v>
      </c>
      <c r="O23" s="1569">
        <f t="shared" si="22"/>
        <v>1.6799999999999999E-2</v>
      </c>
      <c r="P23" s="1569">
        <f t="shared" si="22"/>
        <v>1.9699999999999999E-2</v>
      </c>
      <c r="Q23" s="1569">
        <f t="shared" si="22"/>
        <v>8.6999999999999994E-3</v>
      </c>
      <c r="R23" s="1560"/>
      <c r="S23" s="1674"/>
      <c r="T23" s="1561"/>
      <c r="U23" s="1561"/>
      <c r="V23" s="1561"/>
      <c r="AC23" s="1561"/>
      <c r="AD23" s="1561"/>
      <c r="AE23" s="1561"/>
      <c r="AF23" s="1561"/>
    </row>
    <row r="24" spans="1:32">
      <c r="A24" s="1552" t="s">
        <v>1660</v>
      </c>
      <c r="B24" s="1562">
        <f t="shared" ref="B24:C26" si="31">B23/(1+N23)</f>
        <v>293.62663262299913</v>
      </c>
      <c r="C24" s="1562">
        <f t="shared" si="31"/>
        <v>247.83634933123525</v>
      </c>
      <c r="D24" s="1562">
        <f t="shared" si="24"/>
        <v>247.83634933123525</v>
      </c>
      <c r="E24" s="1562">
        <f t="shared" ref="E24:F26" si="32">E23/(1+P23)</f>
        <v>401.09836226341076</v>
      </c>
      <c r="F24" s="1562">
        <f t="shared" si="32"/>
        <v>225.04213343908003</v>
      </c>
      <c r="G24" s="1877"/>
      <c r="H24" s="1570">
        <v>3</v>
      </c>
      <c r="I24" s="1570">
        <v>1.86</v>
      </c>
      <c r="J24" s="1570">
        <v>1.72</v>
      </c>
      <c r="K24" s="1570">
        <v>1.98</v>
      </c>
      <c r="L24" s="1571">
        <v>0.88</v>
      </c>
      <c r="N24" s="1664">
        <f t="shared" si="26"/>
        <v>1.8600000000000002E-2</v>
      </c>
      <c r="O24" s="1572">
        <f t="shared" si="22"/>
        <v>1.72E-2</v>
      </c>
      <c r="P24" s="1572">
        <f t="shared" si="22"/>
        <v>1.9799999999999998E-2</v>
      </c>
      <c r="Q24" s="1572">
        <f t="shared" si="22"/>
        <v>8.8000000000000005E-3</v>
      </c>
      <c r="R24" s="1560"/>
      <c r="S24" s="1664"/>
      <c r="T24" s="1559"/>
      <c r="U24" s="1559"/>
      <c r="V24" s="1559"/>
    </row>
    <row r="25" spans="1:32">
      <c r="A25" s="1552" t="s">
        <v>1661</v>
      </c>
      <c r="B25" s="1562">
        <f t="shared" si="31"/>
        <v>288.2649053828776</v>
      </c>
      <c r="C25" s="1562">
        <f t="shared" si="31"/>
        <v>243.64564425013293</v>
      </c>
      <c r="D25" s="1562">
        <f t="shared" si="24"/>
        <v>243.64564425013293</v>
      </c>
      <c r="E25" s="1562">
        <f t="shared" si="32"/>
        <v>393.31080825986544</v>
      </c>
      <c r="F25" s="1562">
        <f t="shared" si="32"/>
        <v>223.07903790551154</v>
      </c>
      <c r="G25" s="1877"/>
      <c r="H25" s="1556">
        <v>2</v>
      </c>
      <c r="I25" s="1556">
        <v>2.04</v>
      </c>
      <c r="J25" s="1556">
        <v>2.33</v>
      </c>
      <c r="K25" s="1556">
        <v>2.0699999999999998</v>
      </c>
      <c r="L25" s="1564">
        <v>0.69</v>
      </c>
      <c r="N25" s="1664">
        <f t="shared" si="26"/>
        <v>2.0400000000000001E-2</v>
      </c>
      <c r="O25" s="1572">
        <f t="shared" si="22"/>
        <v>2.3300000000000001E-2</v>
      </c>
      <c r="P25" s="1572">
        <f t="shared" si="22"/>
        <v>2.07E-2</v>
      </c>
      <c r="Q25" s="1572">
        <f t="shared" si="22"/>
        <v>6.8999999999999999E-3</v>
      </c>
      <c r="R25" s="1560"/>
      <c r="S25" s="1664"/>
      <c r="T25" s="1559"/>
      <c r="U25" s="1559"/>
      <c r="V25" s="1559"/>
    </row>
    <row r="26" spans="1:32">
      <c r="A26" s="1552" t="s">
        <v>1662</v>
      </c>
      <c r="B26" s="1562">
        <f t="shared" si="31"/>
        <v>282.50186729015837</v>
      </c>
      <c r="C26" s="1562">
        <f t="shared" si="31"/>
        <v>238.09796174155468</v>
      </c>
      <c r="D26" s="1562">
        <f t="shared" si="24"/>
        <v>238.09796174155468</v>
      </c>
      <c r="E26" s="1562">
        <f t="shared" si="32"/>
        <v>385.33438646014054</v>
      </c>
      <c r="F26" s="1562">
        <f t="shared" si="32"/>
        <v>221.55034055567739</v>
      </c>
      <c r="G26" s="1878"/>
      <c r="H26" s="1555">
        <v>1</v>
      </c>
      <c r="I26" s="1555">
        <v>1.67</v>
      </c>
      <c r="J26" s="1555">
        <v>1.31</v>
      </c>
      <c r="K26" s="1555">
        <v>1.85</v>
      </c>
      <c r="L26" s="1563">
        <v>0.96</v>
      </c>
      <c r="N26" s="1666">
        <f t="shared" si="26"/>
        <v>1.67E-2</v>
      </c>
      <c r="O26" s="1565">
        <f t="shared" si="22"/>
        <v>1.3100000000000001E-2</v>
      </c>
      <c r="P26" s="1565">
        <f t="shared" si="22"/>
        <v>1.8500000000000003E-2</v>
      </c>
      <c r="Q26" s="1565">
        <f t="shared" si="22"/>
        <v>9.5999999999999992E-3</v>
      </c>
      <c r="R26" s="1560"/>
      <c r="S26" s="1666">
        <f>B26/B27-1</f>
        <v>1.6193767230785472E-2</v>
      </c>
      <c r="T26" s="1565">
        <f>C26/C27-1</f>
        <v>1.7512657015190891E-2</v>
      </c>
      <c r="U26" s="1565">
        <f>E26/E27-1</f>
        <v>1.6713420739157048E-2</v>
      </c>
      <c r="V26" s="1565">
        <f>F26/F27-1</f>
        <v>7.0470025258062563E-3</v>
      </c>
      <c r="AC26" s="1566"/>
      <c r="AD26" s="1566"/>
      <c r="AE26" s="1566"/>
      <c r="AF26" s="1566"/>
    </row>
    <row r="27" spans="1:32" ht="13.5" thickBot="1">
      <c r="A27" s="1552" t="s">
        <v>1663</v>
      </c>
      <c r="B27" s="1578">
        <v>278</v>
      </c>
      <c r="C27" s="1578">
        <v>234</v>
      </c>
      <c r="D27" s="1578">
        <f t="shared" si="24"/>
        <v>234</v>
      </c>
      <c r="E27" s="1578">
        <v>379</v>
      </c>
      <c r="F27" s="1658">
        <v>220</v>
      </c>
      <c r="G27" s="1872">
        <v>2012</v>
      </c>
      <c r="H27" s="1567">
        <v>4</v>
      </c>
      <c r="I27" s="1567">
        <v>0.91</v>
      </c>
      <c r="J27" s="1567">
        <v>0.68</v>
      </c>
      <c r="K27" s="1567">
        <v>0.98</v>
      </c>
      <c r="L27" s="1568">
        <v>0.9</v>
      </c>
      <c r="N27" s="1664">
        <f t="shared" si="26"/>
        <v>9.1000000000000004E-3</v>
      </c>
      <c r="O27" s="1559">
        <f t="shared" si="26"/>
        <v>6.8000000000000005E-3</v>
      </c>
      <c r="P27" s="1559">
        <f t="shared" si="26"/>
        <v>9.7999999999999997E-3</v>
      </c>
      <c r="Q27" s="1559">
        <f t="shared" si="26"/>
        <v>9.0000000000000011E-3</v>
      </c>
      <c r="R27" s="1560"/>
      <c r="S27" s="1674"/>
      <c r="T27" s="1561"/>
      <c r="U27" s="1561"/>
      <c r="V27" s="1561"/>
      <c r="AC27" s="1561"/>
      <c r="AD27" s="1561"/>
      <c r="AE27" s="1561"/>
      <c r="AF27" s="1561"/>
    </row>
    <row r="28" spans="1:32">
      <c r="A28" s="1552" t="s">
        <v>1664</v>
      </c>
      <c r="B28" s="1562">
        <f>B27/(1+N27)</f>
        <v>275.49301357645425</v>
      </c>
      <c r="C28" s="1562">
        <f>C27/(1+O27)</f>
        <v>232.41954707985698</v>
      </c>
      <c r="D28" s="1562">
        <f t="shared" si="24"/>
        <v>232.41954707985698</v>
      </c>
      <c r="E28" s="1562">
        <f t="shared" ref="E28:F30" si="33">E27/(1+P27)</f>
        <v>375.32184591008121</v>
      </c>
      <c r="F28" s="1562">
        <f t="shared" si="33"/>
        <v>218.03766105054513</v>
      </c>
      <c r="G28" s="1873"/>
      <c r="H28" s="1570">
        <v>3</v>
      </c>
      <c r="I28" s="1570">
        <v>0.09</v>
      </c>
      <c r="J28" s="1570">
        <v>0.28999999999999998</v>
      </c>
      <c r="K28" s="1570">
        <v>-0.01</v>
      </c>
      <c r="L28" s="1571">
        <v>0.57999999999999996</v>
      </c>
      <c r="N28" s="1664">
        <f t="shared" si="26"/>
        <v>8.9999999999999998E-4</v>
      </c>
      <c r="O28" s="1559">
        <f t="shared" si="26"/>
        <v>2.8999999999999998E-3</v>
      </c>
      <c r="P28" s="1559">
        <f t="shared" si="26"/>
        <v>-1E-4</v>
      </c>
      <c r="Q28" s="1559">
        <f t="shared" si="26"/>
        <v>5.7999999999999996E-3</v>
      </c>
      <c r="R28" s="1560"/>
      <c r="S28" s="1664"/>
      <c r="T28" s="1559"/>
      <c r="U28" s="1559"/>
      <c r="V28" s="1559"/>
    </row>
    <row r="29" spans="1:32">
      <c r="A29" s="1552" t="s">
        <v>1665</v>
      </c>
      <c r="B29" s="1562">
        <f>B28/(1+N28)</f>
        <v>275.24529281292263</v>
      </c>
      <c r="C29" s="1562">
        <f>C28/(1+O28)</f>
        <v>231.74747938962707</v>
      </c>
      <c r="D29" s="1562">
        <f t="shared" si="24"/>
        <v>231.74747938962707</v>
      </c>
      <c r="E29" s="1562">
        <f t="shared" si="33"/>
        <v>375.35938184826603</v>
      </c>
      <c r="F29" s="1562">
        <f t="shared" si="33"/>
        <v>216.78033510692495</v>
      </c>
      <c r="G29" s="1873"/>
      <c r="H29" s="1556">
        <v>2</v>
      </c>
      <c r="I29" s="1556">
        <v>0.02</v>
      </c>
      <c r="J29" s="1556">
        <v>0.12</v>
      </c>
      <c r="K29" s="1556">
        <v>-0.08</v>
      </c>
      <c r="L29" s="1564">
        <v>1.24</v>
      </c>
      <c r="N29" s="1664">
        <f t="shared" si="26"/>
        <v>2.0000000000000001E-4</v>
      </c>
      <c r="O29" s="1559">
        <f t="shared" si="26"/>
        <v>1.1999999999999999E-3</v>
      </c>
      <c r="P29" s="1559">
        <f t="shared" si="26"/>
        <v>-8.0000000000000004E-4</v>
      </c>
      <c r="Q29" s="1559">
        <f t="shared" si="26"/>
        <v>1.24E-2</v>
      </c>
      <c r="R29" s="1560"/>
      <c r="S29" s="1664"/>
      <c r="T29" s="1559"/>
      <c r="U29" s="1559"/>
      <c r="V29" s="1559"/>
    </row>
    <row r="30" spans="1:32" ht="13.5" thickBot="1">
      <c r="A30" s="1552" t="s">
        <v>1666</v>
      </c>
      <c r="B30" s="1562">
        <f>B29/(1+N29)</f>
        <v>275.19025476197027</v>
      </c>
      <c r="C30" s="1579">
        <v>232</v>
      </c>
      <c r="D30" s="1579">
        <f t="shared" si="24"/>
        <v>232</v>
      </c>
      <c r="E30" s="1562">
        <f t="shared" si="33"/>
        <v>375.65990977608692</v>
      </c>
      <c r="F30" s="1562">
        <f t="shared" si="33"/>
        <v>214.12518283971252</v>
      </c>
      <c r="G30" s="1874"/>
      <c r="H30" s="1555">
        <v>1</v>
      </c>
      <c r="I30" s="1555">
        <v>0.02</v>
      </c>
      <c r="J30" s="1555">
        <v>0.13</v>
      </c>
      <c r="K30" s="1555">
        <v>-0.04</v>
      </c>
      <c r="L30" s="1563">
        <v>0.46</v>
      </c>
      <c r="N30" s="1664">
        <f t="shared" si="26"/>
        <v>2.0000000000000001E-4</v>
      </c>
      <c r="O30" s="1559">
        <f t="shared" si="26"/>
        <v>1.2999999999999999E-3</v>
      </c>
      <c r="P30" s="1559">
        <f t="shared" si="26"/>
        <v>-4.0000000000000002E-4</v>
      </c>
      <c r="Q30" s="1559">
        <f t="shared" si="26"/>
        <v>4.5999999999999999E-3</v>
      </c>
      <c r="R30" s="1560"/>
      <c r="S30" s="1666">
        <f>B30/B31-1</f>
        <v>6.9183549807361189E-4</v>
      </c>
      <c r="T30" s="1565">
        <f>C30/C31-1</f>
        <v>0</v>
      </c>
      <c r="U30" s="1565">
        <f>E30/E31-1</f>
        <v>-9.0449527636460303E-4</v>
      </c>
      <c r="V30" s="1565">
        <f>F30/F31-1</f>
        <v>5.2825485432512753E-3</v>
      </c>
      <c r="AC30" s="1566"/>
      <c r="AD30" s="1566"/>
      <c r="AE30" s="1566"/>
      <c r="AF30" s="1566"/>
    </row>
    <row r="31" spans="1:32" ht="13.5" thickBot="1">
      <c r="A31" s="1552" t="s">
        <v>1667</v>
      </c>
      <c r="B31" s="1557">
        <v>275</v>
      </c>
      <c r="C31" s="1557">
        <v>232</v>
      </c>
      <c r="D31" s="1557">
        <f t="shared" si="24"/>
        <v>232</v>
      </c>
      <c r="E31" s="1557">
        <v>376</v>
      </c>
      <c r="F31" s="1656">
        <v>213</v>
      </c>
      <c r="G31" s="1872">
        <v>2011</v>
      </c>
      <c r="H31" s="1567">
        <v>4</v>
      </c>
      <c r="I31" s="1567">
        <v>-0.2</v>
      </c>
      <c r="J31" s="1567">
        <v>0.04</v>
      </c>
      <c r="K31" s="1567">
        <v>-0.34</v>
      </c>
      <c r="L31" s="1568">
        <v>0.46</v>
      </c>
      <c r="N31" s="1665">
        <f t="shared" si="26"/>
        <v>-2E-3</v>
      </c>
      <c r="O31" s="1569">
        <f t="shared" si="26"/>
        <v>4.0000000000000002E-4</v>
      </c>
      <c r="P31" s="1569">
        <f t="shared" si="26"/>
        <v>-3.4000000000000002E-3</v>
      </c>
      <c r="Q31" s="1569">
        <f t="shared" si="26"/>
        <v>4.5999999999999999E-3</v>
      </c>
      <c r="R31" s="1560"/>
      <c r="S31" s="1674"/>
      <c r="T31" s="1561"/>
      <c r="U31" s="1561"/>
      <c r="V31" s="1561"/>
      <c r="AC31" s="1561"/>
      <c r="AD31" s="1561"/>
      <c r="AE31" s="1561"/>
      <c r="AF31" s="1561"/>
    </row>
    <row r="32" spans="1:32">
      <c r="A32" s="1552" t="s">
        <v>1668</v>
      </c>
      <c r="B32" s="1562">
        <f t="shared" ref="B32:C34" si="34">B31/(1+N31)</f>
        <v>275.55110220440883</v>
      </c>
      <c r="C32" s="1562">
        <f t="shared" si="34"/>
        <v>231.90723710515795</v>
      </c>
      <c r="D32" s="1562">
        <f t="shared" si="24"/>
        <v>231.90723710515795</v>
      </c>
      <c r="E32" s="1562">
        <f t="shared" ref="E32:F34" si="35">E31/(1+P31)</f>
        <v>377.28276138872161</v>
      </c>
      <c r="F32" s="1562">
        <f t="shared" si="35"/>
        <v>212.02468644236512</v>
      </c>
      <c r="G32" s="1873">
        <v>2011</v>
      </c>
      <c r="H32" s="1570">
        <v>3</v>
      </c>
      <c r="I32" s="1570">
        <v>0.13</v>
      </c>
      <c r="J32" s="1570">
        <v>0.75</v>
      </c>
      <c r="K32" s="1570">
        <v>-0.08</v>
      </c>
      <c r="L32" s="1571">
        <v>0.53</v>
      </c>
      <c r="N32" s="1664">
        <f t="shared" si="26"/>
        <v>1.2999999999999999E-3</v>
      </c>
      <c r="O32" s="1572">
        <f t="shared" si="26"/>
        <v>7.4999999999999997E-3</v>
      </c>
      <c r="P32" s="1572">
        <f t="shared" si="26"/>
        <v>-8.0000000000000004E-4</v>
      </c>
      <c r="Q32" s="1572">
        <f t="shared" si="26"/>
        <v>5.3E-3</v>
      </c>
      <c r="R32" s="1560"/>
      <c r="S32" s="1664"/>
      <c r="T32" s="1559"/>
      <c r="U32" s="1559"/>
      <c r="V32" s="1559"/>
    </row>
    <row r="33" spans="1:32">
      <c r="A33" s="1552" t="s">
        <v>1669</v>
      </c>
      <c r="B33" s="1562">
        <f t="shared" si="34"/>
        <v>275.19335084830601</v>
      </c>
      <c r="C33" s="1562">
        <f t="shared" si="34"/>
        <v>230.18088050139744</v>
      </c>
      <c r="D33" s="1562">
        <f t="shared" si="24"/>
        <v>230.18088050139744</v>
      </c>
      <c r="E33" s="1562">
        <f t="shared" si="35"/>
        <v>377.58482925212331</v>
      </c>
      <c r="F33" s="1562">
        <f t="shared" si="35"/>
        <v>210.90687997847917</v>
      </c>
      <c r="G33" s="1873">
        <v>2011</v>
      </c>
      <c r="H33" s="1556">
        <v>2</v>
      </c>
      <c r="I33" s="1556">
        <v>-0.4</v>
      </c>
      <c r="J33" s="1556">
        <v>0.17</v>
      </c>
      <c r="K33" s="1556">
        <v>-0.57999999999999996</v>
      </c>
      <c r="L33" s="1564">
        <v>-0.2</v>
      </c>
      <c r="N33" s="1664">
        <f t="shared" si="26"/>
        <v>-4.0000000000000001E-3</v>
      </c>
      <c r="O33" s="1572">
        <f t="shared" si="26"/>
        <v>1.7000000000000001E-3</v>
      </c>
      <c r="P33" s="1572">
        <f t="shared" si="26"/>
        <v>-5.7999999999999996E-3</v>
      </c>
      <c r="Q33" s="1572">
        <f t="shared" si="26"/>
        <v>-2E-3</v>
      </c>
      <c r="R33" s="1560"/>
      <c r="S33" s="1664"/>
      <c r="T33" s="1559"/>
      <c r="U33" s="1559"/>
      <c r="V33" s="1559"/>
    </row>
    <row r="34" spans="1:32" ht="13.5" thickBot="1">
      <c r="A34" s="1552" t="s">
        <v>1670</v>
      </c>
      <c r="B34" s="1562">
        <f t="shared" si="34"/>
        <v>276.29854502841971</v>
      </c>
      <c r="C34" s="1562">
        <f t="shared" si="34"/>
        <v>229.79023709833027</v>
      </c>
      <c r="D34" s="1562">
        <f t="shared" si="24"/>
        <v>229.79023709833027</v>
      </c>
      <c r="E34" s="1562">
        <f t="shared" si="35"/>
        <v>379.78759731655936</v>
      </c>
      <c r="F34" s="1562">
        <f t="shared" si="35"/>
        <v>211.32953905659235</v>
      </c>
      <c r="G34" s="1874">
        <v>2011</v>
      </c>
      <c r="H34" s="1555">
        <v>1</v>
      </c>
      <c r="I34" s="1555">
        <v>2.65</v>
      </c>
      <c r="J34" s="1555">
        <v>3.76</v>
      </c>
      <c r="K34" s="1555">
        <v>1.89</v>
      </c>
      <c r="L34" s="1563">
        <v>7.95</v>
      </c>
      <c r="N34" s="1666">
        <f t="shared" si="26"/>
        <v>2.6499999999999999E-2</v>
      </c>
      <c r="O34" s="1565">
        <f t="shared" si="26"/>
        <v>3.7599999999999995E-2</v>
      </c>
      <c r="P34" s="1565">
        <f t="shared" si="26"/>
        <v>1.89E-2</v>
      </c>
      <c r="Q34" s="1565">
        <f t="shared" si="26"/>
        <v>7.9500000000000001E-2</v>
      </c>
      <c r="R34" s="1560"/>
      <c r="S34" s="1666">
        <f>B34/B35-1</f>
        <v>2.713213765211786E-2</v>
      </c>
      <c r="T34" s="1565">
        <f>C34/C35-1</f>
        <v>3.9774828499231862E-2</v>
      </c>
      <c r="U34" s="1565">
        <f>E34/E35-1</f>
        <v>1.8197311840641772E-2</v>
      </c>
      <c r="V34" s="1565">
        <f>F34/F35-1</f>
        <v>7.8211933962205826E-2</v>
      </c>
      <c r="AC34" s="1566"/>
      <c r="AD34" s="1566"/>
      <c r="AE34" s="1566"/>
      <c r="AF34" s="1566"/>
    </row>
    <row r="35" spans="1:32" ht="13.5" thickBot="1">
      <c r="A35" s="1552" t="s">
        <v>1671</v>
      </c>
      <c r="B35" s="1557">
        <v>269</v>
      </c>
      <c r="C35" s="1557">
        <v>221</v>
      </c>
      <c r="D35" s="1557">
        <f t="shared" si="24"/>
        <v>221</v>
      </c>
      <c r="E35" s="1557">
        <v>373</v>
      </c>
      <c r="F35" s="1656">
        <v>196</v>
      </c>
      <c r="G35" s="1872">
        <v>2010</v>
      </c>
      <c r="H35" s="1567">
        <v>4</v>
      </c>
      <c r="I35" s="1567">
        <v>5.72</v>
      </c>
      <c r="J35" s="1567">
        <v>6.57</v>
      </c>
      <c r="K35" s="1567">
        <v>5.72</v>
      </c>
      <c r="L35" s="1568">
        <v>2.72</v>
      </c>
      <c r="N35" s="1664">
        <f t="shared" si="26"/>
        <v>5.7200000000000001E-2</v>
      </c>
      <c r="O35" s="1559">
        <f t="shared" si="26"/>
        <v>6.5700000000000008E-2</v>
      </c>
      <c r="P35" s="1559">
        <f t="shared" si="26"/>
        <v>5.7200000000000001E-2</v>
      </c>
      <c r="Q35" s="1559">
        <f t="shared" si="26"/>
        <v>2.7200000000000002E-2</v>
      </c>
      <c r="R35" s="1560"/>
      <c r="S35" s="1674"/>
      <c r="T35" s="1561"/>
      <c r="U35" s="1561"/>
      <c r="V35" s="1561"/>
      <c r="AC35" s="1561"/>
      <c r="AD35" s="1561"/>
      <c r="AE35" s="1561"/>
      <c r="AF35" s="1561"/>
    </row>
    <row r="36" spans="1:32">
      <c r="A36" s="1552" t="s">
        <v>1672</v>
      </c>
      <c r="B36" s="1562">
        <f t="shared" ref="B36:C38" si="36">B35/(1+N35)</f>
        <v>254.44570563753314</v>
      </c>
      <c r="C36" s="1562">
        <f t="shared" si="36"/>
        <v>207.37543398705074</v>
      </c>
      <c r="D36" s="1562">
        <f t="shared" si="24"/>
        <v>207.37543398705074</v>
      </c>
      <c r="E36" s="1562">
        <f t="shared" ref="E36:F38" si="37">E35/(1+P35)</f>
        <v>352.81876655315932</v>
      </c>
      <c r="F36" s="1562">
        <f t="shared" si="37"/>
        <v>190.809968847352</v>
      </c>
      <c r="G36" s="1873">
        <v>2010</v>
      </c>
      <c r="H36" s="1570">
        <v>3</v>
      </c>
      <c r="I36" s="1570">
        <v>4.7300000000000004</v>
      </c>
      <c r="J36" s="1570">
        <v>3.9</v>
      </c>
      <c r="K36" s="1570">
        <v>5.03</v>
      </c>
      <c r="L36" s="1571">
        <v>4.21</v>
      </c>
      <c r="N36" s="1664">
        <f t="shared" si="26"/>
        <v>4.7300000000000002E-2</v>
      </c>
      <c r="O36" s="1559">
        <f t="shared" si="26"/>
        <v>3.9E-2</v>
      </c>
      <c r="P36" s="1559">
        <f t="shared" si="26"/>
        <v>5.0300000000000004E-2</v>
      </c>
      <c r="Q36" s="1559">
        <f t="shared" si="26"/>
        <v>4.2099999999999999E-2</v>
      </c>
      <c r="R36" s="1560"/>
      <c r="S36" s="1664"/>
      <c r="T36" s="1559"/>
      <c r="U36" s="1559"/>
      <c r="V36" s="1559"/>
    </row>
    <row r="37" spans="1:32">
      <c r="A37" s="1552" t="s">
        <v>1673</v>
      </c>
      <c r="B37" s="1562">
        <f t="shared" si="36"/>
        <v>242.95398227588385</v>
      </c>
      <c r="C37" s="1562">
        <f t="shared" si="36"/>
        <v>199.59137053614126</v>
      </c>
      <c r="D37" s="1562">
        <f t="shared" si="24"/>
        <v>199.59137053614126</v>
      </c>
      <c r="E37" s="1562">
        <f t="shared" si="37"/>
        <v>335.92189522342125</v>
      </c>
      <c r="F37" s="1562">
        <f t="shared" si="37"/>
        <v>183.10139991109489</v>
      </c>
      <c r="G37" s="1873">
        <v>2010</v>
      </c>
      <c r="H37" s="1556">
        <v>2</v>
      </c>
      <c r="I37" s="1556">
        <v>4.6900000000000004</v>
      </c>
      <c r="J37" s="1556">
        <v>3.55</v>
      </c>
      <c r="K37" s="1556">
        <v>5.07</v>
      </c>
      <c r="L37" s="1564">
        <v>4.2300000000000004</v>
      </c>
      <c r="N37" s="1664">
        <f t="shared" si="26"/>
        <v>4.6900000000000004E-2</v>
      </c>
      <c r="O37" s="1559">
        <f t="shared" si="26"/>
        <v>3.5499999999999997E-2</v>
      </c>
      <c r="P37" s="1559">
        <f t="shared" si="26"/>
        <v>5.0700000000000002E-2</v>
      </c>
      <c r="Q37" s="1559">
        <f t="shared" si="26"/>
        <v>4.2300000000000004E-2</v>
      </c>
      <c r="R37" s="1560"/>
      <c r="S37" s="1664"/>
      <c r="T37" s="1559"/>
      <c r="U37" s="1559"/>
      <c r="V37" s="1559"/>
    </row>
    <row r="38" spans="1:32" ht="13.5" thickBot="1">
      <c r="A38" s="1552" t="s">
        <v>1674</v>
      </c>
      <c r="B38" s="1562">
        <f t="shared" si="36"/>
        <v>232.06990378821649</v>
      </c>
      <c r="C38" s="1562">
        <f t="shared" si="36"/>
        <v>192.74878854286936</v>
      </c>
      <c r="D38" s="1562">
        <f t="shared" si="24"/>
        <v>192.74878854286936</v>
      </c>
      <c r="E38" s="1562">
        <f t="shared" si="37"/>
        <v>319.71247284992984</v>
      </c>
      <c r="F38" s="1562">
        <f t="shared" si="37"/>
        <v>175.67053622862409</v>
      </c>
      <c r="G38" s="1874">
        <v>2010</v>
      </c>
      <c r="H38" s="1555">
        <v>1</v>
      </c>
      <c r="I38" s="1555">
        <v>5.4</v>
      </c>
      <c r="J38" s="1555">
        <v>3.2</v>
      </c>
      <c r="K38" s="1555">
        <v>6.16</v>
      </c>
      <c r="L38" s="1563">
        <v>4.51</v>
      </c>
      <c r="N38" s="1664">
        <f t="shared" si="26"/>
        <v>5.4000000000000006E-2</v>
      </c>
      <c r="O38" s="1559">
        <f t="shared" si="26"/>
        <v>3.2000000000000001E-2</v>
      </c>
      <c r="P38" s="1559">
        <f t="shared" si="26"/>
        <v>6.1600000000000002E-2</v>
      </c>
      <c r="Q38" s="1559">
        <f t="shared" si="26"/>
        <v>4.5100000000000001E-2</v>
      </c>
      <c r="R38" s="1560"/>
      <c r="S38" s="1666">
        <f>B38/B39-1</f>
        <v>5.4863199037347599E-2</v>
      </c>
      <c r="T38" s="1565">
        <f>C38/C39-1</f>
        <v>3.0742184721226584E-2</v>
      </c>
      <c r="U38" s="1565">
        <f>E38/E39-1</f>
        <v>6.2167683886810154E-2</v>
      </c>
      <c r="V38" s="1565">
        <f>F38/F39-1</f>
        <v>4.5657953741810031E-2</v>
      </c>
      <c r="AC38" s="1566"/>
      <c r="AD38" s="1566"/>
      <c r="AE38" s="1566"/>
      <c r="AF38" s="1566"/>
    </row>
    <row r="39" spans="1:32" ht="13.5" thickBot="1">
      <c r="A39" s="1552" t="s">
        <v>1675</v>
      </c>
      <c r="B39" s="1557">
        <v>220</v>
      </c>
      <c r="C39" s="1557">
        <v>187</v>
      </c>
      <c r="D39" s="1557">
        <f t="shared" si="24"/>
        <v>187</v>
      </c>
      <c r="E39" s="1557">
        <v>301</v>
      </c>
      <c r="F39" s="1656">
        <v>168</v>
      </c>
      <c r="G39" s="1872">
        <v>2009</v>
      </c>
      <c r="H39" s="1567">
        <v>4</v>
      </c>
      <c r="I39" s="1567">
        <v>2.2999999999999998</v>
      </c>
      <c r="J39" s="1567">
        <v>1.04</v>
      </c>
      <c r="K39" s="1567">
        <v>2.84</v>
      </c>
      <c r="L39" s="1568">
        <v>0.67</v>
      </c>
      <c r="N39" s="1665">
        <f t="shared" si="26"/>
        <v>2.3E-2</v>
      </c>
      <c r="O39" s="1569">
        <f t="shared" si="26"/>
        <v>1.04E-2</v>
      </c>
      <c r="P39" s="1569">
        <f t="shared" si="26"/>
        <v>2.8399999999999998E-2</v>
      </c>
      <c r="Q39" s="1569">
        <f t="shared" si="26"/>
        <v>6.7000000000000002E-3</v>
      </c>
      <c r="R39" s="1560"/>
      <c r="S39" s="1674"/>
      <c r="T39" s="1561"/>
      <c r="U39" s="1561"/>
      <c r="V39" s="1561"/>
      <c r="AC39" s="1561"/>
      <c r="AD39" s="1561"/>
      <c r="AE39" s="1561"/>
      <c r="AF39" s="1561"/>
    </row>
    <row r="40" spans="1:32">
      <c r="A40" s="1552" t="s">
        <v>1676</v>
      </c>
      <c r="B40" s="1562">
        <f t="shared" ref="B40:C42" si="38">B39/(1+N39)</f>
        <v>215.05376344086022</v>
      </c>
      <c r="C40" s="1562">
        <f t="shared" si="38"/>
        <v>185.0752177355503</v>
      </c>
      <c r="D40" s="1562">
        <f t="shared" si="24"/>
        <v>185.0752177355503</v>
      </c>
      <c r="E40" s="1562">
        <f t="shared" ref="E40:F42" si="39">E39/(1+P39)</f>
        <v>292.68767016725008</v>
      </c>
      <c r="F40" s="1562">
        <f t="shared" si="39"/>
        <v>166.88189132810174</v>
      </c>
      <c r="G40" s="1873">
        <v>2009</v>
      </c>
      <c r="H40" s="1570">
        <v>3</v>
      </c>
      <c r="I40" s="1570">
        <v>2.1</v>
      </c>
      <c r="J40" s="1570">
        <v>1.86</v>
      </c>
      <c r="K40" s="1570">
        <v>2.29</v>
      </c>
      <c r="L40" s="1571">
        <v>0.85</v>
      </c>
      <c r="N40" s="1664">
        <f t="shared" si="26"/>
        <v>2.1000000000000001E-2</v>
      </c>
      <c r="O40" s="1572">
        <f t="shared" si="26"/>
        <v>1.8600000000000002E-2</v>
      </c>
      <c r="P40" s="1572">
        <f t="shared" si="26"/>
        <v>2.29E-2</v>
      </c>
      <c r="Q40" s="1572">
        <f t="shared" si="26"/>
        <v>8.5000000000000006E-3</v>
      </c>
      <c r="R40" s="1560"/>
      <c r="S40" s="1664"/>
      <c r="T40" s="1559"/>
      <c r="U40" s="1559"/>
      <c r="V40" s="1559"/>
    </row>
    <row r="41" spans="1:32">
      <c r="A41" s="1552" t="s">
        <v>1677</v>
      </c>
      <c r="B41" s="1562">
        <f t="shared" si="38"/>
        <v>210.630522469011</v>
      </c>
      <c r="C41" s="1562">
        <f t="shared" si="38"/>
        <v>181.69567812247232</v>
      </c>
      <c r="D41" s="1562">
        <f t="shared" si="24"/>
        <v>181.69567812247232</v>
      </c>
      <c r="E41" s="1562">
        <f t="shared" si="39"/>
        <v>286.13517466736738</v>
      </c>
      <c r="F41" s="1562">
        <f t="shared" si="39"/>
        <v>165.47535084591149</v>
      </c>
      <c r="G41" s="1873">
        <v>2009</v>
      </c>
      <c r="H41" s="1556">
        <v>2</v>
      </c>
      <c r="I41" s="1556">
        <v>0.86</v>
      </c>
      <c r="J41" s="1556">
        <v>-1.1299999999999999</v>
      </c>
      <c r="K41" s="1556">
        <v>1.79</v>
      </c>
      <c r="L41" s="1564">
        <v>-2.0699999999999998</v>
      </c>
      <c r="N41" s="1664">
        <f t="shared" si="26"/>
        <v>8.6E-3</v>
      </c>
      <c r="O41" s="1572">
        <f t="shared" si="26"/>
        <v>-1.1299999999999999E-2</v>
      </c>
      <c r="P41" s="1572">
        <f t="shared" si="26"/>
        <v>1.7899999999999999E-2</v>
      </c>
      <c r="Q41" s="1572">
        <f t="shared" si="26"/>
        <v>-2.07E-2</v>
      </c>
      <c r="R41" s="1560"/>
      <c r="S41" s="1664"/>
      <c r="T41" s="1559"/>
      <c r="U41" s="1559"/>
      <c r="V41" s="1559"/>
    </row>
    <row r="42" spans="1:32">
      <c r="A42" s="1552" t="s">
        <v>1678</v>
      </c>
      <c r="B42" s="1562">
        <f t="shared" si="38"/>
        <v>208.83454537875372</v>
      </c>
      <c r="C42" s="1562">
        <f t="shared" si="38"/>
        <v>183.77230517090351</v>
      </c>
      <c r="D42" s="1562">
        <f t="shared" si="24"/>
        <v>183.77230517090351</v>
      </c>
      <c r="E42" s="1562">
        <f t="shared" si="39"/>
        <v>281.10342338870947</v>
      </c>
      <c r="F42" s="1562">
        <f t="shared" si="39"/>
        <v>168.97309388942256</v>
      </c>
      <c r="G42" s="1874">
        <v>2009</v>
      </c>
      <c r="H42" s="1555">
        <v>1</v>
      </c>
      <c r="I42" s="1555">
        <v>-2.64</v>
      </c>
      <c r="J42" s="1555">
        <v>-2.5299999999999998</v>
      </c>
      <c r="K42" s="1555">
        <v>-3.02</v>
      </c>
      <c r="L42" s="1563">
        <v>1.52</v>
      </c>
      <c r="N42" s="1666">
        <f t="shared" si="26"/>
        <v>-2.64E-2</v>
      </c>
      <c r="O42" s="1565">
        <f t="shared" si="26"/>
        <v>-2.53E-2</v>
      </c>
      <c r="P42" s="1565">
        <f t="shared" si="26"/>
        <v>-3.0200000000000001E-2</v>
      </c>
      <c r="Q42" s="1565">
        <f t="shared" si="26"/>
        <v>1.52E-2</v>
      </c>
      <c r="R42" s="1560"/>
      <c r="S42" s="1666">
        <f>B42/B43-1</f>
        <v>-2.4137638417038754E-2</v>
      </c>
      <c r="T42" s="1565">
        <f>C42/C43-1</f>
        <v>-2.248773845264096E-2</v>
      </c>
      <c r="U42" s="1565">
        <f>E42/E43-1</f>
        <v>-2.7323794502735366E-2</v>
      </c>
      <c r="V42" s="1565">
        <f>F42/F43-1</f>
        <v>1.7910204153148035E-2</v>
      </c>
      <c r="AC42" s="1566"/>
      <c r="AD42" s="1566"/>
      <c r="AE42" s="1566"/>
      <c r="AF42" s="1566"/>
    </row>
    <row r="43" spans="1:32" ht="13.5" thickBot="1">
      <c r="A43" s="1552" t="s">
        <v>1679</v>
      </c>
      <c r="B43" s="1578">
        <v>214</v>
      </c>
      <c r="C43" s="1578">
        <v>188</v>
      </c>
      <c r="D43" s="1578">
        <f t="shared" si="24"/>
        <v>188</v>
      </c>
      <c r="E43" s="1578">
        <v>289</v>
      </c>
      <c r="F43" s="1658">
        <v>166</v>
      </c>
      <c r="G43" s="1872">
        <v>2008</v>
      </c>
      <c r="H43" s="1567">
        <v>4</v>
      </c>
      <c r="I43" s="1567">
        <v>1.73</v>
      </c>
      <c r="J43" s="1567">
        <v>0.03</v>
      </c>
      <c r="K43" s="1567">
        <v>2.59</v>
      </c>
      <c r="L43" s="1568">
        <v>-1.66</v>
      </c>
      <c r="N43" s="1664">
        <f t="shared" si="26"/>
        <v>1.7299999999999999E-2</v>
      </c>
      <c r="O43" s="1559">
        <f t="shared" si="26"/>
        <v>2.9999999999999997E-4</v>
      </c>
      <c r="P43" s="1559">
        <f t="shared" si="26"/>
        <v>2.5899999999999999E-2</v>
      </c>
      <c r="Q43" s="1559">
        <f t="shared" si="26"/>
        <v>-1.66E-2</v>
      </c>
      <c r="R43" s="1560"/>
      <c r="S43" s="1674"/>
      <c r="T43" s="1561"/>
      <c r="U43" s="1561"/>
      <c r="V43" s="1561"/>
      <c r="AC43" s="1561"/>
      <c r="AD43" s="1561"/>
      <c r="AE43" s="1561"/>
      <c r="AF43" s="1561"/>
    </row>
    <row r="44" spans="1:32">
      <c r="A44" s="1552" t="s">
        <v>1680</v>
      </c>
      <c r="B44" s="1562">
        <f t="shared" ref="B44:C46" si="40">B43/(1+N43)</f>
        <v>210.36075887152265</v>
      </c>
      <c r="C44" s="1562">
        <f t="shared" si="40"/>
        <v>187.94361691492554</v>
      </c>
      <c r="D44" s="1562">
        <f t="shared" si="24"/>
        <v>187.94361691492554</v>
      </c>
      <c r="E44" s="1562">
        <f t="shared" ref="E44:F46" si="41">E43/(1+P43)</f>
        <v>281.70386977288234</v>
      </c>
      <c r="F44" s="1562">
        <f t="shared" si="41"/>
        <v>168.80211511083994</v>
      </c>
      <c r="G44" s="1873">
        <v>2008</v>
      </c>
      <c r="H44" s="1570">
        <v>3</v>
      </c>
      <c r="I44" s="1570">
        <v>1.96</v>
      </c>
      <c r="J44" s="1570">
        <v>2.36</v>
      </c>
      <c r="K44" s="1570">
        <v>1.82</v>
      </c>
      <c r="L44" s="1571">
        <v>2.2200000000000002</v>
      </c>
      <c r="N44" s="1664">
        <f t="shared" si="26"/>
        <v>1.9599999999999999E-2</v>
      </c>
      <c r="O44" s="1559">
        <f t="shared" si="26"/>
        <v>2.3599999999999999E-2</v>
      </c>
      <c r="P44" s="1559">
        <f t="shared" si="26"/>
        <v>1.8200000000000001E-2</v>
      </c>
      <c r="Q44" s="1559">
        <f t="shared" si="26"/>
        <v>2.2200000000000001E-2</v>
      </c>
      <c r="R44" s="1560"/>
      <c r="S44" s="1664"/>
      <c r="T44" s="1559"/>
      <c r="U44" s="1559"/>
      <c r="V44" s="1559"/>
    </row>
    <row r="45" spans="1:32">
      <c r="A45" s="1552" t="s">
        <v>1681</v>
      </c>
      <c r="B45" s="1562">
        <f t="shared" si="40"/>
        <v>206.31694671589116</v>
      </c>
      <c r="C45" s="1562">
        <f t="shared" si="40"/>
        <v>183.61041121036101</v>
      </c>
      <c r="D45" s="1562">
        <f t="shared" si="24"/>
        <v>183.61041121036101</v>
      </c>
      <c r="E45" s="1562">
        <f t="shared" si="41"/>
        <v>276.66850301795557</v>
      </c>
      <c r="F45" s="1562">
        <f t="shared" si="41"/>
        <v>165.1360938278614</v>
      </c>
      <c r="G45" s="1873">
        <v>2008</v>
      </c>
      <c r="H45" s="1556">
        <v>2</v>
      </c>
      <c r="I45" s="1556">
        <v>4.93</v>
      </c>
      <c r="J45" s="1556">
        <v>7.38</v>
      </c>
      <c r="K45" s="1556">
        <v>3.98</v>
      </c>
      <c r="L45" s="1564">
        <v>6.86</v>
      </c>
      <c r="N45" s="1664">
        <f t="shared" si="26"/>
        <v>4.9299999999999997E-2</v>
      </c>
      <c r="O45" s="1559">
        <f t="shared" si="26"/>
        <v>7.3800000000000004E-2</v>
      </c>
      <c r="P45" s="1559">
        <f t="shared" si="26"/>
        <v>3.9800000000000002E-2</v>
      </c>
      <c r="Q45" s="1559">
        <f t="shared" si="26"/>
        <v>6.8600000000000008E-2</v>
      </c>
      <c r="R45" s="1560"/>
      <c r="S45" s="1664"/>
      <c r="T45" s="1559"/>
      <c r="U45" s="1559"/>
      <c r="V45" s="1559"/>
    </row>
    <row r="46" spans="1:32" s="1583" customFormat="1" ht="13.5" thickBot="1">
      <c r="A46" s="1552" t="s">
        <v>1682</v>
      </c>
      <c r="B46" s="1580">
        <f t="shared" si="40"/>
        <v>196.62341248059772</v>
      </c>
      <c r="C46" s="1580">
        <f t="shared" si="40"/>
        <v>170.99125648199012</v>
      </c>
      <c r="D46" s="1580">
        <f t="shared" si="24"/>
        <v>170.99125648199012</v>
      </c>
      <c r="E46" s="1580">
        <f t="shared" si="41"/>
        <v>266.07857570490052</v>
      </c>
      <c r="F46" s="1580">
        <f t="shared" si="41"/>
        <v>154.53499328828505</v>
      </c>
      <c r="G46" s="1874">
        <v>2008</v>
      </c>
      <c r="H46" s="1581">
        <v>1</v>
      </c>
      <c r="I46" s="1581">
        <v>4.1399999999999997</v>
      </c>
      <c r="J46" s="1581">
        <v>3.45</v>
      </c>
      <c r="K46" s="1581">
        <v>4.95</v>
      </c>
      <c r="L46" s="1582">
        <v>4.82</v>
      </c>
      <c r="N46" s="1668">
        <f t="shared" si="26"/>
        <v>4.1399999999999999E-2</v>
      </c>
      <c r="O46" s="1584">
        <f t="shared" si="26"/>
        <v>3.4500000000000003E-2</v>
      </c>
      <c r="P46" s="1584">
        <f t="shared" si="26"/>
        <v>4.9500000000000002E-2</v>
      </c>
      <c r="Q46" s="1584">
        <f t="shared" si="26"/>
        <v>4.82E-2</v>
      </c>
      <c r="R46" s="1585"/>
      <c r="S46" s="1668">
        <f>B46/B47-1</f>
        <v>4.5869215322328349E-2</v>
      </c>
      <c r="T46" s="1584">
        <f>C46/C47-1</f>
        <v>3.6310645345394743E-2</v>
      </c>
      <c r="U46" s="1584">
        <f>E46/E47-1</f>
        <v>4.7553447657088688E-2</v>
      </c>
      <c r="V46" s="1584">
        <f>F46/F47-1</f>
        <v>4.4155360055980086E-2</v>
      </c>
      <c r="AC46" s="1586"/>
      <c r="AD46" s="1586"/>
      <c r="AE46" s="1586"/>
      <c r="AF46" s="1586"/>
    </row>
    <row r="47" spans="1:32" ht="13.5" thickBot="1">
      <c r="A47" s="1552" t="s">
        <v>1683</v>
      </c>
      <c r="B47" s="1557">
        <v>188</v>
      </c>
      <c r="C47" s="1557">
        <v>165</v>
      </c>
      <c r="D47" s="1557">
        <f t="shared" si="24"/>
        <v>165</v>
      </c>
      <c r="E47" s="1557">
        <v>254</v>
      </c>
      <c r="F47" s="1656">
        <v>148</v>
      </c>
      <c r="G47" s="1872">
        <v>2007</v>
      </c>
      <c r="H47" s="1587">
        <v>4</v>
      </c>
      <c r="I47" s="1587">
        <v>5.51</v>
      </c>
      <c r="J47" s="1587">
        <v>4.8899999999999997</v>
      </c>
      <c r="K47" s="1587">
        <v>6.43</v>
      </c>
      <c r="L47" s="1588">
        <v>5.36</v>
      </c>
      <c r="N47" s="1669">
        <f t="shared" ref="N47:O50" si="42">B47/B48-1</f>
        <v>4.1339718365245526E-2</v>
      </c>
      <c r="O47" s="1589">
        <f t="shared" si="42"/>
        <v>4.0324492593776018E-2</v>
      </c>
      <c r="P47" s="1589">
        <f t="shared" ref="P47:Q50" si="43">E47/E48-1</f>
        <v>6.1625555347990968E-2</v>
      </c>
      <c r="Q47" s="1589">
        <f t="shared" si="43"/>
        <v>4.6757569250590603E-2</v>
      </c>
      <c r="R47" s="1560"/>
      <c r="S47" s="1674"/>
      <c r="T47" s="1561"/>
      <c r="U47" s="1561"/>
      <c r="V47" s="1561"/>
      <c r="AC47" s="1561"/>
      <c r="AD47" s="1561"/>
      <c r="AE47" s="1561"/>
      <c r="AF47" s="1561"/>
    </row>
    <row r="48" spans="1:32">
      <c r="A48" s="1552" t="s">
        <v>1684</v>
      </c>
      <c r="B48" s="1562">
        <f t="shared" ref="B48:C50" si="44">B49+(B$47-B$51)*I48/SUM(I$47:I$50)</f>
        <v>180.5366651097618</v>
      </c>
      <c r="C48" s="1562">
        <f t="shared" si="44"/>
        <v>158.60435967302453</v>
      </c>
      <c r="D48" s="1562">
        <f t="shared" si="24"/>
        <v>158.60435967302453</v>
      </c>
      <c r="E48" s="1562">
        <f t="shared" ref="E48:F50" si="45">E49+(E$47-E$51)*K48/SUM(K$47:K$50)</f>
        <v>239.25573260785075</v>
      </c>
      <c r="F48" s="1562">
        <f t="shared" si="45"/>
        <v>141.38899430740037</v>
      </c>
      <c r="G48" s="1873">
        <v>2007</v>
      </c>
      <c r="H48" s="1570">
        <v>3</v>
      </c>
      <c r="I48" s="1570">
        <v>8.65</v>
      </c>
      <c r="J48" s="1570">
        <v>8.06</v>
      </c>
      <c r="K48" s="1570">
        <v>9.94</v>
      </c>
      <c r="L48" s="1571">
        <v>5.8</v>
      </c>
      <c r="N48" s="1669">
        <f t="shared" si="42"/>
        <v>6.940217571740015E-2</v>
      </c>
      <c r="O48" s="1589">
        <f t="shared" si="42"/>
        <v>7.1197482471153428E-2</v>
      </c>
      <c r="P48" s="1589">
        <f t="shared" si="43"/>
        <v>0.10529679922579582</v>
      </c>
      <c r="Q48" s="1589">
        <f t="shared" si="43"/>
        <v>5.3292245059512133E-2</v>
      </c>
      <c r="R48" s="1560"/>
      <c r="S48" s="1664"/>
      <c r="T48" s="1559"/>
      <c r="U48" s="1559"/>
      <c r="V48" s="1559"/>
      <c r="AC48" s="1590"/>
      <c r="AD48" s="1590"/>
      <c r="AE48" s="1590"/>
      <c r="AF48" s="1590"/>
    </row>
    <row r="49" spans="1:32">
      <c r="A49" s="1552" t="s">
        <v>1685</v>
      </c>
      <c r="B49" s="1562">
        <f t="shared" si="44"/>
        <v>168.82017748715555</v>
      </c>
      <c r="C49" s="1562">
        <f t="shared" si="44"/>
        <v>148.06267029972753</v>
      </c>
      <c r="D49" s="1562">
        <f t="shared" si="24"/>
        <v>148.06267029972753</v>
      </c>
      <c r="E49" s="1562">
        <f t="shared" si="45"/>
        <v>216.46288379323747</v>
      </c>
      <c r="F49" s="1562">
        <f t="shared" si="45"/>
        <v>134.23529411764704</v>
      </c>
      <c r="G49" s="1873">
        <v>2007</v>
      </c>
      <c r="H49" s="1556">
        <v>2</v>
      </c>
      <c r="I49" s="1556">
        <v>3.67</v>
      </c>
      <c r="J49" s="1556">
        <v>2.3199999999999998</v>
      </c>
      <c r="K49" s="1556">
        <v>5.0199999999999996</v>
      </c>
      <c r="L49" s="1564">
        <v>6.71</v>
      </c>
      <c r="N49" s="1669">
        <f t="shared" si="42"/>
        <v>3.0339138143848032E-2</v>
      </c>
      <c r="O49" s="1589">
        <f t="shared" si="42"/>
        <v>2.0922341588790472E-2</v>
      </c>
      <c r="P49" s="1589">
        <f t="shared" si="43"/>
        <v>5.6164796592717003E-2</v>
      </c>
      <c r="Q49" s="1589">
        <f t="shared" si="43"/>
        <v>6.5704536723887319E-2</v>
      </c>
      <c r="R49" s="1560"/>
      <c r="S49" s="1664"/>
      <c r="T49" s="1559"/>
      <c r="U49" s="1559"/>
      <c r="V49" s="1559"/>
      <c r="AC49" s="1590"/>
      <c r="AD49" s="1590"/>
      <c r="AE49" s="1590"/>
      <c r="AF49" s="1590"/>
    </row>
    <row r="50" spans="1:32">
      <c r="A50" s="1552" t="s">
        <v>1686</v>
      </c>
      <c r="B50" s="1562">
        <f t="shared" si="44"/>
        <v>163.84913591779542</v>
      </c>
      <c r="C50" s="1562">
        <f t="shared" si="44"/>
        <v>145.0283378746594</v>
      </c>
      <c r="D50" s="1562">
        <f t="shared" si="24"/>
        <v>145.0283378746594</v>
      </c>
      <c r="E50" s="1562">
        <f t="shared" si="45"/>
        <v>204.95180722891567</v>
      </c>
      <c r="F50" s="1562">
        <f t="shared" si="45"/>
        <v>125.95920303605313</v>
      </c>
      <c r="G50" s="1874">
        <v>2007</v>
      </c>
      <c r="H50" s="1555">
        <v>1</v>
      </c>
      <c r="I50" s="1555">
        <v>3.58</v>
      </c>
      <c r="J50" s="1555">
        <v>3.08</v>
      </c>
      <c r="K50" s="1555">
        <v>4.34</v>
      </c>
      <c r="L50" s="1563">
        <v>3.21</v>
      </c>
      <c r="N50" s="1670">
        <f t="shared" si="42"/>
        <v>3.0497710174814063E-2</v>
      </c>
      <c r="O50" s="1591">
        <f t="shared" si="42"/>
        <v>2.8569772160704998E-2</v>
      </c>
      <c r="P50" s="1591">
        <f t="shared" si="43"/>
        <v>5.1034908866234296E-2</v>
      </c>
      <c r="Q50" s="1591">
        <f t="shared" si="43"/>
        <v>3.245248390207478E-2</v>
      </c>
      <c r="R50" s="1560"/>
      <c r="S50" s="1666">
        <f>B50/B51-1</f>
        <v>3.0497710174814063E-2</v>
      </c>
      <c r="T50" s="1565">
        <f>C50/C51-1</f>
        <v>2.8569772160704998E-2</v>
      </c>
      <c r="U50" s="1565">
        <f>E50/E51-1</f>
        <v>5.1034908866234296E-2</v>
      </c>
      <c r="V50" s="1565">
        <f>F50/F51-1</f>
        <v>3.245248390207478E-2</v>
      </c>
      <c r="AC50" s="1590"/>
      <c r="AD50" s="1590"/>
      <c r="AE50" s="1590"/>
      <c r="AF50" s="1590"/>
    </row>
    <row r="51" spans="1:32" ht="13.5" thickBot="1">
      <c r="A51" s="1552" t="s">
        <v>1687</v>
      </c>
      <c r="B51" s="1573">
        <v>159</v>
      </c>
      <c r="C51" s="1573">
        <v>141</v>
      </c>
      <c r="D51" s="1573">
        <f t="shared" si="24"/>
        <v>141</v>
      </c>
      <c r="E51" s="1573">
        <v>195</v>
      </c>
      <c r="F51" s="1657">
        <v>122</v>
      </c>
      <c r="G51" s="1872">
        <v>2006</v>
      </c>
      <c r="H51" s="1567">
        <v>4</v>
      </c>
      <c r="I51" s="1567">
        <v>3.79</v>
      </c>
      <c r="J51" s="1567">
        <v>2.21</v>
      </c>
      <c r="K51" s="1567">
        <v>5.65</v>
      </c>
      <c r="L51" s="1568">
        <v>5.41</v>
      </c>
      <c r="N51" s="1669">
        <f t="shared" ref="N51:O54" si="46">I51/SUM(I$51:I$54)*(B$51/B$55-1)</f>
        <v>7.245466462748526E-2</v>
      </c>
      <c r="O51" s="1589">
        <f t="shared" si="46"/>
        <v>2.3237230038062766E-2</v>
      </c>
      <c r="P51" s="1589">
        <f t="shared" ref="P51:Q54" si="47">K51/SUM(K$51:K$54)*(E$51/E$55-1)</f>
        <v>0.16146893866323722</v>
      </c>
      <c r="Q51" s="1589">
        <f t="shared" si="47"/>
        <v>5.0755230321793784E-2</v>
      </c>
      <c r="R51" s="1560"/>
      <c r="S51" s="1674"/>
      <c r="T51" s="1561"/>
      <c r="U51" s="1561"/>
      <c r="V51" s="1561"/>
      <c r="AC51" s="1590"/>
      <c r="AD51" s="1590"/>
      <c r="AE51" s="1590"/>
      <c r="AF51" s="1590"/>
    </row>
    <row r="52" spans="1:32">
      <c r="A52" s="1552" t="s">
        <v>1688</v>
      </c>
      <c r="B52" s="1562">
        <f t="shared" ref="B52:C54" si="48">B53+(B$51-B$55)*I52/SUM(I$51:I$54)</f>
        <v>149.00125628140702</v>
      </c>
      <c r="C52" s="1562">
        <f t="shared" si="48"/>
        <v>137.95592286501378</v>
      </c>
      <c r="D52" s="1562">
        <f t="shared" si="24"/>
        <v>137.95592286501378</v>
      </c>
      <c r="E52" s="1562">
        <f t="shared" ref="E52:F54" si="49">E53+(E$51-E$55)*K52/SUM(K$51:K$54)</f>
        <v>169.97231450719823</v>
      </c>
      <c r="F52" s="1562">
        <f t="shared" si="49"/>
        <v>116.21390374331551</v>
      </c>
      <c r="G52" s="1873">
        <v>2006</v>
      </c>
      <c r="H52" s="1570">
        <v>3</v>
      </c>
      <c r="I52" s="1570">
        <v>0.92</v>
      </c>
      <c r="J52" s="1570">
        <v>1.08</v>
      </c>
      <c r="K52" s="1570">
        <v>0.73</v>
      </c>
      <c r="L52" s="1571">
        <v>1.08</v>
      </c>
      <c r="N52" s="1669">
        <f t="shared" si="46"/>
        <v>1.7587939698492462E-2</v>
      </c>
      <c r="O52" s="1589">
        <f t="shared" si="46"/>
        <v>1.1355750425840628E-2</v>
      </c>
      <c r="P52" s="1589">
        <f t="shared" si="47"/>
        <v>2.0862358446754544E-2</v>
      </c>
      <c r="Q52" s="1589">
        <f t="shared" si="47"/>
        <v>1.0132282578103011E-2</v>
      </c>
      <c r="R52" s="1560"/>
      <c r="S52" s="1664"/>
      <c r="T52" s="1559"/>
      <c r="U52" s="1559"/>
      <c r="V52" s="1559"/>
      <c r="AC52" s="1590"/>
      <c r="AD52" s="1590"/>
      <c r="AE52" s="1590"/>
      <c r="AF52" s="1590"/>
    </row>
    <row r="53" spans="1:32">
      <c r="A53" s="1552" t="s">
        <v>1689</v>
      </c>
      <c r="B53" s="1562">
        <f t="shared" si="48"/>
        <v>146.57412060301507</v>
      </c>
      <c r="C53" s="1562">
        <f t="shared" si="48"/>
        <v>136.46831955922866</v>
      </c>
      <c r="D53" s="1562">
        <f t="shared" si="24"/>
        <v>136.46831955922866</v>
      </c>
      <c r="E53" s="1562">
        <f t="shared" si="49"/>
        <v>166.73864894795128</v>
      </c>
      <c r="F53" s="1562">
        <f t="shared" si="49"/>
        <v>115.05882352941177</v>
      </c>
      <c r="G53" s="1873">
        <v>2006</v>
      </c>
      <c r="H53" s="1556">
        <v>2</v>
      </c>
      <c r="I53" s="1556">
        <v>0.96</v>
      </c>
      <c r="J53" s="1556">
        <v>0.25</v>
      </c>
      <c r="K53" s="1556">
        <v>1.9</v>
      </c>
      <c r="L53" s="1564">
        <v>0.95</v>
      </c>
      <c r="N53" s="1669">
        <f t="shared" si="46"/>
        <v>1.8352632728861701E-2</v>
      </c>
      <c r="O53" s="1589">
        <f t="shared" si="46"/>
        <v>2.6286459319075526E-3</v>
      </c>
      <c r="P53" s="1589">
        <f t="shared" si="47"/>
        <v>5.4299289107991269E-2</v>
      </c>
      <c r="Q53" s="1589">
        <f t="shared" si="47"/>
        <v>8.9126559714794995E-3</v>
      </c>
      <c r="R53" s="1560"/>
      <c r="S53" s="1664"/>
      <c r="T53" s="1559"/>
      <c r="U53" s="1559"/>
      <c r="V53" s="1559"/>
      <c r="AC53" s="1590"/>
      <c r="AD53" s="1590"/>
      <c r="AE53" s="1590"/>
      <c r="AF53" s="1590"/>
    </row>
    <row r="54" spans="1:32">
      <c r="A54" s="1552" t="s">
        <v>1690</v>
      </c>
      <c r="B54" s="1562">
        <f t="shared" si="48"/>
        <v>144.04145728643215</v>
      </c>
      <c r="C54" s="1562">
        <f t="shared" si="48"/>
        <v>136.12396694214877</v>
      </c>
      <c r="D54" s="1562">
        <f t="shared" si="24"/>
        <v>136.12396694214877</v>
      </c>
      <c r="E54" s="1562">
        <f t="shared" si="49"/>
        <v>158.32225913621264</v>
      </c>
      <c r="F54" s="1562">
        <f t="shared" si="49"/>
        <v>114.04278074866311</v>
      </c>
      <c r="G54" s="1874">
        <v>2006</v>
      </c>
      <c r="H54" s="1555">
        <v>1</v>
      </c>
      <c r="I54" s="1555">
        <v>2.29</v>
      </c>
      <c r="J54" s="1555">
        <v>3.72</v>
      </c>
      <c r="K54" s="1555">
        <v>0.75</v>
      </c>
      <c r="L54" s="1563">
        <v>0.04</v>
      </c>
      <c r="N54" s="1670">
        <f t="shared" si="46"/>
        <v>4.3778675988638847E-2</v>
      </c>
      <c r="O54" s="1591">
        <f t="shared" si="46"/>
        <v>3.9114251466784385E-2</v>
      </c>
      <c r="P54" s="1591">
        <f t="shared" si="47"/>
        <v>2.1433929911049188E-2</v>
      </c>
      <c r="Q54" s="1591">
        <f t="shared" si="47"/>
        <v>3.7526972511492629E-4</v>
      </c>
      <c r="R54" s="1560"/>
      <c r="S54" s="1666">
        <f>B54/B55-1</f>
        <v>4.3778675988638716E-2</v>
      </c>
      <c r="T54" s="1565">
        <f>C54/C55-1</f>
        <v>3.91142514667846E-2</v>
      </c>
      <c r="U54" s="1565">
        <f>E54/E55-1</f>
        <v>2.143392991104931E-2</v>
      </c>
      <c r="V54" s="1565">
        <f>F54/F55-1</f>
        <v>3.7526972511492396E-4</v>
      </c>
      <c r="AC54" s="1590"/>
      <c r="AD54" s="1590"/>
      <c r="AE54" s="1590"/>
      <c r="AF54" s="1590"/>
    </row>
    <row r="55" spans="1:32" ht="13.5" thickBot="1">
      <c r="A55" s="1552" t="s">
        <v>1691</v>
      </c>
      <c r="B55" s="1573">
        <v>138</v>
      </c>
      <c r="C55" s="1573">
        <v>131</v>
      </c>
      <c r="D55" s="1573">
        <f t="shared" si="24"/>
        <v>131</v>
      </c>
      <c r="E55" s="1573">
        <v>155</v>
      </c>
      <c r="F55" s="1657">
        <v>114</v>
      </c>
      <c r="G55" s="1872">
        <v>2005</v>
      </c>
      <c r="H55" s="1567">
        <v>4</v>
      </c>
      <c r="I55" s="1567">
        <v>3.29</v>
      </c>
      <c r="J55" s="1567">
        <v>1.44</v>
      </c>
      <c r="K55" s="1567">
        <v>0.66</v>
      </c>
      <c r="L55" s="1568">
        <v>7.78</v>
      </c>
      <c r="N55" s="1669">
        <f t="shared" ref="N55:O58" si="50">I55/SUM(I$55:I$58)*(B$55/B$59-1)</f>
        <v>9.9404603216919935E-2</v>
      </c>
      <c r="O55" s="1589">
        <f t="shared" si="50"/>
        <v>4.7636550760861554E-2</v>
      </c>
      <c r="P55" s="1589">
        <f t="shared" ref="P55:Q58" si="51">K55/SUM(K$55:K$58)*(E$55/E$59-1)</f>
        <v>8.3756345177664976E-2</v>
      </c>
      <c r="Q55" s="1589">
        <f t="shared" si="51"/>
        <v>5.2148766661559584E-2</v>
      </c>
      <c r="R55" s="1560"/>
      <c r="S55" s="1674"/>
      <c r="T55" s="1561"/>
      <c r="U55" s="1561"/>
      <c r="V55" s="1561"/>
      <c r="AC55" s="1590"/>
      <c r="AD55" s="1590"/>
      <c r="AE55" s="1590"/>
      <c r="AF55" s="1590"/>
    </row>
    <row r="56" spans="1:32">
      <c r="A56" s="1552" t="s">
        <v>1692</v>
      </c>
      <c r="B56" s="1562">
        <f t="shared" ref="B56:C58" si="52">B57+(B$55-B$59)*I56/SUM(I$55:I$58)</f>
        <v>125.9720430107527</v>
      </c>
      <c r="C56" s="1562">
        <f t="shared" si="52"/>
        <v>125.1883408071749</v>
      </c>
      <c r="D56" s="1562">
        <f t="shared" si="24"/>
        <v>125.1883408071749</v>
      </c>
      <c r="E56" s="1562">
        <f t="shared" ref="E56:F58" si="53">E57+(E$55-E$59)*K56/SUM(K$55:K$58)</f>
        <v>144.61421319796952</v>
      </c>
      <c r="F56" s="1562">
        <f t="shared" si="53"/>
        <v>108.42008196721311</v>
      </c>
      <c r="G56" s="1873">
        <v>2005</v>
      </c>
      <c r="H56" s="1570">
        <v>3</v>
      </c>
      <c r="I56" s="1570">
        <v>0.46</v>
      </c>
      <c r="J56" s="1570">
        <v>0.32</v>
      </c>
      <c r="K56" s="1570">
        <v>0.42</v>
      </c>
      <c r="L56" s="1571">
        <v>0.64</v>
      </c>
      <c r="N56" s="1669">
        <f t="shared" si="50"/>
        <v>1.3898515951301874E-2</v>
      </c>
      <c r="O56" s="1589">
        <f t="shared" si="50"/>
        <v>1.0585900169080346E-2</v>
      </c>
      <c r="P56" s="1589">
        <f t="shared" si="51"/>
        <v>5.3299492385786795E-2</v>
      </c>
      <c r="Q56" s="1589">
        <f t="shared" si="51"/>
        <v>4.2898728359123568E-3</v>
      </c>
      <c r="R56" s="1560"/>
      <c r="S56" s="1664"/>
      <c r="T56" s="1559"/>
      <c r="U56" s="1559"/>
      <c r="V56" s="1559"/>
      <c r="AC56" s="1590"/>
      <c r="AD56" s="1590"/>
      <c r="AE56" s="1590"/>
      <c r="AF56" s="1590"/>
    </row>
    <row r="57" spans="1:32">
      <c r="A57" s="1552" t="s">
        <v>1693</v>
      </c>
      <c r="B57" s="1562">
        <f t="shared" si="52"/>
        <v>124.29032258064517</v>
      </c>
      <c r="C57" s="1562">
        <f t="shared" si="52"/>
        <v>123.8968609865471</v>
      </c>
      <c r="D57" s="1562">
        <f t="shared" si="24"/>
        <v>123.8968609865471</v>
      </c>
      <c r="E57" s="1562">
        <f t="shared" si="53"/>
        <v>138.00507614213197</v>
      </c>
      <c r="F57" s="1562">
        <f t="shared" si="53"/>
        <v>107.96106557377048</v>
      </c>
      <c r="G57" s="1873">
        <v>2005</v>
      </c>
      <c r="H57" s="1556">
        <v>2</v>
      </c>
      <c r="I57" s="1556">
        <v>0.47</v>
      </c>
      <c r="J57" s="1556">
        <v>0.1</v>
      </c>
      <c r="K57" s="1556">
        <v>0.52</v>
      </c>
      <c r="L57" s="1564">
        <v>0.79</v>
      </c>
      <c r="N57" s="1669">
        <f t="shared" si="50"/>
        <v>1.420065760241713E-2</v>
      </c>
      <c r="O57" s="1589">
        <f t="shared" si="50"/>
        <v>3.3080938028376083E-3</v>
      </c>
      <c r="P57" s="1589">
        <f t="shared" si="51"/>
        <v>6.598984771573603E-2</v>
      </c>
      <c r="Q57" s="1589">
        <f t="shared" si="51"/>
        <v>5.2953117818293153E-3</v>
      </c>
      <c r="R57" s="1560"/>
      <c r="S57" s="1664"/>
      <c r="T57" s="1559"/>
      <c r="U57" s="1559"/>
      <c r="V57" s="1559"/>
      <c r="AC57" s="1590"/>
      <c r="AD57" s="1590"/>
      <c r="AE57" s="1590"/>
      <c r="AF57" s="1590"/>
    </row>
    <row r="58" spans="1:32">
      <c r="A58" s="1552" t="s">
        <v>1694</v>
      </c>
      <c r="B58" s="1562">
        <f t="shared" si="52"/>
        <v>122.57204301075269</v>
      </c>
      <c r="C58" s="1562">
        <f t="shared" si="52"/>
        <v>123.4932735426009</v>
      </c>
      <c r="D58" s="1562">
        <f t="shared" si="24"/>
        <v>123.4932735426009</v>
      </c>
      <c r="E58" s="1562">
        <f t="shared" si="53"/>
        <v>129.82233502538071</v>
      </c>
      <c r="F58" s="1562">
        <f t="shared" si="53"/>
        <v>107.39446721311475</v>
      </c>
      <c r="G58" s="1874">
        <v>2005</v>
      </c>
      <c r="H58" s="1555">
        <v>1</v>
      </c>
      <c r="I58" s="1555">
        <v>0.43</v>
      </c>
      <c r="J58" s="1555">
        <v>0.37</v>
      </c>
      <c r="K58" s="1555">
        <v>0.37</v>
      </c>
      <c r="L58" s="1563">
        <v>0.55000000000000004</v>
      </c>
      <c r="N58" s="1670">
        <f t="shared" si="50"/>
        <v>1.2992090997956099E-2</v>
      </c>
      <c r="O58" s="1591">
        <f t="shared" si="50"/>
        <v>1.2239947070499151E-2</v>
      </c>
      <c r="P58" s="1591">
        <f t="shared" si="51"/>
        <v>4.6954314720812178E-2</v>
      </c>
      <c r="Q58" s="1591">
        <f t="shared" si="51"/>
        <v>3.6866094683621815E-3</v>
      </c>
      <c r="R58" s="1560"/>
      <c r="S58" s="1666">
        <f>B58/B59-1</f>
        <v>1.2992090997956174E-2</v>
      </c>
      <c r="T58" s="1565">
        <f>C58/C59-1</f>
        <v>1.2239947070499246E-2</v>
      </c>
      <c r="U58" s="1565">
        <f>E58/E59-1</f>
        <v>4.695431472081224E-2</v>
      </c>
      <c r="V58" s="1565">
        <f>F58/F59-1</f>
        <v>3.6866094683620787E-3</v>
      </c>
      <c r="AC58" s="1590"/>
      <c r="AD58" s="1590"/>
      <c r="AE58" s="1590"/>
      <c r="AF58" s="1590"/>
    </row>
    <row r="59" spans="1:32" ht="13.5" thickBot="1">
      <c r="A59" s="1552" t="s">
        <v>1695</v>
      </c>
      <c r="B59" s="1578">
        <v>121</v>
      </c>
      <c r="C59" s="1578">
        <v>122</v>
      </c>
      <c r="D59" s="1578">
        <f t="shared" si="24"/>
        <v>122</v>
      </c>
      <c r="E59" s="1578">
        <v>124</v>
      </c>
      <c r="F59" s="1658">
        <v>107</v>
      </c>
      <c r="G59" s="1872">
        <v>2004</v>
      </c>
      <c r="H59" s="1567">
        <v>4</v>
      </c>
      <c r="I59" s="1567">
        <v>0.33</v>
      </c>
      <c r="J59" s="1567">
        <v>0.5</v>
      </c>
      <c r="K59" s="1567">
        <v>0.5</v>
      </c>
      <c r="L59" s="1568">
        <v>0</v>
      </c>
      <c r="N59" s="1669">
        <f t="shared" ref="N59:O62" si="54">I59/SUM(I$59:I$62)*(B$59/B$63-1)</f>
        <v>1.3391770148526898E-2</v>
      </c>
      <c r="O59" s="1589">
        <f t="shared" si="54"/>
        <v>1.063264221158958E-2</v>
      </c>
      <c r="P59" s="1589">
        <f t="shared" ref="P59:Q62" si="55">K59/SUM(K$59:K$62)*(E$59/E$63-1)</f>
        <v>2.2244466688911134E-2</v>
      </c>
      <c r="Q59" s="1589">
        <f t="shared" si="55"/>
        <v>0</v>
      </c>
      <c r="R59" s="1560"/>
      <c r="S59" s="1674"/>
      <c r="T59" s="1561"/>
      <c r="U59" s="1561"/>
      <c r="V59" s="1561"/>
      <c r="AC59" s="1590"/>
      <c r="AD59" s="1590"/>
      <c r="AE59" s="1590"/>
      <c r="AF59" s="1590"/>
    </row>
    <row r="60" spans="1:32">
      <c r="A60" s="1552" t="s">
        <v>1696</v>
      </c>
      <c r="B60" s="1562">
        <f t="shared" ref="B60:C62" si="56">B61+(B$59-B$63)*I60/SUM(I$59:I$62)</f>
        <v>119.51351351351352</v>
      </c>
      <c r="C60" s="1562">
        <f t="shared" si="56"/>
        <v>120.7878787878788</v>
      </c>
      <c r="D60" s="1562">
        <f t="shared" si="24"/>
        <v>120.7878787878788</v>
      </c>
      <c r="E60" s="1562">
        <f t="shared" ref="E60:F62" si="57">E61+(E$59-E$63)*K60/SUM(K$59:K$62)</f>
        <v>121.5975975975976</v>
      </c>
      <c r="F60" s="1562">
        <f t="shared" si="57"/>
        <v>107</v>
      </c>
      <c r="G60" s="1873">
        <v>2004</v>
      </c>
      <c r="H60" s="1570">
        <v>3</v>
      </c>
      <c r="I60" s="1570">
        <v>0.56000000000000005</v>
      </c>
      <c r="J60" s="1570">
        <v>0.8</v>
      </c>
      <c r="K60" s="1570">
        <v>0.83</v>
      </c>
      <c r="L60" s="1571">
        <v>0.06</v>
      </c>
      <c r="N60" s="1669">
        <f t="shared" si="54"/>
        <v>2.2725428130833527E-2</v>
      </c>
      <c r="O60" s="1589">
        <f t="shared" si="54"/>
        <v>1.7012227538543329E-2</v>
      </c>
      <c r="P60" s="1589">
        <f t="shared" si="55"/>
        <v>3.6925814703592477E-2</v>
      </c>
      <c r="Q60" s="1589">
        <f t="shared" si="55"/>
        <v>2.8846153846153744E-2</v>
      </c>
      <c r="R60" s="1560"/>
      <c r="S60" s="1664"/>
      <c r="T60" s="1559"/>
      <c r="U60" s="1559"/>
      <c r="V60" s="1559"/>
      <c r="AC60" s="1590"/>
      <c r="AD60" s="1590"/>
      <c r="AE60" s="1590"/>
      <c r="AF60" s="1590"/>
    </row>
    <row r="61" spans="1:32">
      <c r="A61" s="1552" t="s">
        <v>1697</v>
      </c>
      <c r="B61" s="1562">
        <f t="shared" si="56"/>
        <v>116.99099099099099</v>
      </c>
      <c r="C61" s="1562">
        <f t="shared" si="56"/>
        <v>118.84848484848486</v>
      </c>
      <c r="D61" s="1562">
        <f t="shared" si="24"/>
        <v>118.84848484848486</v>
      </c>
      <c r="E61" s="1562">
        <f t="shared" si="57"/>
        <v>117.60960960960961</v>
      </c>
      <c r="F61" s="1562">
        <f t="shared" si="57"/>
        <v>104</v>
      </c>
      <c r="G61" s="1873">
        <v>2004</v>
      </c>
      <c r="H61" s="1556">
        <v>2</v>
      </c>
      <c r="I61" s="1556">
        <v>1</v>
      </c>
      <c r="J61" s="1556">
        <v>1.5</v>
      </c>
      <c r="K61" s="1556">
        <v>1.5</v>
      </c>
      <c r="L61" s="1564">
        <v>0</v>
      </c>
      <c r="N61" s="1669">
        <f t="shared" si="54"/>
        <v>4.0581121662202721E-2</v>
      </c>
      <c r="O61" s="1589">
        <f t="shared" si="54"/>
        <v>3.1897926634768738E-2</v>
      </c>
      <c r="P61" s="1589">
        <f t="shared" si="55"/>
        <v>6.6733400066733395E-2</v>
      </c>
      <c r="Q61" s="1589">
        <f t="shared" si="55"/>
        <v>0</v>
      </c>
      <c r="R61" s="1560"/>
      <c r="S61" s="1664"/>
      <c r="T61" s="1559"/>
      <c r="U61" s="1559"/>
      <c r="V61" s="1559"/>
      <c r="AC61" s="1590"/>
      <c r="AD61" s="1590"/>
      <c r="AE61" s="1590"/>
      <c r="AF61" s="1590"/>
    </row>
    <row r="62" spans="1:32" s="1583" customFormat="1" ht="13.5" thickBot="1">
      <c r="A62" s="1552" t="s">
        <v>1698</v>
      </c>
      <c r="B62" s="1580">
        <f t="shared" si="56"/>
        <v>112.48648648648648</v>
      </c>
      <c r="C62" s="1580">
        <f t="shared" si="56"/>
        <v>115.21212121212122</v>
      </c>
      <c r="D62" s="1580">
        <f t="shared" si="24"/>
        <v>115.21212121212122</v>
      </c>
      <c r="E62" s="1580">
        <f t="shared" si="57"/>
        <v>110.4024024024024</v>
      </c>
      <c r="F62" s="1580">
        <f t="shared" si="57"/>
        <v>104</v>
      </c>
      <c r="G62" s="1874">
        <v>2004</v>
      </c>
      <c r="H62" s="1581">
        <v>1</v>
      </c>
      <c r="I62" s="1581">
        <v>0.33</v>
      </c>
      <c r="J62" s="1581">
        <v>0.5</v>
      </c>
      <c r="K62" s="1581">
        <v>0.5</v>
      </c>
      <c r="L62" s="1582">
        <v>0</v>
      </c>
      <c r="N62" s="1671">
        <f t="shared" si="54"/>
        <v>1.3391770148526898E-2</v>
      </c>
      <c r="O62" s="1592">
        <f t="shared" si="54"/>
        <v>1.063264221158958E-2</v>
      </c>
      <c r="P62" s="1592">
        <f t="shared" si="55"/>
        <v>2.2244466688911134E-2</v>
      </c>
      <c r="Q62" s="1592">
        <f t="shared" si="55"/>
        <v>0</v>
      </c>
      <c r="R62" s="1585"/>
      <c r="S62" s="1668">
        <f>B62/B63-1</f>
        <v>1.3391770148526883E-2</v>
      </c>
      <c r="T62" s="1584">
        <f>C62/C63-1</f>
        <v>1.063264221158966E-2</v>
      </c>
      <c r="U62" s="1584">
        <f>E62/E63-1</f>
        <v>2.2244466688911224E-2</v>
      </c>
      <c r="V62" s="1584">
        <f>F62/F63-1</f>
        <v>0</v>
      </c>
      <c r="AC62" s="1593"/>
      <c r="AD62" s="1593"/>
      <c r="AE62" s="1593"/>
      <c r="AF62" s="1593"/>
    </row>
    <row r="63" spans="1:32" ht="13.5" thickBot="1">
      <c r="A63" s="1552" t="s">
        <v>1699</v>
      </c>
      <c r="B63" s="1594">
        <v>111</v>
      </c>
      <c r="C63" s="1594">
        <v>114</v>
      </c>
      <c r="D63" s="1594">
        <f t="shared" si="24"/>
        <v>114</v>
      </c>
      <c r="E63" s="1594">
        <v>108</v>
      </c>
      <c r="F63" s="1659">
        <v>104</v>
      </c>
      <c r="G63" s="1872">
        <v>2003</v>
      </c>
      <c r="H63" s="1587">
        <v>4</v>
      </c>
      <c r="I63" s="1595"/>
      <c r="J63" s="1595"/>
      <c r="K63" s="1595"/>
      <c r="L63" s="1595"/>
      <c r="N63" s="1672"/>
      <c r="O63" s="1595"/>
      <c r="P63" s="1595"/>
      <c r="Q63" s="1595"/>
      <c r="S63" s="1672"/>
      <c r="T63" s="1595"/>
      <c r="U63" s="1595"/>
      <c r="V63" s="1595"/>
      <c r="AC63" s="1590"/>
      <c r="AD63" s="1590"/>
      <c r="AE63" s="1590"/>
      <c r="AF63" s="1590"/>
    </row>
    <row r="64" spans="1:32">
      <c r="A64" s="1552" t="s">
        <v>1700</v>
      </c>
      <c r="B64" s="1596">
        <f t="shared" ref="B64:C66" si="58">B65+(B$63-B$67)/4</f>
        <v>109.75</v>
      </c>
      <c r="C64" s="1596">
        <f t="shared" si="58"/>
        <v>112.25</v>
      </c>
      <c r="D64" s="1596">
        <f t="shared" si="24"/>
        <v>112.25</v>
      </c>
      <c r="E64" s="1596">
        <f t="shared" ref="E64:F66" si="59">E65+(E$63-E$67)/4</f>
        <v>107.25</v>
      </c>
      <c r="F64" s="1596">
        <f t="shared" si="59"/>
        <v>103.5</v>
      </c>
      <c r="G64" s="1873">
        <v>2003</v>
      </c>
      <c r="H64" s="1570">
        <v>3</v>
      </c>
      <c r="I64" s="1595"/>
      <c r="J64" s="1595"/>
      <c r="K64" s="1595"/>
      <c r="L64" s="1595"/>
      <c r="AC64" s="1590"/>
      <c r="AD64" s="1590"/>
      <c r="AE64" s="1590"/>
      <c r="AF64" s="1590"/>
    </row>
    <row r="65" spans="1:32">
      <c r="A65" s="1552" t="s">
        <v>1701</v>
      </c>
      <c r="B65" s="1596">
        <f t="shared" si="58"/>
        <v>108.5</v>
      </c>
      <c r="C65" s="1596">
        <f t="shared" si="58"/>
        <v>110.5</v>
      </c>
      <c r="D65" s="1596">
        <f t="shared" si="24"/>
        <v>110.5</v>
      </c>
      <c r="E65" s="1596">
        <f t="shared" si="59"/>
        <v>106.5</v>
      </c>
      <c r="F65" s="1596">
        <f t="shared" si="59"/>
        <v>103</v>
      </c>
      <c r="G65" s="1873">
        <v>2003</v>
      </c>
      <c r="H65" s="1556">
        <v>2</v>
      </c>
      <c r="I65" s="1595"/>
      <c r="J65" s="1595"/>
      <c r="K65" s="1595"/>
      <c r="L65" s="1595"/>
      <c r="AC65" s="1590"/>
      <c r="AD65" s="1590"/>
      <c r="AE65" s="1590"/>
      <c r="AF65" s="1590"/>
    </row>
    <row r="66" spans="1:32" ht="13.5" thickBot="1">
      <c r="A66" s="1552" t="s">
        <v>1702</v>
      </c>
      <c r="B66" s="1596">
        <f t="shared" si="58"/>
        <v>107.25</v>
      </c>
      <c r="C66" s="1596">
        <f t="shared" si="58"/>
        <v>108.75</v>
      </c>
      <c r="D66" s="1596">
        <f t="shared" si="24"/>
        <v>108.75</v>
      </c>
      <c r="E66" s="1596">
        <f t="shared" si="59"/>
        <v>105.75</v>
      </c>
      <c r="F66" s="1596">
        <f t="shared" si="59"/>
        <v>102.5</v>
      </c>
      <c r="G66" s="1874">
        <v>2003</v>
      </c>
      <c r="H66" s="1597">
        <v>1</v>
      </c>
      <c r="I66" s="1595"/>
      <c r="J66" s="1595"/>
      <c r="K66" s="1595"/>
      <c r="L66" s="1595"/>
      <c r="S66" s="1664"/>
      <c r="T66" s="1559"/>
      <c r="U66" s="1559"/>
      <c r="AC66" s="1590"/>
      <c r="AD66" s="1590"/>
      <c r="AE66" s="1590"/>
      <c r="AF66" s="1590"/>
    </row>
    <row r="67" spans="1:32" ht="13.5" thickBot="1">
      <c r="A67" s="1552" t="s">
        <v>1703</v>
      </c>
      <c r="B67" s="1598">
        <v>106</v>
      </c>
      <c r="C67" s="1598">
        <v>107</v>
      </c>
      <c r="D67" s="1598">
        <f t="shared" si="24"/>
        <v>107</v>
      </c>
      <c r="E67" s="1598">
        <v>105</v>
      </c>
      <c r="F67" s="1660">
        <v>102</v>
      </c>
      <c r="G67" s="1872">
        <v>2002</v>
      </c>
      <c r="H67" s="1567">
        <v>4</v>
      </c>
      <c r="I67" s="1595"/>
      <c r="J67" s="1595"/>
      <c r="K67" s="1595"/>
      <c r="L67" s="1595"/>
      <c r="N67" s="1672"/>
      <c r="O67" s="1595"/>
      <c r="P67" s="1595"/>
      <c r="Q67" s="1595"/>
      <c r="S67" s="1672"/>
      <c r="T67" s="1595"/>
      <c r="U67" s="1595"/>
      <c r="V67" s="1595"/>
      <c r="AC67" s="1590"/>
      <c r="AD67" s="1590"/>
      <c r="AE67" s="1590"/>
      <c r="AF67" s="1590"/>
    </row>
    <row r="68" spans="1:32">
      <c r="A68" s="1552" t="s">
        <v>1704</v>
      </c>
      <c r="B68" s="1596">
        <f t="shared" ref="B68:C70" si="60">B69+(B$67-B$71)/4</f>
        <v>105</v>
      </c>
      <c r="C68" s="1596">
        <f t="shared" si="60"/>
        <v>106</v>
      </c>
      <c r="D68" s="1596">
        <f t="shared" si="24"/>
        <v>106</v>
      </c>
      <c r="E68" s="1596">
        <f t="shared" ref="E68:F70" si="61">E69+(E$67-E$71)/4</f>
        <v>104.5</v>
      </c>
      <c r="F68" s="1596">
        <f t="shared" si="61"/>
        <v>101.5</v>
      </c>
      <c r="G68" s="1873">
        <v>2002</v>
      </c>
      <c r="H68" s="1570">
        <v>3</v>
      </c>
      <c r="I68" s="1595"/>
      <c r="J68" s="1595"/>
      <c r="K68" s="1595"/>
      <c r="L68" s="1595"/>
      <c r="AC68" s="1590"/>
      <c r="AD68" s="1590"/>
      <c r="AE68" s="1590"/>
      <c r="AF68" s="1590"/>
    </row>
    <row r="69" spans="1:32">
      <c r="A69" s="1552" t="s">
        <v>1705</v>
      </c>
      <c r="B69" s="1596">
        <f t="shared" si="60"/>
        <v>104</v>
      </c>
      <c r="C69" s="1596">
        <f t="shared" si="60"/>
        <v>105</v>
      </c>
      <c r="D69" s="1596">
        <f t="shared" si="24"/>
        <v>105</v>
      </c>
      <c r="E69" s="1596">
        <f t="shared" si="61"/>
        <v>104</v>
      </c>
      <c r="F69" s="1596">
        <f t="shared" si="61"/>
        <v>101</v>
      </c>
      <c r="G69" s="1873">
        <v>2002</v>
      </c>
      <c r="H69" s="1556">
        <v>2</v>
      </c>
      <c r="I69" s="1595"/>
      <c r="J69" s="1595"/>
      <c r="K69" s="1595"/>
      <c r="L69" s="1595"/>
      <c r="AC69" s="1590"/>
      <c r="AD69" s="1590"/>
      <c r="AE69" s="1590"/>
      <c r="AF69" s="1590"/>
    </row>
    <row r="70" spans="1:32" s="1621" customFormat="1" ht="13.5" thickBot="1">
      <c r="A70" s="1617" t="s">
        <v>1706</v>
      </c>
      <c r="B70" s="1626">
        <f t="shared" si="60"/>
        <v>103</v>
      </c>
      <c r="C70" s="1626">
        <f t="shared" si="60"/>
        <v>104</v>
      </c>
      <c r="D70" s="1626">
        <f t="shared" si="24"/>
        <v>104</v>
      </c>
      <c r="E70" s="1626">
        <f t="shared" si="61"/>
        <v>103.5</v>
      </c>
      <c r="F70" s="1626">
        <f t="shared" si="61"/>
        <v>100.5</v>
      </c>
      <c r="G70" s="1874">
        <v>2002</v>
      </c>
      <c r="H70" s="1627">
        <v>1</v>
      </c>
      <c r="I70" s="1628"/>
      <c r="J70" s="1628"/>
      <c r="K70" s="1628"/>
      <c r="L70" s="1628"/>
      <c r="N70" s="1673"/>
      <c r="S70" s="1673"/>
      <c r="AC70" s="1629"/>
      <c r="AD70" s="1629"/>
      <c r="AE70" s="1629"/>
      <c r="AF70" s="1629"/>
    </row>
    <row r="71" spans="1:32" ht="13.5" thickBot="1">
      <c r="B71" s="1599">
        <v>102</v>
      </c>
      <c r="C71" s="1600">
        <v>103</v>
      </c>
      <c r="D71" s="1600">
        <f t="shared" si="24"/>
        <v>103</v>
      </c>
      <c r="E71" s="1600">
        <v>103</v>
      </c>
      <c r="F71" s="1661">
        <v>100</v>
      </c>
      <c r="I71" s="1595"/>
      <c r="J71" s="1595"/>
      <c r="K71" s="1595"/>
      <c r="L71" s="1595"/>
      <c r="N71" s="1672"/>
      <c r="O71" s="1595"/>
      <c r="P71" s="1595"/>
      <c r="Q71" s="1595"/>
      <c r="S71" s="1672"/>
      <c r="T71" s="1595"/>
      <c r="U71" s="1595"/>
      <c r="V71" s="1595"/>
      <c r="AC71" s="1561"/>
      <c r="AD71" s="1561"/>
      <c r="AE71" s="1561"/>
      <c r="AF71" s="1561"/>
    </row>
    <row r="73" spans="1:32" s="1681" customFormat="1">
      <c r="A73" s="1680" t="s">
        <v>1713</v>
      </c>
      <c r="G73" s="1682"/>
      <c r="N73" s="1682"/>
      <c r="S73" s="1682"/>
    </row>
    <row r="74" spans="1:32" s="1681" customFormat="1">
      <c r="A74" s="1681" t="s">
        <v>1714</v>
      </c>
      <c r="G74" s="1682"/>
      <c r="N74" s="1682"/>
      <c r="S74" s="1682"/>
    </row>
    <row r="75" spans="1:32" s="1681" customFormat="1">
      <c r="A75" s="1681" t="s">
        <v>1715</v>
      </c>
      <c r="G75" s="1682"/>
      <c r="I75" s="1683"/>
      <c r="J75" s="1683"/>
      <c r="K75" s="1683"/>
      <c r="L75" s="1683"/>
      <c r="N75" s="1684"/>
      <c r="O75" s="1683"/>
      <c r="P75" s="1683"/>
      <c r="Q75" s="1683"/>
      <c r="S75" s="1684"/>
      <c r="T75" s="1683"/>
      <c r="U75" s="1683"/>
      <c r="V75" s="1683"/>
    </row>
    <row r="76" spans="1:32" s="1681" customFormat="1">
      <c r="A76" s="1681" t="s">
        <v>1716</v>
      </c>
      <c r="G76" s="1682"/>
      <c r="N76" s="1682"/>
      <c r="S76" s="1682"/>
    </row>
    <row r="83" spans="14:29" ht="13.5" thickBot="1"/>
    <row r="84" spans="14:29" ht="24">
      <c r="S84" s="1676" t="s">
        <v>1707</v>
      </c>
      <c r="T84" s="1601" t="s">
        <v>1708</v>
      </c>
      <c r="U84" s="1601" t="s">
        <v>1709</v>
      </c>
      <c r="V84" s="1601" t="s">
        <v>1710</v>
      </c>
      <c r="W84" s="1602" t="s">
        <v>1711</v>
      </c>
      <c r="X84" s="1603">
        <v>2006</v>
      </c>
      <c r="Y84" s="1604">
        <v>4</v>
      </c>
      <c r="Z84" s="1604">
        <v>3.79</v>
      </c>
      <c r="AA84" s="1604">
        <v>2.21</v>
      </c>
      <c r="AB84" s="1604">
        <v>5.65</v>
      </c>
      <c r="AC84" s="1605">
        <v>5.41</v>
      </c>
    </row>
    <row r="85" spans="14:29">
      <c r="N85" s="1674"/>
      <c r="O85" s="1561"/>
      <c r="P85" s="1561"/>
      <c r="Q85" s="1561"/>
      <c r="S85" s="1677">
        <v>2006</v>
      </c>
      <c r="T85" s="1607">
        <v>15.1</v>
      </c>
      <c r="U85" s="1607">
        <v>7.43</v>
      </c>
      <c r="V85" s="1607">
        <v>26.26</v>
      </c>
      <c r="W85" s="1608">
        <v>7.6</v>
      </c>
      <c r="X85" s="1609">
        <v>2006</v>
      </c>
      <c r="Y85" s="1610">
        <v>3</v>
      </c>
      <c r="Z85" s="1610">
        <v>0.92</v>
      </c>
      <c r="AA85" s="1610">
        <v>1.08</v>
      </c>
      <c r="AB85" s="1610">
        <v>0.73</v>
      </c>
      <c r="AC85" s="1611">
        <v>1.08</v>
      </c>
    </row>
    <row r="86" spans="14:29">
      <c r="N86" s="1674"/>
      <c r="O86" s="1561"/>
      <c r="P86" s="1561"/>
      <c r="Q86" s="1561"/>
      <c r="S86" s="1678">
        <v>2005</v>
      </c>
      <c r="T86" s="1610">
        <v>13.9</v>
      </c>
      <c r="U86" s="1610">
        <v>7.49</v>
      </c>
      <c r="V86" s="1610">
        <v>24.92</v>
      </c>
      <c r="W86" s="1611">
        <v>6.51</v>
      </c>
      <c r="X86" s="1606">
        <v>2006</v>
      </c>
      <c r="Y86" s="1607">
        <v>2</v>
      </c>
      <c r="Z86" s="1607">
        <v>0.96</v>
      </c>
      <c r="AA86" s="1607">
        <v>0.25</v>
      </c>
      <c r="AB86" s="1607">
        <v>1.9</v>
      </c>
      <c r="AC86" s="1608">
        <v>0.95</v>
      </c>
    </row>
    <row r="87" spans="14:29" ht="13.5" thickBot="1">
      <c r="N87" s="1674"/>
      <c r="O87" s="1561"/>
      <c r="P87" s="1561"/>
      <c r="Q87" s="1561"/>
      <c r="S87" s="1677">
        <v>2004</v>
      </c>
      <c r="T87" s="1607">
        <v>9.48</v>
      </c>
      <c r="U87" s="1607">
        <v>7.2</v>
      </c>
      <c r="V87" s="1607">
        <v>14.68</v>
      </c>
      <c r="W87" s="1608">
        <v>2.2000000000000002</v>
      </c>
      <c r="X87" s="1612">
        <v>2006</v>
      </c>
      <c r="Y87" s="1613">
        <v>1</v>
      </c>
      <c r="Z87" s="1613">
        <v>2.29</v>
      </c>
      <c r="AA87" s="1613">
        <v>3.72</v>
      </c>
      <c r="AB87" s="1613">
        <v>0.75</v>
      </c>
      <c r="AC87" s="1614">
        <v>0.04</v>
      </c>
    </row>
    <row r="88" spans="14:29">
      <c r="N88" s="1674"/>
      <c r="O88" s="1561"/>
      <c r="P88" s="1561"/>
      <c r="Q88" s="1561"/>
      <c r="S88" s="1678">
        <v>2003</v>
      </c>
      <c r="T88" s="1610">
        <v>4.5</v>
      </c>
      <c r="U88" s="1610">
        <v>6.12</v>
      </c>
      <c r="V88" s="1610">
        <v>2.34</v>
      </c>
      <c r="W88" s="1611">
        <v>2.36</v>
      </c>
    </row>
    <row r="89" spans="14:29" ht="13.5" thickBot="1">
      <c r="N89" s="1674"/>
      <c r="O89" s="1561"/>
      <c r="P89" s="1561"/>
      <c r="Q89" s="1561"/>
      <c r="S89" s="1679">
        <v>2002</v>
      </c>
      <c r="T89" s="1615">
        <v>3.59</v>
      </c>
      <c r="U89" s="1615">
        <v>4.54</v>
      </c>
      <c r="V89" s="1615">
        <v>2.5499999999999998</v>
      </c>
      <c r="W89" s="1616">
        <v>1.52</v>
      </c>
    </row>
    <row r="90" spans="14:29">
      <c r="N90" s="1674"/>
      <c r="O90" s="1561"/>
      <c r="P90" s="1561"/>
      <c r="Q90" s="1561"/>
    </row>
    <row r="91" spans="14:29">
      <c r="N91" s="1674"/>
      <c r="O91" s="1561"/>
      <c r="P91" s="1561"/>
      <c r="Q91" s="1561"/>
    </row>
    <row r="92" spans="14:29">
      <c r="N92" s="1674"/>
      <c r="O92" s="1561"/>
      <c r="P92" s="1561"/>
      <c r="Q92" s="1561"/>
    </row>
    <row r="93" spans="14:29">
      <c r="N93" s="1674"/>
      <c r="O93" s="1561"/>
      <c r="P93" s="1561"/>
      <c r="Q93" s="1561"/>
    </row>
    <row r="94" spans="14:29">
      <c r="N94" s="1674"/>
      <c r="O94" s="1561"/>
      <c r="P94" s="1561"/>
      <c r="Q94" s="1561"/>
    </row>
    <row r="95" spans="14:29">
      <c r="N95" s="1674"/>
      <c r="O95" s="1561"/>
      <c r="P95" s="1561"/>
      <c r="Q95" s="1561"/>
    </row>
    <row r="96" spans="14:29">
      <c r="N96" s="1674"/>
      <c r="O96" s="1561"/>
      <c r="P96" s="1561"/>
      <c r="Q96" s="1561"/>
    </row>
    <row r="97" spans="14:17">
      <c r="N97" s="1674"/>
      <c r="O97" s="1561"/>
      <c r="P97" s="1561"/>
      <c r="Q97" s="1561"/>
    </row>
    <row r="98" spans="14:17">
      <c r="N98" s="1674"/>
      <c r="O98" s="1561"/>
      <c r="P98" s="1561"/>
      <c r="Q98" s="1561"/>
    </row>
    <row r="99" spans="14:17">
      <c r="N99" s="1674"/>
      <c r="O99" s="1561"/>
      <c r="P99" s="1561"/>
      <c r="Q99" s="1561"/>
    </row>
    <row r="100" spans="14:17">
      <c r="N100" s="1674"/>
      <c r="O100" s="1561"/>
      <c r="P100" s="1561"/>
      <c r="Q100" s="1561"/>
    </row>
    <row r="101" spans="14:17">
      <c r="N101" s="1674"/>
      <c r="O101" s="1561"/>
      <c r="P101" s="1561"/>
      <c r="Q101" s="1561"/>
    </row>
    <row r="102" spans="14:17">
      <c r="N102" s="1674"/>
      <c r="O102" s="1561"/>
      <c r="P102" s="1561"/>
      <c r="Q102" s="1561"/>
    </row>
    <row r="103" spans="14:17">
      <c r="N103" s="1674"/>
      <c r="O103" s="1561"/>
      <c r="P103" s="1561"/>
      <c r="Q103" s="1561"/>
    </row>
    <row r="104" spans="14:17">
      <c r="N104" s="1674"/>
      <c r="O104" s="1561"/>
      <c r="P104" s="1561"/>
      <c r="Q104" s="1561"/>
    </row>
    <row r="105" spans="14:17">
      <c r="N105" s="1674"/>
      <c r="O105" s="1561"/>
      <c r="P105" s="1561"/>
      <c r="Q105" s="1561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>
      <selection activeCell="B4" sqref="B4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972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954</v>
      </c>
      <c r="Q1" s="1" t="s">
        <v>1187</v>
      </c>
      <c r="R1" s="239" t="s">
        <v>1188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955</v>
      </c>
      <c r="X1" s="239" t="s">
        <v>1146</v>
      </c>
      <c r="Y1" s="239" t="s">
        <v>1152</v>
      </c>
    </row>
    <row r="2" spans="1:25">
      <c r="A2" s="662" t="s">
        <v>18</v>
      </c>
      <c r="B2" s="662" t="s">
        <v>1357</v>
      </c>
      <c r="C2" s="396" t="s">
        <v>973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1311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1189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1159</v>
      </c>
      <c r="Y2" s="486" t="s">
        <v>1148</v>
      </c>
    </row>
    <row r="3" spans="1:25">
      <c r="A3" s="662" t="s">
        <v>175</v>
      </c>
      <c r="B3" s="662" t="s">
        <v>1358</v>
      </c>
      <c r="C3" s="397" t="s">
        <v>974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1190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1160</v>
      </c>
      <c r="Y3" s="486" t="s">
        <v>1150</v>
      </c>
    </row>
    <row r="4" spans="1:25">
      <c r="A4" s="662" t="s">
        <v>176</v>
      </c>
      <c r="B4" s="662" t="s">
        <v>1364</v>
      </c>
      <c r="C4" s="396" t="s">
        <v>975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1310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1191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1161</v>
      </c>
      <c r="Y4" s="486" t="s">
        <v>1153</v>
      </c>
    </row>
    <row r="5" spans="1:25">
      <c r="A5" s="662" t="s">
        <v>177</v>
      </c>
      <c r="B5" s="1187" t="s">
        <v>1566</v>
      </c>
      <c r="C5" s="396" t="s">
        <v>976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1192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1268</v>
      </c>
      <c r="Y5" s="187"/>
    </row>
    <row r="6" spans="1:25">
      <c r="A6" s="662" t="s">
        <v>178</v>
      </c>
      <c r="B6" s="185" t="s">
        <v>968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1193</v>
      </c>
      <c r="S6" s="15" t="s">
        <v>56</v>
      </c>
      <c r="T6" s="15"/>
      <c r="U6" s="15" t="s">
        <v>56</v>
      </c>
      <c r="W6" s="15" t="s">
        <v>56</v>
      </c>
      <c r="X6" s="515" t="s">
        <v>1269</v>
      </c>
      <c r="Y6" s="187"/>
    </row>
    <row r="7" spans="1:25">
      <c r="A7" s="662" t="s">
        <v>179</v>
      </c>
      <c r="B7" s="185" t="s">
        <v>968</v>
      </c>
      <c r="C7" s="396" t="s">
        <v>32</v>
      </c>
      <c r="F7" s="15" t="s">
        <v>57</v>
      </c>
      <c r="H7" s="15"/>
      <c r="I7" s="15" t="s">
        <v>58</v>
      </c>
      <c r="X7" s="515" t="s">
        <v>1270</v>
      </c>
    </row>
    <row r="8" spans="1:25">
      <c r="A8" s="662" t="s">
        <v>180</v>
      </c>
      <c r="B8" s="185" t="s">
        <v>968</v>
      </c>
      <c r="C8" s="396" t="s">
        <v>977</v>
      </c>
      <c r="F8" s="15" t="s">
        <v>83</v>
      </c>
      <c r="H8" s="15"/>
      <c r="I8" s="15" t="s">
        <v>84</v>
      </c>
      <c r="X8" s="515" t="s">
        <v>1271</v>
      </c>
    </row>
    <row r="9" spans="1:25">
      <c r="A9" s="662" t="s">
        <v>181</v>
      </c>
      <c r="B9" s="185" t="s">
        <v>968</v>
      </c>
      <c r="C9" s="396" t="s">
        <v>978</v>
      </c>
      <c r="F9" s="15" t="s">
        <v>85</v>
      </c>
      <c r="H9" s="15"/>
    </row>
    <row r="10" spans="1:25">
      <c r="A10" s="662" t="s">
        <v>182</v>
      </c>
      <c r="B10" s="185" t="s">
        <v>968</v>
      </c>
      <c r="C10" s="396" t="s">
        <v>979</v>
      </c>
      <c r="F10" s="15" t="s">
        <v>3</v>
      </c>
    </row>
    <row r="11" spans="1:25">
      <c r="A11" s="662" t="s">
        <v>183</v>
      </c>
      <c r="B11" s="185" t="s">
        <v>968</v>
      </c>
      <c r="C11" s="396" t="s">
        <v>980</v>
      </c>
    </row>
    <row r="12" spans="1:25">
      <c r="A12" s="662" t="s">
        <v>184</v>
      </c>
      <c r="B12" s="185" t="s">
        <v>968</v>
      </c>
      <c r="C12" s="396" t="s">
        <v>981</v>
      </c>
    </row>
    <row r="13" spans="1:25">
      <c r="A13" s="662" t="s">
        <v>185</v>
      </c>
      <c r="B13" s="185" t="s">
        <v>968</v>
      </c>
      <c r="C13" s="396" t="s">
        <v>982</v>
      </c>
    </row>
    <row r="14" spans="1:25">
      <c r="A14" s="662" t="s">
        <v>186</v>
      </c>
      <c r="B14" s="185" t="s">
        <v>968</v>
      </c>
      <c r="C14" s="399"/>
    </row>
    <row r="15" spans="1:25">
      <c r="A15" s="662" t="s">
        <v>187</v>
      </c>
      <c r="B15" s="185" t="s">
        <v>968</v>
      </c>
      <c r="C15" s="399"/>
    </row>
    <row r="16" spans="1:25">
      <c r="A16" s="662" t="s">
        <v>188</v>
      </c>
      <c r="B16" s="185" t="s">
        <v>968</v>
      </c>
      <c r="C16" s="399"/>
    </row>
    <row r="17" spans="1:3">
      <c r="A17" s="662" t="s">
        <v>189</v>
      </c>
      <c r="B17" s="185" t="s">
        <v>968</v>
      </c>
      <c r="C17" s="399"/>
    </row>
    <row r="18" spans="1:3">
      <c r="A18" s="662" t="s">
        <v>190</v>
      </c>
      <c r="B18" s="185" t="s">
        <v>968</v>
      </c>
      <c r="C18" s="399"/>
    </row>
    <row r="19" spans="1:3">
      <c r="A19" s="662" t="s">
        <v>191</v>
      </c>
      <c r="B19" s="185" t="s">
        <v>968</v>
      </c>
      <c r="C19" s="399"/>
    </row>
    <row r="20" spans="1:3">
      <c r="A20" s="662" t="s">
        <v>192</v>
      </c>
      <c r="B20" s="185" t="s">
        <v>968</v>
      </c>
      <c r="C20" s="399"/>
    </row>
    <row r="21" spans="1:3">
      <c r="A21" s="662" t="s">
        <v>193</v>
      </c>
      <c r="B21" s="185" t="s">
        <v>968</v>
      </c>
      <c r="C21" s="399"/>
    </row>
    <row r="22" spans="1:3">
      <c r="A22" s="662" t="s">
        <v>194</v>
      </c>
      <c r="B22" s="185" t="s">
        <v>968</v>
      </c>
      <c r="C22" s="399"/>
    </row>
    <row r="23" spans="1:3">
      <c r="A23" s="662" t="s">
        <v>195</v>
      </c>
      <c r="B23" s="185" t="s">
        <v>968</v>
      </c>
      <c r="C23" s="399"/>
    </row>
    <row r="24" spans="1:3">
      <c r="A24" s="662" t="s">
        <v>196</v>
      </c>
      <c r="B24" s="185" t="s">
        <v>968</v>
      </c>
      <c r="C24" s="399"/>
    </row>
    <row r="25" spans="1:3">
      <c r="A25" s="662" t="s">
        <v>197</v>
      </c>
      <c r="B25" s="185" t="s">
        <v>968</v>
      </c>
      <c r="C25" s="399"/>
    </row>
    <row r="26" spans="1:3">
      <c r="A26" s="662" t="s">
        <v>198</v>
      </c>
      <c r="B26" s="185" t="s">
        <v>968</v>
      </c>
      <c r="C26" s="399"/>
    </row>
    <row r="27" spans="1:3">
      <c r="A27" s="185" t="s">
        <v>968</v>
      </c>
      <c r="B27" s="185" t="s">
        <v>968</v>
      </c>
      <c r="C27" s="399"/>
    </row>
    <row r="28" spans="1:3">
      <c r="A28" s="185" t="s">
        <v>968</v>
      </c>
      <c r="B28" s="185" t="s">
        <v>968</v>
      </c>
      <c r="C28" s="399"/>
    </row>
    <row r="29" spans="1:3">
      <c r="A29" s="185" t="s">
        <v>968</v>
      </c>
      <c r="B29" s="185" t="s">
        <v>968</v>
      </c>
      <c r="C29" s="399"/>
    </row>
    <row r="30" spans="1:3">
      <c r="A30" s="185" t="s">
        <v>968</v>
      </c>
      <c r="B30" s="185" t="s">
        <v>968</v>
      </c>
      <c r="C30" s="399"/>
    </row>
    <row r="31" spans="1:3">
      <c r="A31" s="185" t="s">
        <v>968</v>
      </c>
      <c r="B31" s="185" t="s">
        <v>968</v>
      </c>
      <c r="C31" s="399"/>
    </row>
    <row r="32" spans="1:3">
      <c r="A32" s="185" t="s">
        <v>968</v>
      </c>
      <c r="B32" s="185" t="s">
        <v>968</v>
      </c>
      <c r="C32" s="399"/>
    </row>
    <row r="33" spans="1:3">
      <c r="A33" s="185" t="s">
        <v>968</v>
      </c>
      <c r="B33" s="185" t="s">
        <v>968</v>
      </c>
      <c r="C33" s="399"/>
    </row>
    <row r="34" spans="1:3">
      <c r="A34" s="185" t="s">
        <v>968</v>
      </c>
      <c r="B34" s="185" t="s">
        <v>968</v>
      </c>
      <c r="C34" s="399"/>
    </row>
    <row r="35" spans="1:3">
      <c r="A35" s="185" t="s">
        <v>968</v>
      </c>
      <c r="B35" s="185" t="s">
        <v>968</v>
      </c>
      <c r="C35" s="399"/>
    </row>
    <row r="36" spans="1:3">
      <c r="A36" s="185" t="s">
        <v>968</v>
      </c>
      <c r="B36" s="185" t="s">
        <v>968</v>
      </c>
      <c r="C36" s="399"/>
    </row>
    <row r="37" spans="1:3">
      <c r="A37" s="185" t="s">
        <v>968</v>
      </c>
      <c r="B37" s="185" t="s">
        <v>968</v>
      </c>
      <c r="C37" s="399"/>
    </row>
    <row r="38" spans="1:3">
      <c r="A38" s="185" t="s">
        <v>968</v>
      </c>
      <c r="B38" s="185" t="s">
        <v>968</v>
      </c>
      <c r="C38" s="399"/>
    </row>
    <row r="39" spans="1:3">
      <c r="A39" s="185" t="s">
        <v>968</v>
      </c>
      <c r="B39" s="185" t="s">
        <v>968</v>
      </c>
      <c r="C39" s="399"/>
    </row>
    <row r="40" spans="1:3">
      <c r="A40" s="185" t="s">
        <v>968</v>
      </c>
      <c r="B40" s="185" t="s">
        <v>968</v>
      </c>
      <c r="C40" s="399"/>
    </row>
    <row r="41" spans="1:3">
      <c r="A41" s="185" t="s">
        <v>968</v>
      </c>
      <c r="B41" s="185" t="s">
        <v>968</v>
      </c>
      <c r="C41" s="399"/>
    </row>
    <row r="42" spans="1:3">
      <c r="A42" s="185" t="s">
        <v>968</v>
      </c>
      <c r="B42" s="185" t="s">
        <v>968</v>
      </c>
      <c r="C42" s="399"/>
    </row>
    <row r="43" spans="1:3">
      <c r="A43" s="185" t="s">
        <v>968</v>
      </c>
      <c r="B43" s="185" t="s">
        <v>968</v>
      </c>
      <c r="C43" s="399"/>
    </row>
    <row r="44" spans="1:3">
      <c r="A44" s="185" t="s">
        <v>968</v>
      </c>
      <c r="B44" s="185" t="s">
        <v>968</v>
      </c>
      <c r="C44" s="399"/>
    </row>
    <row r="45" spans="1:3">
      <c r="A45" s="185" t="s">
        <v>968</v>
      </c>
      <c r="B45" s="185" t="s">
        <v>968</v>
      </c>
      <c r="C45" s="399"/>
    </row>
    <row r="46" spans="1:3">
      <c r="A46" s="185" t="s">
        <v>968</v>
      </c>
      <c r="B46" s="185" t="s">
        <v>968</v>
      </c>
      <c r="C46" s="399"/>
    </row>
    <row r="47" spans="1:3">
      <c r="A47" s="185" t="s">
        <v>968</v>
      </c>
      <c r="B47" s="185" t="s">
        <v>968</v>
      </c>
      <c r="C47" s="399"/>
    </row>
    <row r="48" spans="1:3">
      <c r="A48" s="185" t="s">
        <v>968</v>
      </c>
      <c r="B48" s="185" t="s">
        <v>968</v>
      </c>
      <c r="C48" s="399"/>
    </row>
    <row r="49" spans="1:3">
      <c r="A49" s="185" t="s">
        <v>968</v>
      </c>
      <c r="B49" s="185" t="s">
        <v>968</v>
      </c>
      <c r="C49" s="399"/>
    </row>
    <row r="50" spans="1:3">
      <c r="A50" s="185" t="s">
        <v>968</v>
      </c>
      <c r="B50" s="185" t="s">
        <v>968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971</v>
      </c>
      <c r="H1" s="249">
        <f>'2014基准地价'!M18</f>
        <v>60</v>
      </c>
      <c r="I1" s="1449" t="s">
        <v>1646</v>
      </c>
      <c r="J1" s="1463" t="str">
        <f>'2014基准地价'!N19</f>
        <v>2017-1</v>
      </c>
      <c r="K1" s="298"/>
      <c r="L1" s="1461" t="s">
        <v>971</v>
      </c>
      <c r="M1" s="249" t="e">
        <f>'2002基准地价'!B24</f>
        <v>#NUM!</v>
      </c>
      <c r="N1" s="1449" t="s">
        <v>1646</v>
      </c>
      <c r="O1" s="1463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1">
        <f ca="1">ROUND(SUMIF(季度2014,$J$1,K4:K19),4)</f>
        <v>1.2E-2</v>
      </c>
      <c r="L2" s="145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0" t="s">
        <v>264</v>
      </c>
      <c r="B3" s="1447" t="s">
        <v>278</v>
      </c>
      <c r="C3" s="1447" t="s">
        <v>280</v>
      </c>
      <c r="D3" s="1447" t="s">
        <v>1312</v>
      </c>
      <c r="E3" s="1447" t="s">
        <v>1359</v>
      </c>
      <c r="F3" s="1452" t="s">
        <v>2</v>
      </c>
      <c r="G3" s="1455" t="s">
        <v>278</v>
      </c>
      <c r="H3" s="1447" t="s">
        <v>0</v>
      </c>
      <c r="I3" s="1447" t="s">
        <v>1312</v>
      </c>
      <c r="J3" s="1447" t="s">
        <v>1359</v>
      </c>
      <c r="K3" s="1452" t="s">
        <v>2</v>
      </c>
      <c r="L3" s="1455" t="s">
        <v>278</v>
      </c>
      <c r="M3" s="1447" t="s">
        <v>0</v>
      </c>
      <c r="N3" s="1447" t="s">
        <v>1312</v>
      </c>
      <c r="O3" s="1447" t="s">
        <v>1359</v>
      </c>
      <c r="P3" s="1447" t="s">
        <v>2</v>
      </c>
    </row>
    <row r="4" spans="1:23">
      <c r="A4" s="684" t="s">
        <v>1597</v>
      </c>
      <c r="B4" s="624"/>
      <c r="C4" s="624"/>
      <c r="D4" s="624"/>
      <c r="E4" s="624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4" t="s">
        <v>1186</v>
      </c>
      <c r="B5" s="624"/>
      <c r="C5" s="624"/>
      <c r="D5" s="624"/>
      <c r="E5" s="624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4" t="s">
        <v>1185</v>
      </c>
      <c r="B6" s="624"/>
      <c r="C6" s="624"/>
      <c r="D6" s="624"/>
      <c r="E6" s="624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4" t="s">
        <v>1184</v>
      </c>
      <c r="B7" s="624"/>
      <c r="C7" s="624"/>
      <c r="D7" s="624"/>
      <c r="E7" s="624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4" t="s">
        <v>277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4" t="s">
        <v>276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4" t="s">
        <v>266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4" t="s">
        <v>275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4" t="s">
        <v>274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4" t="s">
        <v>273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4" t="s">
        <v>272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4" t="s">
        <v>271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4" t="s">
        <v>270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4" t="s">
        <v>269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4" t="s">
        <v>268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4" t="s">
        <v>267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4" t="s">
        <v>1598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4" t="s">
        <v>1599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4" t="s">
        <v>1600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4" t="s">
        <v>1601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4" t="s">
        <v>1605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4" t="s">
        <v>1606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4" t="s">
        <v>1607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4" t="s">
        <v>1608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4" t="s">
        <v>1609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4" t="s">
        <v>1610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4" t="s">
        <v>1611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4" t="s">
        <v>1612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4" t="s">
        <v>1613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4" t="s">
        <v>1614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4" t="s">
        <v>1615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4" t="s">
        <v>1616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4" t="s">
        <v>1617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4" t="s">
        <v>1618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4" t="s">
        <v>1619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4" t="s">
        <v>1620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4" t="s">
        <v>1621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4" t="s">
        <v>1622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4" t="s">
        <v>1623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4" t="s">
        <v>1624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4" t="s">
        <v>1625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4" t="s">
        <v>1626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4" t="s">
        <v>1627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4" t="s">
        <v>1628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4" t="s">
        <v>1629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4" t="s">
        <v>1602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4" t="s">
        <v>1603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4" t="s">
        <v>1604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4" t="s">
        <v>1630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4" t="s">
        <v>1631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4" t="s">
        <v>1632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4" t="s">
        <v>1633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4" t="s">
        <v>1634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4" t="s">
        <v>1635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4" t="s">
        <v>1636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4" t="s">
        <v>1637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4" t="s">
        <v>1638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4" t="s">
        <v>1639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1640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1641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1642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4" t="s">
        <v>1643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1644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1645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2" sqref="C22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205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206</v>
      </c>
      <c r="D2" s="1297"/>
      <c r="E2" s="1298"/>
      <c r="F2" s="1298"/>
      <c r="G2" s="1299" t="s">
        <v>207</v>
      </c>
    </row>
    <row r="3" spans="1:18" ht="75">
      <c r="A3" s="1300" t="s">
        <v>208</v>
      </c>
      <c r="B3" s="1301" t="s">
        <v>4</v>
      </c>
      <c r="C3" s="1302" t="s">
        <v>1769</v>
      </c>
      <c r="D3" s="1297"/>
      <c r="E3" s="1303" t="s">
        <v>209</v>
      </c>
      <c r="F3" s="1301" t="s">
        <v>210</v>
      </c>
      <c r="G3" s="1304" t="s">
        <v>1751</v>
      </c>
    </row>
    <row r="4" spans="1:18" ht="56.25" hidden="1">
      <c r="A4" s="1305"/>
      <c r="B4" s="1306" t="s">
        <v>211</v>
      </c>
      <c r="C4" s="1307" t="s">
        <v>217</v>
      </c>
      <c r="D4" s="1297"/>
      <c r="E4" s="1308"/>
      <c r="F4" s="1309" t="s">
        <v>212</v>
      </c>
      <c r="G4" s="1310" t="s">
        <v>218</v>
      </c>
    </row>
    <row r="5" spans="1:18" ht="37.5" hidden="1">
      <c r="A5" s="1305"/>
      <c r="B5" s="1306" t="s">
        <v>213</v>
      </c>
      <c r="C5" s="1307" t="s">
        <v>219</v>
      </c>
      <c r="D5" s="1311"/>
      <c r="E5" s="1308"/>
      <c r="F5" s="1309" t="s">
        <v>214</v>
      </c>
      <c r="G5" s="1312" t="s">
        <v>953</v>
      </c>
    </row>
    <row r="6" spans="1:18" ht="75">
      <c r="A6" s="1305"/>
      <c r="B6" s="1309" t="s">
        <v>7</v>
      </c>
      <c r="C6" s="1310" t="s">
        <v>1770</v>
      </c>
      <c r="D6" s="1311"/>
      <c r="E6" s="1308"/>
      <c r="F6" s="1309" t="s">
        <v>203</v>
      </c>
      <c r="G6" s="1313" t="s">
        <v>204</v>
      </c>
    </row>
    <row r="7" spans="1:18" ht="37.5">
      <c r="A7" s="1305"/>
      <c r="B7" s="1309" t="s">
        <v>11</v>
      </c>
      <c r="C7" s="1312" t="s">
        <v>953</v>
      </c>
      <c r="D7" s="1297"/>
      <c r="E7" s="1308"/>
      <c r="F7" s="1314" t="s">
        <v>1194</v>
      </c>
      <c r="G7" s="1315" t="s">
        <v>1196</v>
      </c>
    </row>
    <row r="8" spans="1:18" ht="93.75">
      <c r="A8" s="1305"/>
      <c r="B8" s="1309" t="s">
        <v>10</v>
      </c>
      <c r="C8" s="1307" t="s">
        <v>1771</v>
      </c>
      <c r="D8" s="1311"/>
      <c r="E8" s="1308"/>
      <c r="F8" s="1314" t="s">
        <v>1195</v>
      </c>
      <c r="G8" s="1310" t="s">
        <v>1197</v>
      </c>
    </row>
    <row r="9" spans="1:18">
      <c r="A9" s="1305"/>
      <c r="B9" s="1314" t="s">
        <v>1194</v>
      </c>
      <c r="C9" s="1310" t="s">
        <v>1772</v>
      </c>
      <c r="D9" s="1297"/>
      <c r="E9" s="1308"/>
      <c r="F9" s="1309" t="s">
        <v>9</v>
      </c>
      <c r="G9" s="1316"/>
    </row>
    <row r="10" spans="1:18">
      <c r="A10" s="1305"/>
      <c r="B10" s="1314" t="s">
        <v>1195</v>
      </c>
      <c r="C10" s="1310" t="s">
        <v>1773</v>
      </c>
      <c r="D10" s="1297"/>
      <c r="E10" s="1308"/>
      <c r="F10" s="1309" t="s">
        <v>215</v>
      </c>
      <c r="G10" s="1312"/>
    </row>
    <row r="11" spans="1:18" s="445" customFormat="1" ht="19.5" hidden="1" thickBot="1">
      <c r="A11" s="1305"/>
      <c r="B11" s="1309" t="s">
        <v>9</v>
      </c>
      <c r="C11" s="1316"/>
      <c r="D11" s="447"/>
      <c r="E11" s="1317"/>
      <c r="F11" s="1318" t="s">
        <v>216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 t="s">
        <v>1774</v>
      </c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tabSelected="1" workbookViewId="0">
      <selection activeCell="C23" sqref="C23"/>
    </sheetView>
  </sheetViews>
  <sheetFormatPr defaultRowHeight="13.5"/>
  <cols>
    <col min="1" max="1" width="23.375" style="1697" customWidth="1"/>
    <col min="2" max="9" width="15.75" style="1697" customWidth="1"/>
    <col min="10" max="16384" width="9" style="1697"/>
  </cols>
  <sheetData>
    <row r="1" spans="1:10" ht="16.5">
      <c r="A1" s="1694" t="s">
        <v>1719</v>
      </c>
      <c r="B1" s="1694">
        <f>SUM(B14:B23)</f>
        <v>56.64</v>
      </c>
      <c r="C1" s="1695"/>
      <c r="D1" s="1695"/>
      <c r="E1" s="1695"/>
      <c r="F1" s="1695"/>
      <c r="G1" s="1696"/>
    </row>
    <row r="2" spans="1:10" ht="16.5">
      <c r="A2" s="1694" t="s">
        <v>1720</v>
      </c>
      <c r="B2" s="1694">
        <f>SUM(C14:C23)</f>
        <v>10.46</v>
      </c>
      <c r="C2" s="1695"/>
      <c r="D2" s="1695"/>
      <c r="E2" s="1695"/>
      <c r="F2" s="1695"/>
      <c r="G2" s="1696"/>
    </row>
    <row r="3" spans="1:10" ht="16.5">
      <c r="A3" s="1694" t="s">
        <v>1721</v>
      </c>
      <c r="B3" s="1698">
        <f>主表!B3</f>
        <v>43139</v>
      </c>
      <c r="C3" s="1695"/>
      <c r="D3" s="1695"/>
      <c r="E3" s="1695"/>
      <c r="F3" s="1695"/>
      <c r="G3" s="1696"/>
    </row>
    <row r="4" spans="1:10" ht="33">
      <c r="A4" s="1694" t="s">
        <v>1722</v>
      </c>
      <c r="B4" s="1694" t="s">
        <v>1723</v>
      </c>
      <c r="C4" s="1694" t="s">
        <v>1724</v>
      </c>
      <c r="D4" s="1694" t="s">
        <v>1725</v>
      </c>
      <c r="E4" s="1695"/>
      <c r="F4" s="1696"/>
      <c r="G4" s="1696"/>
    </row>
    <row r="5" spans="1:10" ht="16.5">
      <c r="A5" s="1694" t="s">
        <v>1726</v>
      </c>
      <c r="B5" s="1694">
        <f>SUM(D14:D23)</f>
        <v>0</v>
      </c>
      <c r="C5" s="1694">
        <f>ROUND(B5*10000/$B$1,0)</f>
        <v>0</v>
      </c>
      <c r="D5" s="1694">
        <f>ROUND(B5*10000/$B$2,0)</f>
        <v>0</v>
      </c>
      <c r="E5" s="1695"/>
      <c r="F5" s="1696"/>
      <c r="G5" s="1696"/>
    </row>
    <row r="6" spans="1:10" ht="16.5">
      <c r="A6" s="1694" t="s">
        <v>1727</v>
      </c>
      <c r="B6" s="1694">
        <f>SUM(G14:G23)</f>
        <v>0</v>
      </c>
      <c r="C6" s="1694">
        <f>ROUND(B6*10000/$B$1,0)</f>
        <v>0</v>
      </c>
      <c r="D6" s="1694">
        <f>ROUND(B6*10000/$B$2,0)</f>
        <v>0</v>
      </c>
      <c r="E6" s="1695"/>
      <c r="F6" s="1696"/>
      <c r="G6" s="1696"/>
    </row>
    <row r="7" spans="1:10" ht="16.5">
      <c r="A7" s="1694" t="s">
        <v>1728</v>
      </c>
      <c r="B7" s="1694">
        <f>SUM(H14:H23)</f>
        <v>0</v>
      </c>
      <c r="C7" s="1694">
        <f>ROUND(B7*10000/$B$1,0)</f>
        <v>0</v>
      </c>
      <c r="D7" s="1694">
        <f>ROUND(B7*10000/$B$2,0)</f>
        <v>0</v>
      </c>
      <c r="E7" s="1695"/>
      <c r="F7" s="1696"/>
      <c r="G7" s="1696"/>
    </row>
    <row r="8" spans="1:10" ht="16.5">
      <c r="A8" s="1694" t="s">
        <v>1729</v>
      </c>
      <c r="B8" s="1694">
        <f>SUM(I14:I23)</f>
        <v>0</v>
      </c>
      <c r="C8" s="1694">
        <f>ROUND(B8*10000/$B$1,0)</f>
        <v>0</v>
      </c>
      <c r="D8" s="1694">
        <f>ROUND(B8*10000/$B$2,0)</f>
        <v>0</v>
      </c>
      <c r="E8" s="1695"/>
      <c r="F8" s="1696"/>
      <c r="G8" s="1696"/>
    </row>
    <row r="9" spans="1:10" ht="16.5">
      <c r="A9" s="1694" t="s">
        <v>1730</v>
      </c>
      <c r="B9" s="1699"/>
      <c r="C9" s="1695"/>
      <c r="D9" s="1695"/>
      <c r="E9" s="1695"/>
      <c r="F9" s="1696"/>
      <c r="G9" s="1696"/>
    </row>
    <row r="10" spans="1:10" ht="16.5">
      <c r="A10" s="1694" t="s">
        <v>1731</v>
      </c>
      <c r="B10" s="1699"/>
      <c r="C10" s="1695"/>
      <c r="D10" s="1695"/>
      <c r="E10" s="1695"/>
      <c r="F10" s="1696"/>
      <c r="G10" s="1696"/>
    </row>
    <row r="11" spans="1:10" ht="16.5">
      <c r="A11" s="1694" t="s">
        <v>1750</v>
      </c>
      <c r="B11" s="1694">
        <f ca="1">结果表!B19</f>
        <v>32.639800000000001</v>
      </c>
      <c r="C11" s="1694">
        <f ca="1">结果表!B18</f>
        <v>5763</v>
      </c>
      <c r="D11" s="1695"/>
      <c r="E11" s="1695"/>
      <c r="F11" s="1696"/>
      <c r="G11" s="1696"/>
    </row>
    <row r="12" spans="1:10" ht="16.5">
      <c r="A12" s="1695"/>
      <c r="B12" s="1695"/>
      <c r="C12" s="1695"/>
      <c r="D12" s="1695"/>
      <c r="E12" s="1695"/>
      <c r="F12" s="1696"/>
      <c r="G12" s="1696"/>
    </row>
    <row r="13" spans="1:10" ht="33">
      <c r="A13" s="1700" t="s">
        <v>1732</v>
      </c>
      <c r="B13" s="1701" t="s">
        <v>1733</v>
      </c>
      <c r="C13" s="1701" t="s">
        <v>1734</v>
      </c>
      <c r="D13" s="1701" t="s">
        <v>1735</v>
      </c>
      <c r="E13" s="1694" t="s">
        <v>1724</v>
      </c>
      <c r="F13" s="1694" t="s">
        <v>1736</v>
      </c>
      <c r="G13" s="1701" t="s">
        <v>1737</v>
      </c>
      <c r="H13" s="1701" t="s">
        <v>1738</v>
      </c>
      <c r="I13" s="1701" t="s">
        <v>1739</v>
      </c>
      <c r="J13" s="1696"/>
    </row>
    <row r="14" spans="1:10" ht="16.5">
      <c r="A14" s="1702" t="s">
        <v>1740</v>
      </c>
      <c r="B14" s="1701">
        <f>主表!B7</f>
        <v>56.64</v>
      </c>
      <c r="C14" s="1701">
        <f>主表!B6</f>
        <v>10.46</v>
      </c>
      <c r="D14" s="1701"/>
      <c r="E14" s="1701">
        <f>ROUND(D14*10000/B14,0)</f>
        <v>0</v>
      </c>
      <c r="F14" s="1701">
        <f>ROUND(D14*10000/C14,0)</f>
        <v>0</v>
      </c>
      <c r="G14" s="1701"/>
      <c r="H14" s="1701"/>
      <c r="I14" s="1701"/>
      <c r="J14" s="1696"/>
    </row>
    <row r="15" spans="1:10" ht="16.5">
      <c r="A15" s="1702" t="s">
        <v>1741</v>
      </c>
      <c r="B15" s="1703"/>
      <c r="C15" s="1703"/>
      <c r="D15" s="1703"/>
      <c r="E15" s="1701" t="e">
        <f t="shared" ref="E15:E23" si="0">ROUND(D15*10000/B15,0)</f>
        <v>#DIV/0!</v>
      </c>
      <c r="F15" s="1701" t="e">
        <f t="shared" ref="F15:F23" si="1">ROUND(D15*10000/C15,0)</f>
        <v>#DIV/0!</v>
      </c>
      <c r="G15" s="1704"/>
      <c r="H15" s="1704"/>
      <c r="I15" s="1703"/>
      <c r="J15" s="1696"/>
    </row>
    <row r="16" spans="1:10" ht="16.5">
      <c r="A16" s="1702" t="s">
        <v>1742</v>
      </c>
      <c r="B16" s="1703"/>
      <c r="C16" s="1703"/>
      <c r="D16" s="1703"/>
      <c r="E16" s="1701" t="e">
        <f t="shared" si="0"/>
        <v>#DIV/0!</v>
      </c>
      <c r="F16" s="1701" t="e">
        <f t="shared" si="1"/>
        <v>#DIV/0!</v>
      </c>
      <c r="G16" s="1704"/>
      <c r="H16" s="1704"/>
      <c r="I16" s="1703"/>
    </row>
    <row r="17" spans="1:9" ht="16.5">
      <c r="A17" s="1702" t="s">
        <v>1743</v>
      </c>
      <c r="B17" s="1703"/>
      <c r="C17" s="1703"/>
      <c r="D17" s="1703"/>
      <c r="E17" s="1701" t="e">
        <f t="shared" si="0"/>
        <v>#DIV/0!</v>
      </c>
      <c r="F17" s="1701" t="e">
        <f t="shared" si="1"/>
        <v>#DIV/0!</v>
      </c>
      <c r="G17" s="1704"/>
      <c r="H17" s="1704"/>
      <c r="I17" s="1703"/>
    </row>
    <row r="18" spans="1:9" ht="16.5">
      <c r="A18" s="1702" t="s">
        <v>1744</v>
      </c>
      <c r="B18" s="1703"/>
      <c r="C18" s="1703"/>
      <c r="D18" s="1703"/>
      <c r="E18" s="1701" t="e">
        <f t="shared" si="0"/>
        <v>#DIV/0!</v>
      </c>
      <c r="F18" s="1701" t="e">
        <f t="shared" si="1"/>
        <v>#DIV/0!</v>
      </c>
      <c r="G18" s="1703"/>
      <c r="H18" s="1703"/>
      <c r="I18" s="1703"/>
    </row>
    <row r="19" spans="1:9" ht="16.5">
      <c r="A19" s="1702" t="s">
        <v>1745</v>
      </c>
      <c r="B19" s="1703"/>
      <c r="C19" s="1703"/>
      <c r="D19" s="1703"/>
      <c r="E19" s="1701" t="e">
        <f t="shared" si="0"/>
        <v>#DIV/0!</v>
      </c>
      <c r="F19" s="1701" t="e">
        <f t="shared" si="1"/>
        <v>#DIV/0!</v>
      </c>
      <c r="G19" s="1703"/>
      <c r="H19" s="1703"/>
      <c r="I19" s="1703"/>
    </row>
    <row r="20" spans="1:9" ht="16.5">
      <c r="A20" s="1702" t="s">
        <v>1746</v>
      </c>
      <c r="B20" s="1703"/>
      <c r="C20" s="1703"/>
      <c r="D20" s="1703"/>
      <c r="E20" s="1701" t="e">
        <f t="shared" si="0"/>
        <v>#DIV/0!</v>
      </c>
      <c r="F20" s="1701" t="e">
        <f t="shared" si="1"/>
        <v>#DIV/0!</v>
      </c>
      <c r="G20" s="1703"/>
      <c r="H20" s="1703"/>
      <c r="I20" s="1703"/>
    </row>
    <row r="21" spans="1:9" ht="16.5">
      <c r="A21" s="1702" t="s">
        <v>1747</v>
      </c>
      <c r="B21" s="1703"/>
      <c r="C21" s="1703"/>
      <c r="D21" s="1703"/>
      <c r="E21" s="1701" t="e">
        <f t="shared" si="0"/>
        <v>#DIV/0!</v>
      </c>
      <c r="F21" s="1701" t="e">
        <f t="shared" si="1"/>
        <v>#DIV/0!</v>
      </c>
      <c r="G21" s="1703"/>
      <c r="H21" s="1703"/>
      <c r="I21" s="1703"/>
    </row>
    <row r="22" spans="1:9" ht="16.5">
      <c r="A22" s="1702" t="s">
        <v>1748</v>
      </c>
      <c r="B22" s="1703"/>
      <c r="C22" s="1703"/>
      <c r="D22" s="1703"/>
      <c r="E22" s="1701" t="e">
        <f t="shared" si="0"/>
        <v>#DIV/0!</v>
      </c>
      <c r="F22" s="1701" t="e">
        <f t="shared" si="1"/>
        <v>#DIV/0!</v>
      </c>
      <c r="G22" s="1703"/>
      <c r="H22" s="1703"/>
      <c r="I22" s="1703"/>
    </row>
    <row r="23" spans="1:9" ht="16.5">
      <c r="A23" s="1702" t="s">
        <v>1749</v>
      </c>
      <c r="B23" s="1703"/>
      <c r="C23" s="1703"/>
      <c r="D23" s="1703"/>
      <c r="E23" s="1701" t="e">
        <f t="shared" si="0"/>
        <v>#DIV/0!</v>
      </c>
      <c r="F23" s="1701" t="e">
        <f t="shared" si="1"/>
        <v>#DIV/0!</v>
      </c>
      <c r="G23" s="1703"/>
      <c r="H23" s="1703"/>
      <c r="I23" s="1703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C33" sqref="C33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1365</v>
      </c>
      <c r="B2" s="1764"/>
      <c r="C2" s="1764"/>
      <c r="D2" s="1764"/>
      <c r="E2" s="1764"/>
      <c r="F2" s="1764"/>
      <c r="G2" s="1764"/>
      <c r="H2" s="665"/>
      <c r="I2" s="227"/>
      <c r="X2" s="221"/>
      <c r="AG2" s="189"/>
    </row>
    <row r="3" spans="1:33" ht="13.5">
      <c r="A3" s="1765" t="s">
        <v>1366</v>
      </c>
      <c r="B3" s="1766"/>
      <c r="C3" s="1767"/>
      <c r="D3" s="1768" t="s">
        <v>1367</v>
      </c>
      <c r="E3" s="1766"/>
      <c r="F3" s="1766"/>
      <c r="G3" s="1769"/>
      <c r="H3" s="665"/>
      <c r="I3" s="227"/>
      <c r="X3" s="221"/>
      <c r="AG3" s="189"/>
    </row>
    <row r="4" spans="1:33" ht="27">
      <c r="A4" s="1332" t="s">
        <v>1368</v>
      </c>
      <c r="B4" s="1333" t="s">
        <v>1369</v>
      </c>
      <c r="C4" s="1334" t="s">
        <v>1370</v>
      </c>
      <c r="D4" s="1770" t="s">
        <v>1368</v>
      </c>
      <c r="E4" s="1762"/>
      <c r="F4" s="1333" t="s">
        <v>1369</v>
      </c>
      <c r="G4" s="1335" t="s">
        <v>1371</v>
      </c>
      <c r="H4" s="665"/>
      <c r="I4" s="221"/>
      <c r="X4" s="221"/>
      <c r="AG4" s="189"/>
    </row>
    <row r="5" spans="1:33" ht="13.5">
      <c r="A5" s="1771" t="s">
        <v>1372</v>
      </c>
      <c r="B5" s="1756">
        <f ca="1">主表!F5</f>
        <v>2170</v>
      </c>
      <c r="C5" s="1772" t="s">
        <v>1373</v>
      </c>
      <c r="D5" s="1762" t="s">
        <v>1374</v>
      </c>
      <c r="E5" s="1763"/>
      <c r="F5" s="1336">
        <f>SUM(F6:F10)</f>
        <v>3597</v>
      </c>
      <c r="G5" s="1337" t="s">
        <v>1651</v>
      </c>
      <c r="H5" s="665"/>
      <c r="I5" s="227"/>
      <c r="X5" s="221"/>
      <c r="AG5" s="189"/>
    </row>
    <row r="6" spans="1:33" ht="27">
      <c r="A6" s="1771"/>
      <c r="B6" s="1756"/>
      <c r="C6" s="1772"/>
      <c r="D6" s="1773" t="s">
        <v>1395</v>
      </c>
      <c r="E6" s="1336" t="s">
        <v>1375</v>
      </c>
      <c r="F6" s="1336">
        <f>主表!F14</f>
        <v>2310</v>
      </c>
      <c r="G6" s="1337" t="s">
        <v>1376</v>
      </c>
      <c r="H6" s="665"/>
      <c r="I6" s="227"/>
      <c r="X6" s="221"/>
      <c r="AG6" s="189"/>
    </row>
    <row r="7" spans="1:33" ht="13.5">
      <c r="A7" s="1771"/>
      <c r="B7" s="1756"/>
      <c r="C7" s="1772"/>
      <c r="D7" s="1773"/>
      <c r="E7" s="1336" t="s">
        <v>1377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71"/>
      <c r="B8" s="1756"/>
      <c r="C8" s="1772"/>
      <c r="D8" s="1758" t="s">
        <v>1396</v>
      </c>
      <c r="E8" s="1759"/>
      <c r="F8" s="1336">
        <f>主表!F16</f>
        <v>169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1"/>
      <c r="B9" s="1756"/>
      <c r="C9" s="1772"/>
      <c r="D9" s="1758" t="s">
        <v>1397</v>
      </c>
      <c r="E9" s="1759"/>
      <c r="F9" s="1336">
        <f>主表!F18</f>
        <v>337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71"/>
      <c r="B10" s="1756"/>
      <c r="C10" s="1772"/>
      <c r="D10" s="1758" t="s">
        <v>1398</v>
      </c>
      <c r="E10" s="1759"/>
      <c r="F10" s="1336">
        <f>主表!F19</f>
        <v>281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1378</v>
      </c>
      <c r="B11" s="1336">
        <f ca="1">主表!F8</f>
        <v>43</v>
      </c>
      <c r="C11" s="1338" t="str">
        <f>"按前期开发成本的"&amp;TEXT(主表!G8,"0.0%")&amp;"计取"</f>
        <v>按前期开发成本的2.0%计取</v>
      </c>
      <c r="D11" s="1762" t="s">
        <v>1379</v>
      </c>
      <c r="E11" s="1763"/>
      <c r="F11" s="1336">
        <f>主表!F20</f>
        <v>108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1380</v>
      </c>
      <c r="B12" s="1336">
        <f ca="1">主表!F9</f>
        <v>140</v>
      </c>
      <c r="C12" s="1339" t="str">
        <f ca="1">"前期开发期为"&amp;主表!B24&amp;"年，贷款利率为"&amp;TEXT(主表!G9,"0.00%")&amp;"，"&amp;主表!H9</f>
        <v>前期开发期为1年，贷款利率为6.39%，计息期为1年，单利计息</v>
      </c>
      <c r="D12" s="1762" t="s">
        <v>1381</v>
      </c>
      <c r="E12" s="1763"/>
      <c r="F12" s="1336">
        <f ca="1">主表!F21</f>
        <v>176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1382</v>
      </c>
      <c r="B13" s="1336">
        <f ca="1">主表!F10</f>
        <v>885</v>
      </c>
      <c r="C13" s="1339" t="str">
        <f>"按前期开发成本及其管理费用的"&amp;TEXT(主表!G10,"0%")&amp;"计取"</f>
        <v>按前期开发成本及其管理费用的40%计取</v>
      </c>
      <c r="D13" s="1762" t="s">
        <v>1382</v>
      </c>
      <c r="E13" s="1763"/>
      <c r="F13" s="1336">
        <f>主表!F22</f>
        <v>1482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1383</v>
      </c>
      <c r="B14" s="1336">
        <f ca="1">SUM(B5:B13)</f>
        <v>3238</v>
      </c>
      <c r="C14" s="1339" t="s">
        <v>1384</v>
      </c>
      <c r="D14" s="1762" t="s">
        <v>1383</v>
      </c>
      <c r="E14" s="1763"/>
      <c r="F14" s="1336">
        <f ca="1">F5+F11+F12+F13</f>
        <v>5363</v>
      </c>
      <c r="G14" s="1337" t="s">
        <v>1384</v>
      </c>
      <c r="H14" s="665"/>
      <c r="I14" s="227"/>
      <c r="X14" s="221"/>
      <c r="AG14" s="189"/>
    </row>
    <row r="15" spans="1:33" ht="27.75" thickBot="1">
      <c r="A15" s="1332" t="s">
        <v>1385</v>
      </c>
      <c r="B15" s="1756">
        <f ca="1">主表!F24</f>
        <v>8601</v>
      </c>
      <c r="C15" s="1757"/>
      <c r="D15" s="1758" t="s">
        <v>1386</v>
      </c>
      <c r="E15" s="1759"/>
      <c r="F15" s="1759"/>
      <c r="G15" s="1760"/>
      <c r="H15" s="665"/>
      <c r="I15" s="227"/>
      <c r="X15" s="221"/>
      <c r="AG15" s="189"/>
    </row>
    <row r="16" spans="1:33" ht="27.75" thickBot="1">
      <c r="A16" s="1332" t="s">
        <v>1387</v>
      </c>
      <c r="B16" s="1756">
        <f ca="1">主表!F25</f>
        <v>48.716099999999997</v>
      </c>
      <c r="C16" s="1757"/>
      <c r="D16" s="1758" t="s">
        <v>1388</v>
      </c>
      <c r="E16" s="1759"/>
      <c r="F16" s="1759"/>
      <c r="G16" s="1760"/>
      <c r="H16" s="1341" t="str">
        <f ca="1">NUMBERSTRING(INT(B16*10000),2)&amp;"元整"</f>
        <v>肆拾捌万柒仟壹佰陆拾壹元整</v>
      </c>
      <c r="I16" s="1342"/>
      <c r="X16" s="221"/>
      <c r="AG16" s="189"/>
    </row>
    <row r="17" spans="1:33" ht="13.5">
      <c r="A17" s="1332" t="s">
        <v>1389</v>
      </c>
      <c r="B17" s="1761">
        <f>主表!F33</f>
        <v>0.67</v>
      </c>
      <c r="C17" s="1757"/>
      <c r="D17" s="1758" t="s">
        <v>1390</v>
      </c>
      <c r="E17" s="1759"/>
      <c r="F17" s="1759"/>
      <c r="G17" s="1760"/>
      <c r="H17" s="665"/>
      <c r="I17" s="227"/>
      <c r="X17" s="221"/>
      <c r="AG17" s="189"/>
    </row>
    <row r="18" spans="1:33" ht="27.75" thickBot="1">
      <c r="A18" s="1332" t="s">
        <v>1391</v>
      </c>
      <c r="B18" s="1756">
        <f ca="1">主表!F35</f>
        <v>5763</v>
      </c>
      <c r="C18" s="1757"/>
      <c r="D18" s="1758" t="s">
        <v>1392</v>
      </c>
      <c r="E18" s="1759"/>
      <c r="F18" s="1759"/>
      <c r="G18" s="1760"/>
      <c r="H18" s="663"/>
      <c r="I18" s="227"/>
      <c r="X18" s="221"/>
      <c r="AG18" s="189"/>
    </row>
    <row r="19" spans="1:33" ht="27.75" thickBot="1">
      <c r="A19" s="1340" t="s">
        <v>1393</v>
      </c>
      <c r="B19" s="1751">
        <f ca="1">主表!F36</f>
        <v>32.639800000000001</v>
      </c>
      <c r="C19" s="1752"/>
      <c r="D19" s="1753" t="s">
        <v>1394</v>
      </c>
      <c r="E19" s="1754"/>
      <c r="F19" s="1754"/>
      <c r="G19" s="1755"/>
      <c r="H19" s="1341" t="str">
        <f ca="1">NUMBERSTRING(INT(B19*10000),2)&amp;"元整"</f>
        <v>叁拾贰万陆仟叁佰玖拾捌元整</v>
      </c>
      <c r="I19" s="1342"/>
      <c r="X19" s="221"/>
      <c r="AG19" s="189"/>
    </row>
    <row r="20" spans="1:33" ht="20.25">
      <c r="A20" s="412" t="s">
        <v>220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48" t="s">
        <v>222</v>
      </c>
      <c r="H26" s="227"/>
      <c r="I26" s="227"/>
      <c r="W26" s="221"/>
      <c r="X26" s="221"/>
      <c r="AF26" s="189"/>
      <c r="AG26" s="189"/>
    </row>
    <row r="27" spans="1:33">
      <c r="A27" s="1343" t="s">
        <v>223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zoomScale="90" zoomScaleNormal="90" workbookViewId="0">
      <selection activeCell="F38" sqref="F38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1222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1294</v>
      </c>
      <c r="B2" s="1197"/>
      <c r="C2" s="1198"/>
      <c r="D2" s="1779" t="s">
        <v>1285</v>
      </c>
      <c r="E2" s="1780"/>
      <c r="F2" s="1780"/>
      <c r="G2" s="1780"/>
      <c r="H2" s="1781"/>
      <c r="I2" s="1199"/>
      <c r="J2" s="1199"/>
      <c r="K2" s="1250"/>
      <c r="L2" s="1250"/>
      <c r="N2" s="516" t="s">
        <v>1158</v>
      </c>
      <c r="O2" s="487">
        <f>SUMPRODUCT((N6:N12=B20)*(O5:Q5=B21)*(O6:Q12))</f>
        <v>60</v>
      </c>
    </row>
    <row r="3" spans="1:18" ht="15.75" customHeight="1">
      <c r="A3" s="1200" t="s">
        <v>1276</v>
      </c>
      <c r="B3" s="518">
        <v>43139</v>
      </c>
      <c r="C3" s="1198"/>
      <c r="D3" s="1201" t="s">
        <v>1227</v>
      </c>
      <c r="E3" s="1202" t="s">
        <v>1228</v>
      </c>
      <c r="F3" s="1202" t="s">
        <v>1229</v>
      </c>
      <c r="G3" s="1202" t="s">
        <v>1299</v>
      </c>
      <c r="H3" s="1203" t="s">
        <v>1291</v>
      </c>
      <c r="I3" s="1204"/>
      <c r="J3" s="1205"/>
      <c r="K3" s="1250"/>
      <c r="L3" s="1250"/>
      <c r="N3" s="488" t="s">
        <v>1273</v>
      </c>
      <c r="O3" s="1434">
        <f>IF(B22="",O2,YEAR(B3)-B22)</f>
        <v>22</v>
      </c>
    </row>
    <row r="4" spans="1:18" ht="15.75" customHeight="1">
      <c r="A4" s="1200" t="s">
        <v>1543</v>
      </c>
      <c r="B4" s="518">
        <v>36137</v>
      </c>
      <c r="C4" s="1198"/>
      <c r="D4" s="1206" t="s">
        <v>1286</v>
      </c>
      <c r="E4" s="1207" t="s">
        <v>1582</v>
      </c>
      <c r="F4" s="1208">
        <f ca="1">F5+F8+F9+F10</f>
        <v>3238</v>
      </c>
      <c r="G4" s="1209"/>
      <c r="H4" s="1210" t="s">
        <v>1230</v>
      </c>
      <c r="I4" s="1211"/>
      <c r="J4" s="1194"/>
      <c r="K4" s="1250"/>
      <c r="L4" s="1250"/>
      <c r="N4" s="488" t="s">
        <v>1272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1583</v>
      </c>
      <c r="F5" s="1053">
        <f ca="1">IF(B4&lt;DATE(2002,12,10),F6,F6-F7)</f>
        <v>2170</v>
      </c>
      <c r="G5" s="1216"/>
      <c r="H5" s="1217" t="s">
        <v>1296</v>
      </c>
      <c r="I5" s="1211"/>
      <c r="J5" s="1194"/>
      <c r="K5" s="1250"/>
      <c r="L5" s="1250"/>
      <c r="N5" s="515" t="s">
        <v>1154</v>
      </c>
      <c r="O5" s="1218" t="s">
        <v>1149</v>
      </c>
      <c r="P5" s="1218" t="s">
        <v>1151</v>
      </c>
      <c r="Q5" s="1218" t="s">
        <v>1147</v>
      </c>
      <c r="R5" s="1218" t="s">
        <v>1267</v>
      </c>
    </row>
    <row r="6" spans="1:18" ht="15.75" customHeight="1">
      <c r="A6" s="1200" t="s">
        <v>1224</v>
      </c>
      <c r="B6" s="1288">
        <v>10.46</v>
      </c>
      <c r="C6" s="1198"/>
      <c r="D6" s="1219" t="s">
        <v>1278</v>
      </c>
      <c r="E6" s="1215" t="s">
        <v>1231</v>
      </c>
      <c r="F6" s="1053">
        <f ca="1">IF(B4&lt;DATE(2002,12,10),'1993基准地价'!B3,IF(B4&gt;=DATE(2014,8,28),'2014基准地价'!B3,'2002基准地价'!B3))</f>
        <v>2170</v>
      </c>
      <c r="G6" s="1216"/>
      <c r="H6" s="1220" t="str">
        <f>"采用"&amp;IF(B4&lt;DATE(2002,12,10),"1993版",IF(B4&gt;=DATE(2014,8,28),"2014版","2002版"))&amp;"基准地价系数修正法计算"</f>
        <v>采用1993版基准地价系数修正法计算</v>
      </c>
      <c r="I6" s="1688" t="s">
        <v>1577</v>
      </c>
      <c r="J6" s="1194"/>
      <c r="K6" s="1250"/>
      <c r="L6" s="1250"/>
      <c r="N6" s="515" t="s">
        <v>1159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1225</v>
      </c>
      <c r="B7" s="1288">
        <v>56.64</v>
      </c>
      <c r="C7" s="1198"/>
      <c r="D7" s="1219" t="s">
        <v>1279</v>
      </c>
      <c r="E7" s="1215" t="s">
        <v>1232</v>
      </c>
      <c r="F7" s="1053">
        <f>IF(B4&lt;DATE(2002,12,10),'1993基准地价'!C14,IF(B4&gt;=DATE(2014,8,28),'2014基准地价'!C30,IF(H7="采用比较法计算",比较法!B3,IF(H7="扣毛地价",'2002基准地价'!B4,'2002基准地价'!B5))))</f>
        <v>0</v>
      </c>
      <c r="G7" s="1224"/>
      <c r="H7" s="1386" t="s">
        <v>1768</v>
      </c>
      <c r="I7" s="1225" t="s">
        <v>1570</v>
      </c>
      <c r="J7" s="1194"/>
      <c r="K7" s="1250"/>
      <c r="L7" s="1250"/>
      <c r="N7" s="515" t="s">
        <v>1160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1226</v>
      </c>
      <c r="B8" s="1226">
        <f>ROUND(B7/B6,2)</f>
        <v>5.41</v>
      </c>
      <c r="C8" s="1198"/>
      <c r="D8" s="1227">
        <v>2</v>
      </c>
      <c r="E8" s="1228" t="s">
        <v>1234</v>
      </c>
      <c r="F8" s="1229">
        <f ca="1">ROUND(F5*G8,0)</f>
        <v>43</v>
      </c>
      <c r="G8" s="664">
        <v>0.02</v>
      </c>
      <c r="H8" s="1230"/>
      <c r="I8" s="1211" t="s">
        <v>1295</v>
      </c>
      <c r="J8" s="1194"/>
      <c r="K8" s="1250"/>
      <c r="L8" s="1250"/>
      <c r="N8" s="515" t="s">
        <v>1161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1647</v>
      </c>
      <c r="B9" s="1288">
        <f>ROUND(56.64/10.46,2)</f>
        <v>5.41</v>
      </c>
      <c r="C9" s="1198"/>
      <c r="D9" s="1227">
        <v>3</v>
      </c>
      <c r="E9" s="1228" t="s">
        <v>1235</v>
      </c>
      <c r="F9" s="1229">
        <f ca="1">ROUND(F5*(POWER((1+G9),B24)-1)+F8*(POWER((1+G9),B24/2)-1),0)</f>
        <v>140</v>
      </c>
      <c r="G9" s="1231">
        <f ca="1">存贷款利率!G2</f>
        <v>6.3899999999999998E-2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1268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1300</v>
      </c>
      <c r="B10" s="1289" t="s">
        <v>251</v>
      </c>
      <c r="C10" s="1198"/>
      <c r="D10" s="1236">
        <v>4</v>
      </c>
      <c r="E10" s="1237" t="s">
        <v>1236</v>
      </c>
      <c r="F10" s="1238">
        <f ca="1">ROUND((F5+F8)*G10,0)</f>
        <v>885</v>
      </c>
      <c r="G10" s="521">
        <v>0.4</v>
      </c>
      <c r="H10" s="1239" t="s">
        <v>1238</v>
      </c>
      <c r="I10" s="1240" t="s">
        <v>1237</v>
      </c>
      <c r="J10" s="1241"/>
      <c r="K10" s="1250"/>
      <c r="L10" s="1250"/>
      <c r="N10" s="515" t="s">
        <v>1269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1301</v>
      </c>
      <c r="B11" s="1188"/>
      <c r="C11" s="1198"/>
      <c r="D11" s="1242" t="s">
        <v>1292</v>
      </c>
      <c r="E11" s="1243" t="s">
        <v>1584</v>
      </c>
      <c r="F11" s="1208">
        <f ca="1">F12+F20+F21+F22</f>
        <v>5363</v>
      </c>
      <c r="G11" s="1244"/>
      <c r="H11" s="1245" t="s">
        <v>1239</v>
      </c>
      <c r="I11" s="1211"/>
      <c r="J11" s="1194"/>
      <c r="K11" s="1250"/>
      <c r="L11" s="1250"/>
      <c r="N11" s="515" t="s">
        <v>1270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1765</v>
      </c>
      <c r="C12" s="1198"/>
      <c r="D12" s="1227">
        <v>1</v>
      </c>
      <c r="E12" s="1228" t="s">
        <v>1585</v>
      </c>
      <c r="F12" s="1229">
        <f>F13+F16+F17</f>
        <v>3597</v>
      </c>
      <c r="G12" s="1246"/>
      <c r="H12" s="1247" t="s">
        <v>1297</v>
      </c>
      <c r="I12" s="1211"/>
      <c r="J12" s="1194"/>
      <c r="K12" s="1250"/>
      <c r="L12" s="1250"/>
      <c r="N12" s="515" t="s">
        <v>1271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1277</v>
      </c>
      <c r="B13" s="507">
        <v>70</v>
      </c>
      <c r="C13" s="1198"/>
      <c r="D13" s="1219" t="s">
        <v>1278</v>
      </c>
      <c r="E13" s="1228" t="s">
        <v>1240</v>
      </c>
      <c r="F13" s="1229">
        <f>F14+F15</f>
        <v>2810</v>
      </c>
      <c r="G13" s="1246"/>
      <c r="H13" s="1247" t="s">
        <v>1298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61500</v>
      </c>
      <c r="C14" s="1198"/>
      <c r="D14" s="1227" t="s">
        <v>1281</v>
      </c>
      <c r="E14" s="1228" t="s">
        <v>1241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69.48</v>
      </c>
      <c r="C15" s="1198"/>
      <c r="D15" s="1227" t="s">
        <v>1282</v>
      </c>
      <c r="E15" s="1228" t="s">
        <v>1242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1648</v>
      </c>
      <c r="B16" s="1288"/>
      <c r="C16" s="1198"/>
      <c r="D16" s="1219" t="s">
        <v>1279</v>
      </c>
      <c r="E16" s="1228" t="s">
        <v>1243</v>
      </c>
      <c r="F16" s="1053">
        <f>ROUND(F13*G16,0)</f>
        <v>169</v>
      </c>
      <c r="G16" s="520">
        <v>0.06</v>
      </c>
      <c r="H16" s="1251" t="s">
        <v>1245</v>
      </c>
      <c r="I16" s="1233" t="s">
        <v>1244</v>
      </c>
      <c r="J16" s="1194"/>
      <c r="K16" s="1250"/>
      <c r="L16" s="1250"/>
    </row>
    <row r="17" spans="1:18" ht="15.75" customHeight="1">
      <c r="A17" s="509" t="s">
        <v>1649</v>
      </c>
      <c r="B17" s="1502">
        <f ca="1">IF(B4&lt;DATE(2002,12,10),'1993基准地价'!C23,IF(B4&gt;=DATE(2014,8,28),'2014基准地价'!G20,'2002基准地价'!E10))</f>
        <v>5.4000000000000006E-2</v>
      </c>
      <c r="C17" s="1198"/>
      <c r="D17" s="1219" t="s">
        <v>1280</v>
      </c>
      <c r="E17" s="1228" t="s">
        <v>1246</v>
      </c>
      <c r="F17" s="1229">
        <f>F18+F19</f>
        <v>618</v>
      </c>
      <c r="G17" s="1246"/>
      <c r="H17" s="1247" t="s">
        <v>1298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0.999</v>
      </c>
      <c r="C18" s="1198"/>
      <c r="D18" s="1227" t="s">
        <v>1283</v>
      </c>
      <c r="E18" s="1228" t="s">
        <v>1293</v>
      </c>
      <c r="F18" s="1053">
        <f>ROUND(IF(B12="住宅/居住",F13*G18,0),0)</f>
        <v>337</v>
      </c>
      <c r="G18" s="520">
        <v>0.12</v>
      </c>
      <c r="H18" s="1251" t="s">
        <v>1245</v>
      </c>
      <c r="I18" s="1233" t="s">
        <v>1247</v>
      </c>
      <c r="J18" s="1194" t="s">
        <v>1274</v>
      </c>
      <c r="K18" s="1250"/>
      <c r="L18" s="1250"/>
    </row>
    <row r="19" spans="1:18" ht="15.75" customHeight="1">
      <c r="A19" s="1249"/>
      <c r="B19" s="1250"/>
      <c r="C19" s="1198"/>
      <c r="D19" s="1227" t="s">
        <v>1284</v>
      </c>
      <c r="E19" s="1228" t="s">
        <v>1248</v>
      </c>
      <c r="F19" s="1053">
        <f>ROUND(F13*G19,0)</f>
        <v>281</v>
      </c>
      <c r="G19" s="520">
        <v>0.1</v>
      </c>
      <c r="H19" s="1251" t="s">
        <v>1245</v>
      </c>
      <c r="I19" s="1233" t="s">
        <v>1249</v>
      </c>
      <c r="J19" s="1194"/>
      <c r="K19" s="1250"/>
      <c r="L19" s="1250"/>
    </row>
    <row r="20" spans="1:18" ht="15.75" customHeight="1">
      <c r="A20" s="515" t="s">
        <v>1155</v>
      </c>
      <c r="B20" s="512" t="s">
        <v>1767</v>
      </c>
      <c r="C20" s="1198"/>
      <c r="D20" s="1227">
        <v>2</v>
      </c>
      <c r="E20" s="1228" t="s">
        <v>1234</v>
      </c>
      <c r="F20" s="1229">
        <f>ROUND(F12*G20,0)</f>
        <v>108</v>
      </c>
      <c r="G20" s="664">
        <v>0.03</v>
      </c>
      <c r="H20" s="1220"/>
      <c r="I20" s="1233" t="s">
        <v>1250</v>
      </c>
      <c r="J20" s="1194"/>
      <c r="K20" s="1250"/>
      <c r="L20" s="1250"/>
    </row>
    <row r="21" spans="1:18" ht="15.75" customHeight="1">
      <c r="A21" s="515" t="s">
        <v>1156</v>
      </c>
      <c r="B21" s="513" t="s">
        <v>1147</v>
      </c>
      <c r="C21" s="1198"/>
      <c r="D21" s="1421">
        <v>3</v>
      </c>
      <c r="E21" s="1422" t="s">
        <v>1586</v>
      </c>
      <c r="F21" s="1423">
        <f ca="1">ROUND((F12+F20)*(POWER((1+G21),B23/2)-1),0)</f>
        <v>176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1157</v>
      </c>
      <c r="B22" s="514">
        <v>1996</v>
      </c>
      <c r="C22" s="1198"/>
      <c r="D22" s="1236">
        <v>4</v>
      </c>
      <c r="E22" s="1237" t="s">
        <v>1587</v>
      </c>
      <c r="F22" s="1238">
        <f>ROUND((F12+F20)*G22,0)</f>
        <v>1482</v>
      </c>
      <c r="G22" s="521">
        <f>G10</f>
        <v>0.4</v>
      </c>
      <c r="H22" s="1239" t="s">
        <v>1238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1275</v>
      </c>
      <c r="B23" s="519">
        <v>2</v>
      </c>
      <c r="C23" s="1250"/>
      <c r="D23" s="1242" t="s">
        <v>1588</v>
      </c>
      <c r="E23" s="1243" t="s">
        <v>1251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1652</v>
      </c>
      <c r="B24" s="519">
        <v>1</v>
      </c>
      <c r="C24" s="1250"/>
      <c r="D24" s="1214">
        <v>1</v>
      </c>
      <c r="E24" s="1215" t="s">
        <v>1252</v>
      </c>
      <c r="F24" s="1053">
        <f ca="1">F4+F11</f>
        <v>8601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1253</v>
      </c>
      <c r="F25" s="1258">
        <f ca="1">ROUND(F24*B7/10000,4)</f>
        <v>48.716099999999997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1287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1227</v>
      </c>
      <c r="E27" s="1262" t="s">
        <v>1233</v>
      </c>
      <c r="F27" s="1202" t="s">
        <v>1254</v>
      </c>
      <c r="G27" s="1202" t="s">
        <v>1255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1286</v>
      </c>
      <c r="E28" s="1265" t="s">
        <v>1256</v>
      </c>
      <c r="F28" s="1266">
        <f>ROUND(1-(1-O4)*O3/O2,2)</f>
        <v>0.63</v>
      </c>
      <c r="G28" s="523">
        <v>0.5</v>
      </c>
      <c r="H28" s="1267"/>
      <c r="I28" s="1211" t="s">
        <v>1257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1288</v>
      </c>
      <c r="E29" s="1265" t="s">
        <v>1258</v>
      </c>
      <c r="F29" s="1266">
        <f>ROUND((F30*G30+F31*G31+F32*G32)/100,2)</f>
        <v>0.7</v>
      </c>
      <c r="G29" s="1266">
        <f>1-G28</f>
        <v>0.5</v>
      </c>
      <c r="H29" s="1220"/>
      <c r="I29" s="1211"/>
      <c r="J29" s="1194"/>
      <c r="K29" s="1250"/>
      <c r="L29" s="1250"/>
      <c r="N29" s="1440"/>
      <c r="O29" s="1441" t="s">
        <v>1592</v>
      </c>
      <c r="P29" s="1441" t="s">
        <v>1593</v>
      </c>
      <c r="Q29" s="1441" t="s">
        <v>1594</v>
      </c>
      <c r="R29" s="1442" t="s">
        <v>1595</v>
      </c>
    </row>
    <row r="30" spans="1:18" ht="15.75" customHeight="1">
      <c r="A30" s="1249"/>
      <c r="B30" s="1250"/>
      <c r="C30" s="1250"/>
      <c r="D30" s="1264">
        <v>1</v>
      </c>
      <c r="E30" s="1268" t="s">
        <v>1259</v>
      </c>
      <c r="F30" s="524">
        <v>70</v>
      </c>
      <c r="G30" s="1266">
        <f>IF(ISNUMBER(FIND("砖木",B20)),O30,SUMPRODUCT((N30:N32=E30)*(O29:R29=B20)*(O30:R32)))</f>
        <v>0.2</v>
      </c>
      <c r="H30" s="1267"/>
      <c r="I30" s="1774" t="s">
        <v>1596</v>
      </c>
      <c r="J30" s="1435"/>
      <c r="K30" s="1250"/>
      <c r="L30" s="1250"/>
      <c r="N30" s="1443" t="s">
        <v>1589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1260</v>
      </c>
      <c r="F31" s="1269">
        <f>F30</f>
        <v>70</v>
      </c>
      <c r="G31" s="1266">
        <f>IF(ISNUMBER(FIND("砖木",B20)),O31,SUMPRODUCT((N30:N32=E31)*(O29:R29=B20)*(O30:R32)))</f>
        <v>0.5</v>
      </c>
      <c r="H31" s="1267"/>
      <c r="I31" s="1774"/>
      <c r="J31" s="1435"/>
      <c r="K31" s="1250"/>
      <c r="L31" s="1250"/>
      <c r="N31" s="1443" t="s">
        <v>1590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1261</v>
      </c>
      <c r="F32" s="1269">
        <f>F31</f>
        <v>70</v>
      </c>
      <c r="G32" s="1266">
        <f>IF(ISNUMBER(FIND("砖木",B20)),O32,SUMPRODUCT((N30:N32=E32)*(O29:R29=B20)*(O30:R32)))</f>
        <v>0.3</v>
      </c>
      <c r="H32" s="1267"/>
      <c r="I32" s="1774"/>
      <c r="J32" s="1435"/>
      <c r="K32" s="1250"/>
      <c r="L32" s="1250"/>
      <c r="N32" s="1443" t="s">
        <v>1591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9"/>
      <c r="B33" s="1250"/>
      <c r="C33" s="1250"/>
      <c r="D33" s="1270" t="s">
        <v>1289</v>
      </c>
      <c r="E33" s="1271" t="s">
        <v>1262</v>
      </c>
      <c r="F33" s="1272">
        <f>ROUND(F28*G28+F29*G29,2)</f>
        <v>0.67</v>
      </c>
      <c r="G33" s="1259"/>
      <c r="H33" s="1260"/>
      <c r="I33" s="1291"/>
      <c r="J33" s="1194"/>
      <c r="K33" s="1250"/>
      <c r="L33" s="1250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9"/>
      <c r="B34" s="1250"/>
      <c r="C34" s="1250"/>
      <c r="D34" s="1782" t="s">
        <v>1290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1286</v>
      </c>
      <c r="E35" s="1273" t="s">
        <v>1263</v>
      </c>
      <c r="F35" s="1274">
        <f ca="1">ROUND(F24*F33,0)</f>
        <v>5763</v>
      </c>
      <c r="G35" s="1775" t="s">
        <v>1264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1288</v>
      </c>
      <c r="E36" s="1257" t="s">
        <v>1265</v>
      </c>
      <c r="F36" s="1275">
        <f ca="1">ROUND(F25*F33,4)</f>
        <v>32.639800000000001</v>
      </c>
      <c r="G36" s="1777" t="s">
        <v>1266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1209</v>
      </c>
    </row>
    <row r="52" spans="1:13" ht="15.75" customHeight="1">
      <c r="C52" s="1280" t="s">
        <v>1208</v>
      </c>
      <c r="D52" s="1280"/>
      <c r="E52" s="1280"/>
      <c r="F52" s="1280"/>
      <c r="G52" s="1284" t="s">
        <v>1213</v>
      </c>
      <c r="I52" s="1285"/>
      <c r="J52" s="1285"/>
      <c r="K52" s="1278"/>
      <c r="L52" s="1278"/>
      <c r="M52" s="1278"/>
    </row>
    <row r="53" spans="1:13" ht="15.75" customHeight="1">
      <c r="A53" s="1279" t="s">
        <v>1206</v>
      </c>
      <c r="B53" s="1280" t="s">
        <v>1207</v>
      </c>
      <c r="C53" s="1282" t="s">
        <v>1212</v>
      </c>
      <c r="D53" s="1282"/>
      <c r="E53" s="1282"/>
      <c r="F53" s="1282"/>
      <c r="G53" s="1284" t="s">
        <v>1217</v>
      </c>
      <c r="I53" s="1285"/>
      <c r="J53" s="1285"/>
      <c r="K53" s="1278"/>
      <c r="L53" s="1278"/>
      <c r="M53" s="1278"/>
    </row>
    <row r="54" spans="1:13" ht="15.75" customHeight="1">
      <c r="A54" s="1281" t="s">
        <v>1210</v>
      </c>
      <c r="B54" s="1282" t="s">
        <v>1211</v>
      </c>
      <c r="C54" s="1282" t="s">
        <v>1216</v>
      </c>
      <c r="D54" s="1282"/>
      <c r="E54" s="1282"/>
      <c r="F54" s="1282"/>
      <c r="G54" s="1284" t="s">
        <v>1221</v>
      </c>
      <c r="I54" s="1285"/>
      <c r="J54" s="1285"/>
      <c r="K54" s="1278"/>
      <c r="L54" s="1278"/>
      <c r="M54" s="1278"/>
    </row>
    <row r="55" spans="1:13" ht="15.75" customHeight="1">
      <c r="A55" s="1281" t="s">
        <v>1214</v>
      </c>
      <c r="B55" s="1282" t="s">
        <v>1215</v>
      </c>
      <c r="C55" s="1282" t="s">
        <v>1220</v>
      </c>
      <c r="D55" s="1282"/>
      <c r="E55" s="1282"/>
      <c r="F55" s="1282"/>
      <c r="G55" s="1284" t="s">
        <v>1223</v>
      </c>
      <c r="I55" s="1285"/>
      <c r="J55" s="1285"/>
      <c r="K55" s="1278"/>
      <c r="L55" s="1278"/>
      <c r="M55" s="1278"/>
    </row>
    <row r="56" spans="1:13" ht="15.75" customHeight="1">
      <c r="A56" s="1281" t="s">
        <v>1218</v>
      </c>
      <c r="B56" s="1282" t="s">
        <v>1219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1480</v>
      </c>
      <c r="B1" s="828"/>
      <c r="C1" s="726" t="s">
        <v>1183</v>
      </c>
      <c r="D1" s="526">
        <f>主表!B7</f>
        <v>56.64</v>
      </c>
      <c r="E1" s="725" t="s">
        <v>1568</v>
      </c>
      <c r="F1" s="1352"/>
      <c r="G1" s="1530"/>
      <c r="H1" s="725"/>
      <c r="I1" s="725"/>
      <c r="J1" s="725"/>
      <c r="L1" s="829" t="s">
        <v>343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910</v>
      </c>
      <c r="B2" s="32">
        <f ca="1">C26</f>
        <v>0</v>
      </c>
      <c r="C2" s="686" t="s">
        <v>983</v>
      </c>
      <c r="D2" s="733" t="s">
        <v>986</v>
      </c>
      <c r="E2" s="734" t="str">
        <f>主表!B12</f>
        <v>住宅/居住</v>
      </c>
      <c r="F2" s="733" t="s">
        <v>911</v>
      </c>
      <c r="G2" s="735" t="str">
        <f>主表!B10</f>
        <v>四级</v>
      </c>
      <c r="H2" s="830" t="s">
        <v>912</v>
      </c>
      <c r="I2" s="684">
        <f>主表!B11</f>
        <v>0</v>
      </c>
      <c r="J2" s="736"/>
      <c r="L2" s="831" t="s">
        <v>403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913</v>
      </c>
      <c r="B3" s="32">
        <f>IF(F1="地上",C29,SUMIF(B33:B39,G1,C33:C39))</f>
        <v>0</v>
      </c>
      <c r="C3" s="686" t="s">
        <v>914</v>
      </c>
      <c r="D3" s="733" t="s">
        <v>253</v>
      </c>
      <c r="E3" s="737"/>
      <c r="F3" s="1499" t="s">
        <v>1226</v>
      </c>
      <c r="G3" s="238">
        <f>IF(F3="容积率",主表!B8,主表!B9)</f>
        <v>5.41</v>
      </c>
      <c r="H3" s="833" t="s">
        <v>254</v>
      </c>
      <c r="I3" s="401">
        <v>1</v>
      </c>
      <c r="J3" s="736" t="s">
        <v>255</v>
      </c>
      <c r="L3" s="831" t="s">
        <v>581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2"/>
      <c r="B4" s="1793"/>
      <c r="C4" s="1793"/>
      <c r="D4" s="1794"/>
      <c r="E4" s="1794"/>
      <c r="F4" s="1794"/>
      <c r="G4" s="1794"/>
      <c r="H4" s="1794"/>
      <c r="I4" s="1794"/>
      <c r="J4" s="1795"/>
      <c r="L4" s="831" t="s">
        <v>251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915</v>
      </c>
      <c r="B5" s="835" t="s">
        <v>916</v>
      </c>
      <c r="C5" s="367">
        <f>ROUND(IF(E2="商业",IF(F16="增加",C6*C7+C16,C6*C7-C16),IF(E2="住宅/居住",IF(F16="增加",C6*C12+C16,C6*C12-C16),IF(F16="增加",C6+C16,C6-C16))),0)</f>
        <v>0</v>
      </c>
      <c r="D5" s="1711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663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916</v>
      </c>
      <c r="C6" s="370">
        <f>SUMIF(L1:L12,G2,M1:M12)</f>
        <v>0</v>
      </c>
      <c r="D6" s="841" t="s">
        <v>1481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6" t="str">
        <f>IF(E2="商业",IF(C8="不临58条商业街","",2),"")</f>
        <v/>
      </c>
      <c r="B7" s="845" t="s">
        <v>917</v>
      </c>
      <c r="C7" s="371" t="e">
        <f>IF(C8="不临58条商业街",1,ROUND(1+(1.6*E8+1.2*E9+0.8*E10+0.4*E11)*C9,4))</f>
        <v>#DIV/0!</v>
      </c>
      <c r="D7" s="802" t="s">
        <v>918</v>
      </c>
      <c r="E7" s="402"/>
      <c r="F7" s="846"/>
      <c r="G7" s="847"/>
      <c r="H7" s="847"/>
      <c r="I7" s="847"/>
      <c r="J7" s="848"/>
      <c r="K7" s="754"/>
      <c r="L7" s="831" t="s">
        <v>666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7"/>
      <c r="B8" s="833" t="s">
        <v>919</v>
      </c>
      <c r="C8" s="963"/>
      <c r="D8" s="374" t="s">
        <v>256</v>
      </c>
      <c r="E8" s="375" t="e">
        <f>ROUND(C11/E7,4)</f>
        <v>#DIV/0!</v>
      </c>
      <c r="F8" s="975" t="s">
        <v>1497</v>
      </c>
      <c r="G8" s="850"/>
      <c r="H8" s="850"/>
      <c r="I8" s="850"/>
      <c r="J8" s="851"/>
      <c r="L8" s="831" t="s">
        <v>668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7"/>
      <c r="B9" s="833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75" t="s">
        <v>1498</v>
      </c>
      <c r="G9" s="850"/>
      <c r="H9" s="850"/>
      <c r="I9" s="850"/>
      <c r="J9" s="851"/>
      <c r="L9" s="831" t="s">
        <v>670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7"/>
      <c r="B10" s="833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75" t="s">
        <v>1499</v>
      </c>
      <c r="G10" s="850"/>
      <c r="H10" s="850"/>
      <c r="I10" s="850"/>
      <c r="J10" s="851"/>
      <c r="L10" s="831" t="s">
        <v>674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7"/>
      <c r="B11" s="852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76" t="s">
        <v>1500</v>
      </c>
      <c r="G11" s="854"/>
      <c r="H11" s="854"/>
      <c r="I11" s="854"/>
      <c r="J11" s="855"/>
      <c r="L11" s="831" t="s">
        <v>984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6">
        <f>IF(E2="住宅/居住",2,"")</f>
        <v>2</v>
      </c>
      <c r="B12" s="856" t="s">
        <v>923</v>
      </c>
      <c r="C12" s="371">
        <f>ROUND(C15*D15*E15*F15*G15*H15*I15*J15,4)</f>
        <v>1.32</v>
      </c>
      <c r="D12" s="857" t="s">
        <v>924</v>
      </c>
      <c r="E12" s="858"/>
      <c r="F12" s="858"/>
      <c r="G12" s="859"/>
      <c r="H12" s="859"/>
      <c r="I12" s="859"/>
      <c r="J12" s="860"/>
      <c r="L12" s="861" t="s">
        <v>985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8"/>
      <c r="B13" s="862" t="s">
        <v>1482</v>
      </c>
      <c r="C13" s="325" t="s">
        <v>1483</v>
      </c>
      <c r="D13" s="671" t="s">
        <v>1484</v>
      </c>
      <c r="E13" s="671" t="s">
        <v>1485</v>
      </c>
      <c r="F13" s="863" t="s">
        <v>260</v>
      </c>
      <c r="G13" s="864" t="s">
        <v>969</v>
      </c>
      <c r="H13" s="864" t="s">
        <v>969</v>
      </c>
      <c r="I13" s="864" t="s">
        <v>969</v>
      </c>
      <c r="J13" s="865" t="s">
        <v>969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8"/>
      <c r="B14" s="866"/>
      <c r="C14" s="867" t="s">
        <v>26</v>
      </c>
      <c r="D14" s="814" t="s">
        <v>26</v>
      </c>
      <c r="E14" s="814" t="s">
        <v>25</v>
      </c>
      <c r="F14" s="868" t="s">
        <v>261</v>
      </c>
      <c r="G14" s="869" t="s">
        <v>952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9"/>
      <c r="B15" s="873" t="s">
        <v>1486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945</v>
      </c>
      <c r="M15" s="849" t="s">
        <v>946</v>
      </c>
      <c r="N15" s="849" t="s">
        <v>1314</v>
      </c>
      <c r="O15" s="849" t="s">
        <v>1313</v>
      </c>
      <c r="P15" s="875" t="s">
        <v>947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6">
        <f>IF(E2="办公/综合",2,IF(E2="工业",2,IF(E2="住宅/居住",3,IF(E2="商业",IF(C8="不临58条商业街",2,3)))))</f>
        <v>3</v>
      </c>
      <c r="B16" s="845" t="s">
        <v>925</v>
      </c>
      <c r="C16" s="1512">
        <f>ROUND(SUM(G17:J17)/C17,0)</f>
        <v>0</v>
      </c>
      <c r="D16" s="1514" t="s">
        <v>926</v>
      </c>
      <c r="E16" s="876"/>
      <c r="F16" s="877"/>
      <c r="G16" s="801"/>
      <c r="H16" s="801"/>
      <c r="I16" s="801"/>
      <c r="J16" s="878"/>
      <c r="L16" s="879" t="s">
        <v>949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7"/>
      <c r="B17" s="880" t="s">
        <v>927</v>
      </c>
      <c r="C17" s="1513">
        <f>SUMPRODUCT(('2014修正'!A2:A5=E2)*('2014修正'!B1:M1=G2)*('2014修正'!B2:M5))</f>
        <v>2.5</v>
      </c>
      <c r="D17" s="1515" t="s">
        <v>928</v>
      </c>
      <c r="E17" s="853" t="str">
        <f>IF(OR(G2="八级",G2="九级",G2="十级",G2="十一级",G2="十二级"),"五通一平","七通一平")</f>
        <v>七通一平</v>
      </c>
      <c r="F17" s="881" t="s">
        <v>929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937</v>
      </c>
      <c r="M17" s="625">
        <f ca="1">ROUND($E$20*(1+M16),3)</f>
        <v>0.08</v>
      </c>
      <c r="N17" s="625">
        <f ca="1">ROUND($E$20*(1+N16),3)</f>
        <v>7.6999999999999999E-2</v>
      </c>
      <c r="O17" s="625">
        <f ca="1">ROUND($E$20*(1+O16),3)</f>
        <v>7.2999999999999995E-2</v>
      </c>
      <c r="P17" s="965">
        <f ca="1">ROUND($E$20*(1+P16),3)</f>
        <v>7.0000000000000007E-2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930</v>
      </c>
      <c r="B18" s="884" t="s">
        <v>931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971</v>
      </c>
      <c r="M18" s="382">
        <f>ROUNDDOWN(IF(H19&gt;=E19,DATEDIF(E19,H19,"M")/3,DATEDIF(H19,E19,"M")/3),0)</f>
        <v>60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932</v>
      </c>
      <c r="B19" s="884" t="s">
        <v>933</v>
      </c>
      <c r="C19" s="1504">
        <f>IF(H19&lt;DATE(2014,8,28),0,ROUND(I19/F19,4))</f>
        <v>0</v>
      </c>
      <c r="D19" s="1507" t="s">
        <v>262</v>
      </c>
      <c r="E19" s="1549">
        <v>41640</v>
      </c>
      <c r="F19" s="1631">
        <f>ROUND(SUMIF(地价!B3:F3,E2,地价!B22:F22),0)</f>
        <v>423</v>
      </c>
      <c r="G19" s="1507" t="s">
        <v>263</v>
      </c>
      <c r="H19" s="1349">
        <f>主表!B4</f>
        <v>36137</v>
      </c>
      <c r="I19" s="1632">
        <f>ROUND(SUMPRODUCT((地价!A7:A22=YEAR(H19)&amp;"-"&amp;ROUNDUP(MONTH(H19)/3,0))*(地价!B3:F3=E2)*(地价!B7:F22)),0)</f>
        <v>0</v>
      </c>
      <c r="J19" s="1633"/>
      <c r="K19" s="784"/>
      <c r="L19" s="799" t="s">
        <v>264</v>
      </c>
      <c r="M19" s="800" t="s">
        <v>265</v>
      </c>
      <c r="N19" s="623" t="s">
        <v>1752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934</v>
      </c>
      <c r="B20" s="891" t="s">
        <v>935</v>
      </c>
      <c r="C20" s="1505">
        <f ca="1">ROUND(POWER(1+G20,J20-I20)*(POWER(1+G20,I20)-1)/(POWER(1+G20,J20)-1),4)</f>
        <v>0.99970000000000003</v>
      </c>
      <c r="D20" s="1508" t="s">
        <v>936</v>
      </c>
      <c r="E20" s="1509">
        <f ca="1">INDIRECT("'存贷款利率'!e"&amp;存贷款利率!$K$4)/100</f>
        <v>6.3899999999999998E-2</v>
      </c>
      <c r="F20" s="1506" t="s">
        <v>937</v>
      </c>
      <c r="G20" s="1510">
        <f ca="1">SUMIF(M15:P15,E2,M17:P17)</f>
        <v>7.2999999999999995E-2</v>
      </c>
      <c r="H20" s="1511" t="s">
        <v>1650</v>
      </c>
      <c r="I20" s="1054">
        <f>IF(H20="剩余土地使用年限",主表!B15,主表!B16)</f>
        <v>69.48</v>
      </c>
      <c r="J20" s="390">
        <f>IF(E2="住宅/居住",70,IF(E2="商业",40,50))</f>
        <v>70</v>
      </c>
      <c r="K20" s="784"/>
      <c r="L20" s="803" t="s">
        <v>278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938</v>
      </c>
      <c r="B21" s="893" t="s">
        <v>279</v>
      </c>
      <c r="C21" s="391">
        <f>IF(B21="容积率修正",IF(G3&lt;=10,D22,J22),C23)</f>
        <v>0.84370000000000001</v>
      </c>
      <c r="D21" s="894"/>
      <c r="E21" s="894"/>
      <c r="F21" s="894"/>
      <c r="G21" s="894"/>
      <c r="H21" s="894"/>
      <c r="I21" s="894"/>
      <c r="J21" s="895"/>
      <c r="K21" s="784"/>
      <c r="L21" s="803" t="s">
        <v>280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939</v>
      </c>
      <c r="C22" s="1500" t="s">
        <v>1493</v>
      </c>
      <c r="D22" s="1500">
        <f>IF(E22=G22,F22,IF(G3&lt;=10,ROUND(F22+(H22-F22)*(G3-E22)/(G22-E22),4),"——"))</f>
        <v>0.84370000000000001</v>
      </c>
      <c r="E22" s="1518">
        <f>ROUNDDOWN(G3,1)</f>
        <v>5.4</v>
      </c>
      <c r="F22" s="1519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0.84389999999999998</v>
      </c>
      <c r="G22" s="1517">
        <f>ROUNDUP(G3,1)</f>
        <v>5.5</v>
      </c>
      <c r="H22" s="150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0.84179999999999999</v>
      </c>
      <c r="I22" s="1516" t="s">
        <v>281</v>
      </c>
      <c r="J22" s="392" t="str">
        <f>IF(G3&gt;10,D114,"——")</f>
        <v>——</v>
      </c>
      <c r="K22" s="784"/>
      <c r="L22" s="803" t="s">
        <v>1314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940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1359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941</v>
      </c>
      <c r="B24" s="905" t="s">
        <v>942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943</v>
      </c>
      <c r="B25" s="909" t="s">
        <v>944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966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967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965</v>
      </c>
      <c r="C28" s="922" t="s">
        <v>948</v>
      </c>
      <c r="D28" s="922" t="s">
        <v>956</v>
      </c>
      <c r="E28" s="923" t="s">
        <v>957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960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1487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961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958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962</v>
      </c>
      <c r="C31" s="935" t="s">
        <v>963</v>
      </c>
      <c r="D31" s="859"/>
      <c r="E31" s="935"/>
      <c r="F31" s="935"/>
      <c r="G31" s="857" t="s">
        <v>964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948</v>
      </c>
      <c r="D32" s="939" t="s">
        <v>956</v>
      </c>
      <c r="E32" s="939" t="s">
        <v>957</v>
      </c>
      <c r="F32" s="734" t="s">
        <v>951</v>
      </c>
      <c r="G32" s="898" t="s">
        <v>948</v>
      </c>
      <c r="H32" s="898" t="s">
        <v>956</v>
      </c>
      <c r="I32" s="898" t="s">
        <v>957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1" t="s">
        <v>1756</v>
      </c>
      <c r="B33" s="942" t="s">
        <v>282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2"/>
      <c r="B34" s="325" t="s">
        <v>283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2"/>
      <c r="B35" s="325" t="s">
        <v>284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3"/>
      <c r="B36" s="325" t="s">
        <v>285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286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959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287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950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288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947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891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280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892</v>
      </c>
      <c r="B47" s="248" t="s">
        <v>893</v>
      </c>
      <c r="C47" s="248" t="s">
        <v>894</v>
      </c>
      <c r="D47" s="248" t="s">
        <v>1467</v>
      </c>
      <c r="E47" s="812" t="s">
        <v>1468</v>
      </c>
      <c r="F47" s="952" t="s">
        <v>1143</v>
      </c>
      <c r="G47" s="248" t="s">
        <v>1489</v>
      </c>
      <c r="H47" s="953" t="s">
        <v>1162</v>
      </c>
      <c r="I47" s="248" t="s">
        <v>1488</v>
      </c>
      <c r="J47" s="813" t="s">
        <v>1469</v>
      </c>
      <c r="K47" s="813" t="s">
        <v>1470</v>
      </c>
      <c r="L47" s="813" t="s">
        <v>1471</v>
      </c>
      <c r="M47" s="813" t="s">
        <v>1472</v>
      </c>
      <c r="N47" s="813" t="s">
        <v>1473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60">
      <c r="A49" s="247" t="s">
        <v>896</v>
      </c>
      <c r="B49" s="254" t="str">
        <f>估价对象房地状况!C6</f>
        <v>估价对象周边有119路、515路、567路等10余条公交线路及地铁10号线、13号线换乘站（芍药居站）通过，交通便捷度较好。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897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898</v>
      </c>
      <c r="B51" s="1705" t="s">
        <v>1753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899</v>
      </c>
      <c r="B52" s="254" t="str">
        <f>估价对象房地状况!C12</f>
        <v>紧邻城市支路——育慧南路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900</v>
      </c>
      <c r="B53" s="1706" t="s">
        <v>1754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901</v>
      </c>
      <c r="B54" s="489" t="str">
        <f>估价对象房地状况!C9</f>
        <v>估价对象所在区域公共配套设施较好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902</v>
      </c>
      <c r="B55" s="254" t="str">
        <f>估价对象房地状况!C10</f>
        <v>七通一平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96.75" thickBot="1">
      <c r="A56" s="258" t="s">
        <v>903</v>
      </c>
      <c r="B56" s="259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1314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892</v>
      </c>
      <c r="B58" s="254"/>
      <c r="C58" s="248" t="s">
        <v>894</v>
      </c>
      <c r="D58" s="248" t="s">
        <v>1467</v>
      </c>
      <c r="E58" s="812" t="s">
        <v>1474</v>
      </c>
      <c r="F58" s="952" t="s">
        <v>1143</v>
      </c>
      <c r="G58" s="248" t="s">
        <v>1490</v>
      </c>
      <c r="H58" s="953" t="s">
        <v>1163</v>
      </c>
      <c r="I58" s="248" t="s">
        <v>1488</v>
      </c>
      <c r="J58" s="813" t="s">
        <v>14</v>
      </c>
      <c r="K58" s="813" t="s">
        <v>13</v>
      </c>
      <c r="L58" s="813" t="s">
        <v>1475</v>
      </c>
      <c r="M58" s="813" t="s">
        <v>1476</v>
      </c>
      <c r="N58" s="813" t="s">
        <v>1477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60">
      <c r="A60" s="247" t="s">
        <v>896</v>
      </c>
      <c r="B60" s="254" t="str">
        <f>估价对象房地状况!C6</f>
        <v>估价对象周边有119路、515路、567路等10余条公交线路及地铁10号线、13号线换乘站（芍药居站）通过，交通便捷度较好。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897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898</v>
      </c>
      <c r="B62" s="1705" t="s">
        <v>1753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899</v>
      </c>
      <c r="B63" s="254" t="str">
        <f>估价对象房地状况!C12</f>
        <v>紧邻城市支路——育慧南路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900</v>
      </c>
      <c r="B64" s="1706" t="s">
        <v>1754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901</v>
      </c>
      <c r="B65" s="489" t="str">
        <f>估价对象房地状况!C9</f>
        <v>估价对象所在区域公共配套设施较好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902</v>
      </c>
      <c r="B66" s="489" t="str">
        <f>估价对象房地状况!C10</f>
        <v>七通一平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96.75" thickBot="1">
      <c r="A67" s="258" t="s">
        <v>903</v>
      </c>
      <c r="B67" s="262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1315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892</v>
      </c>
      <c r="B69" s="254"/>
      <c r="C69" s="248" t="s">
        <v>894</v>
      </c>
      <c r="D69" s="248" t="s">
        <v>1467</v>
      </c>
      <c r="E69" s="812" t="s">
        <v>1474</v>
      </c>
      <c r="F69" s="952" t="s">
        <v>1143</v>
      </c>
      <c r="G69" s="248" t="s">
        <v>1490</v>
      </c>
      <c r="H69" s="953" t="s">
        <v>1163</v>
      </c>
      <c r="I69" s="248" t="s">
        <v>1488</v>
      </c>
      <c r="J69" s="813" t="s">
        <v>14</v>
      </c>
      <c r="K69" s="813" t="s">
        <v>13</v>
      </c>
      <c r="L69" s="813" t="s">
        <v>1475</v>
      </c>
      <c r="M69" s="813" t="s">
        <v>1476</v>
      </c>
      <c r="N69" s="813" t="s">
        <v>1477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905</v>
      </c>
      <c r="B70" s="251" t="str">
        <f>估价对象房地状况!C3</f>
        <v>周边有樱花园、惠新里、芍药居等居住社区，综合评价居住社区成熟度较好。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60">
      <c r="A71" s="247" t="s">
        <v>896</v>
      </c>
      <c r="B71" s="254" t="str">
        <f>估价对象房地状况!C6</f>
        <v>估价对象周边有119路、515路、567路等10余条公交线路及地铁10号线、13号线换乘站（芍药居站）通过，交通便捷度较好。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897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24">
      <c r="A73" s="247" t="s">
        <v>906</v>
      </c>
      <c r="B73" s="254" t="str">
        <f>估价对象房地状况!C12</f>
        <v>紧邻城市支路——育慧南路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901</v>
      </c>
      <c r="B74" s="489" t="str">
        <f>估价对象房地状况!C9</f>
        <v>估价对象所在区域公共配套设施较好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902</v>
      </c>
      <c r="B75" s="489" t="str">
        <f>估价对象房地状况!C10</f>
        <v>七通一平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900</v>
      </c>
      <c r="B76" s="1706" t="s">
        <v>1754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96">
      <c r="A77" s="247" t="s">
        <v>903</v>
      </c>
      <c r="B77" s="251" t="str">
        <f>估价对象房地状况!C8</f>
        <v>自然环境：太阳宫体育休闲公园、护城河；人文环境：中国现代文学馆、民族服饰博物馆、对外经济贸易大学、北京化工大学、北京中医药大学、北京联合大学；综合评价环境状况较好。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907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317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892</v>
      </c>
      <c r="B80" s="254"/>
      <c r="C80" s="248" t="s">
        <v>894</v>
      </c>
      <c r="D80" s="248" t="s">
        <v>1467</v>
      </c>
      <c r="E80" s="812" t="s">
        <v>1474</v>
      </c>
      <c r="F80" s="952" t="s">
        <v>1143</v>
      </c>
      <c r="G80" s="248" t="s">
        <v>1490</v>
      </c>
      <c r="H80" s="953" t="s">
        <v>1163</v>
      </c>
      <c r="I80" s="248" t="s">
        <v>1488</v>
      </c>
      <c r="J80" s="813" t="s">
        <v>14</v>
      </c>
      <c r="K80" s="813" t="s">
        <v>13</v>
      </c>
      <c r="L80" s="813" t="s">
        <v>1475</v>
      </c>
      <c r="M80" s="813" t="s">
        <v>1476</v>
      </c>
      <c r="N80" s="813" t="s">
        <v>1477</v>
      </c>
      <c r="Z80" s="728"/>
      <c r="AA80" s="729"/>
      <c r="AG80" s="730"/>
      <c r="AK80" s="729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906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901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902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900</v>
      </c>
      <c r="B87" s="1706" t="s">
        <v>1754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909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0" t="s">
        <v>1164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72"/>
      <c r="L91" s="672"/>
      <c r="M91" s="672"/>
      <c r="N91" s="672"/>
    </row>
    <row r="92" spans="1:37">
      <c r="A92" s="1786" t="s">
        <v>1165</v>
      </c>
      <c r="B92" s="1786" t="s">
        <v>1166</v>
      </c>
      <c r="C92" s="341" t="s">
        <v>1167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6"/>
      <c r="B93" s="1786"/>
      <c r="C93" s="670" t="s">
        <v>1168</v>
      </c>
      <c r="D93" s="670" t="s">
        <v>1169</v>
      </c>
      <c r="E93" s="670" t="s">
        <v>1170</v>
      </c>
      <c r="F93" s="670" t="s">
        <v>1171</v>
      </c>
      <c r="G93" s="670" t="s">
        <v>1172</v>
      </c>
      <c r="H93" s="670" t="s">
        <v>1173</v>
      </c>
      <c r="I93" s="670" t="s">
        <v>1174</v>
      </c>
      <c r="J93" s="670" t="s">
        <v>1175</v>
      </c>
      <c r="K93" s="670" t="s">
        <v>1176</v>
      </c>
      <c r="L93" s="670" t="s">
        <v>1177</v>
      </c>
      <c r="M93" s="670" t="s">
        <v>1178</v>
      </c>
      <c r="N93" s="670" t="s">
        <v>1179</v>
      </c>
    </row>
    <row r="94" spans="1:37" ht="12.75">
      <c r="A94" s="1787" t="s">
        <v>1491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88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88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88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88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88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88"/>
      <c r="B100" s="969" t="s">
        <v>1494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89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87" t="s">
        <v>1492</v>
      </c>
      <c r="B102" s="973" t="s">
        <v>1495</v>
      </c>
      <c r="C102" s="974">
        <f>$G$3</f>
        <v>5.41</v>
      </c>
      <c r="D102" s="974">
        <f t="shared" ref="D102:N102" si="25">$G$3</f>
        <v>5.41</v>
      </c>
      <c r="E102" s="974">
        <f t="shared" si="25"/>
        <v>5.41</v>
      </c>
      <c r="F102" s="974">
        <f t="shared" si="25"/>
        <v>5.41</v>
      </c>
      <c r="G102" s="974">
        <f t="shared" si="25"/>
        <v>5.41</v>
      </c>
      <c r="H102" s="974">
        <f t="shared" si="25"/>
        <v>5.41</v>
      </c>
      <c r="I102" s="974">
        <f t="shared" si="25"/>
        <v>5.41</v>
      </c>
      <c r="J102" s="974">
        <f t="shared" si="25"/>
        <v>5.41</v>
      </c>
      <c r="K102" s="974">
        <f t="shared" si="25"/>
        <v>5.41</v>
      </c>
      <c r="L102" s="974">
        <f t="shared" si="25"/>
        <v>5.41</v>
      </c>
      <c r="M102" s="974">
        <f t="shared" si="25"/>
        <v>5.41</v>
      </c>
      <c r="N102" s="974">
        <f t="shared" si="25"/>
        <v>5.41</v>
      </c>
    </row>
    <row r="103" spans="1:14" ht="12.75">
      <c r="A103" s="1788"/>
      <c r="B103" s="969">
        <v>1</v>
      </c>
      <c r="C103" s="970">
        <f>1.9362/C102</f>
        <v>0.35789279112754158</v>
      </c>
      <c r="D103" s="970">
        <f>1.9362/D102</f>
        <v>0.35789279112754158</v>
      </c>
      <c r="E103" s="970">
        <f>1.8629/E102</f>
        <v>0.34434380776340112</v>
      </c>
      <c r="F103" s="970">
        <f>1.8629/F102</f>
        <v>0.34434380776340112</v>
      </c>
      <c r="G103" s="970">
        <f>1.8629/G102</f>
        <v>0.34434380776340112</v>
      </c>
      <c r="H103" s="970">
        <f>1.8629/H102</f>
        <v>0.34434380776340112</v>
      </c>
      <c r="I103" s="970">
        <f>1.8629/I102</f>
        <v>0.34434380776340112</v>
      </c>
      <c r="J103" s="970">
        <f>1.942/J102</f>
        <v>0.35896487985212566</v>
      </c>
      <c r="K103" s="970">
        <f>1.942/K102</f>
        <v>0.35896487985212566</v>
      </c>
      <c r="L103" s="970">
        <f>1.942/L102</f>
        <v>0.35896487985212566</v>
      </c>
      <c r="M103" s="970">
        <f>1.942/M102</f>
        <v>0.35896487985212566</v>
      </c>
      <c r="N103" s="970">
        <f>1.942/N102</f>
        <v>0.35896487985212566</v>
      </c>
    </row>
    <row r="104" spans="1:14" ht="12.75">
      <c r="A104" s="1788"/>
      <c r="B104" s="969">
        <v>2</v>
      </c>
      <c r="C104" s="970">
        <f>1.4198/C102</f>
        <v>0.26243992606284655</v>
      </c>
      <c r="D104" s="970">
        <f>1.4198/D102</f>
        <v>0.26243992606284655</v>
      </c>
      <c r="E104" s="970">
        <f>1.3372/E102</f>
        <v>0.24717190388170054</v>
      </c>
      <c r="F104" s="970">
        <f>1.3372/F102</f>
        <v>0.24717190388170054</v>
      </c>
      <c r="G104" s="970">
        <f>1.3372/G102</f>
        <v>0.24717190388170054</v>
      </c>
      <c r="H104" s="970">
        <f>1.3372/H102</f>
        <v>0.24717190388170054</v>
      </c>
      <c r="I104" s="970">
        <f>1.3372/I102</f>
        <v>0.24717190388170054</v>
      </c>
      <c r="J104" s="970">
        <f>1.2799/J102</f>
        <v>0.23658040665434382</v>
      </c>
      <c r="K104" s="970">
        <f>1.2799/K102</f>
        <v>0.23658040665434382</v>
      </c>
      <c r="L104" s="970">
        <f>1.2799/L102</f>
        <v>0.23658040665434382</v>
      </c>
      <c r="M104" s="970">
        <f>1.2799/M102</f>
        <v>0.23658040665434382</v>
      </c>
      <c r="N104" s="970">
        <f>1.2799/N102</f>
        <v>0.23658040665434382</v>
      </c>
    </row>
    <row r="105" spans="1:14" ht="12.75">
      <c r="A105" s="1788"/>
      <c r="B105" s="969">
        <v>3</v>
      </c>
      <c r="C105" s="970">
        <f>1.1594/C102</f>
        <v>0.2143068391866913</v>
      </c>
      <c r="D105" s="970">
        <f>1.1594/D102</f>
        <v>0.2143068391866913</v>
      </c>
      <c r="E105" s="970">
        <f>1.0788/E102</f>
        <v>0.19940850277264324</v>
      </c>
      <c r="F105" s="970">
        <f>1.0788/F102</f>
        <v>0.19940850277264324</v>
      </c>
      <c r="G105" s="970">
        <f>1.0788/G102</f>
        <v>0.19940850277264324</v>
      </c>
      <c r="H105" s="970">
        <f>1.0788/H102</f>
        <v>0.19940850277264324</v>
      </c>
      <c r="I105" s="970">
        <f>1.0788/I102</f>
        <v>0.19940850277264324</v>
      </c>
      <c r="J105" s="970">
        <f>1.0072/J102</f>
        <v>0.18617375231053607</v>
      </c>
      <c r="K105" s="970">
        <f>1.0072/K102</f>
        <v>0.18617375231053607</v>
      </c>
      <c r="L105" s="970">
        <f>1.0072/L102</f>
        <v>0.18617375231053607</v>
      </c>
      <c r="M105" s="970">
        <f>1.0072/M102</f>
        <v>0.18617375231053607</v>
      </c>
      <c r="N105" s="970">
        <f>1.0072/N102</f>
        <v>0.18617375231053607</v>
      </c>
    </row>
    <row r="106" spans="1:14" ht="12.75">
      <c r="A106" s="1788"/>
      <c r="B106" s="969">
        <v>4</v>
      </c>
      <c r="C106" s="970">
        <f>0.9622/C102</f>
        <v>0.17785582255083179</v>
      </c>
      <c r="D106" s="970">
        <f>0.9622/D102</f>
        <v>0.17785582255083179</v>
      </c>
      <c r="E106" s="970">
        <f>0.8656/E102</f>
        <v>0.16</v>
      </c>
      <c r="F106" s="970">
        <f>0.8656/F102</f>
        <v>0.16</v>
      </c>
      <c r="G106" s="970">
        <f>0.8656/G102</f>
        <v>0.16</v>
      </c>
      <c r="H106" s="970">
        <f>0.8656/H102</f>
        <v>0.16</v>
      </c>
      <c r="I106" s="970">
        <f>0.8656/I102</f>
        <v>0.16</v>
      </c>
      <c r="J106" s="970">
        <f>0.7525/J102</f>
        <v>0.13909426987060997</v>
      </c>
      <c r="K106" s="970">
        <f>0.7525/K102</f>
        <v>0.13909426987060997</v>
      </c>
      <c r="L106" s="970">
        <f>0.7525/L102</f>
        <v>0.13909426987060997</v>
      </c>
      <c r="M106" s="970">
        <f>0.7525/M102</f>
        <v>0.13909426987060997</v>
      </c>
      <c r="N106" s="970">
        <f>0.7525/N102</f>
        <v>0.13909426987060997</v>
      </c>
    </row>
    <row r="107" spans="1:14" ht="12.75">
      <c r="A107" s="1788"/>
      <c r="B107" s="969">
        <v>5</v>
      </c>
      <c r="C107" s="970">
        <f>0.8417/C102</f>
        <v>0.1555822550831793</v>
      </c>
      <c r="D107" s="970">
        <f>0.8417/D102</f>
        <v>0.1555822550831793</v>
      </c>
      <c r="E107" s="970">
        <f>0.7371/E102</f>
        <v>0.13624768946395563</v>
      </c>
      <c r="F107" s="970">
        <f>0.7371/F102</f>
        <v>0.13624768946395563</v>
      </c>
      <c r="G107" s="970">
        <f>0.7371/G102</f>
        <v>0.13624768946395563</v>
      </c>
      <c r="H107" s="970">
        <f>0.7371/H102</f>
        <v>0.13624768946395563</v>
      </c>
      <c r="I107" s="970">
        <f>0.7371/I102</f>
        <v>0.13624768946395563</v>
      </c>
      <c r="J107" s="970">
        <f>0.5659/J102</f>
        <v>0.10460258780036967</v>
      </c>
      <c r="K107" s="970">
        <f>0.5659/K102</f>
        <v>0.10460258780036967</v>
      </c>
      <c r="L107" s="970">
        <f>0.5659/L102</f>
        <v>0.10460258780036967</v>
      </c>
      <c r="M107" s="970">
        <f>0.5659/M102</f>
        <v>0.10460258780036967</v>
      </c>
      <c r="N107" s="970">
        <f>0.5659/N102</f>
        <v>0.10460258780036967</v>
      </c>
    </row>
    <row r="108" spans="1:14" ht="12.75">
      <c r="A108" s="1788"/>
      <c r="B108" s="969">
        <v>6</v>
      </c>
      <c r="C108" s="970">
        <f>0.7608/C102</f>
        <v>0.14062846580406654</v>
      </c>
      <c r="D108" s="970">
        <f>0.7608/D102</f>
        <v>0.14062846580406654</v>
      </c>
      <c r="E108" s="970">
        <f>0.6482/E102</f>
        <v>0.11981515711645101</v>
      </c>
      <c r="F108" s="970">
        <f>0.6482/F102</f>
        <v>0.11981515711645101</v>
      </c>
      <c r="G108" s="970">
        <f>0.6482/G102</f>
        <v>0.11981515711645101</v>
      </c>
      <c r="H108" s="970">
        <f>0.6482/H102</f>
        <v>0.11981515711645101</v>
      </c>
      <c r="I108" s="970">
        <f>0.6482/I102</f>
        <v>0.11981515711645101</v>
      </c>
      <c r="J108" s="970">
        <f>0.4525/J102</f>
        <v>8.3641404805914976E-2</v>
      </c>
      <c r="K108" s="970">
        <f>0.4525/K102</f>
        <v>8.3641404805914976E-2</v>
      </c>
      <c r="L108" s="970">
        <f>0.4525/L102</f>
        <v>8.3641404805914976E-2</v>
      </c>
      <c r="M108" s="970">
        <f>0.4525/M102</f>
        <v>8.3641404805914976E-2</v>
      </c>
      <c r="N108" s="970">
        <f>0.4525/N102</f>
        <v>8.3641404805914976E-2</v>
      </c>
    </row>
    <row r="109" spans="1:14" ht="12.75">
      <c r="A109" s="1788"/>
      <c r="B109" s="1790" t="s">
        <v>1496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89"/>
      <c r="B110" s="1791"/>
      <c r="C110" s="972">
        <f>(-0.163*(C109^2)-0.59*C109+7617)*(10^(-4))/C102</f>
        <v>0.14078090573012939</v>
      </c>
      <c r="D110" s="972">
        <f>(-0.163*(D109^2)-0.59*D109+7617)*(10^(-4))/D102</f>
        <v>0.14078090573012939</v>
      </c>
      <c r="E110" s="972">
        <f>(-0.161*(E109^2)-7.509*E109+6533)*(10^(-4))/E102</f>
        <v>0.12061608133086876</v>
      </c>
      <c r="F110" s="972">
        <f>(-0.161*(F109^2)-7.509*F109+6533)*(10^(-4))/F102</f>
        <v>0.12061608133086876</v>
      </c>
      <c r="G110" s="972">
        <f>(-0.161*(G109^2)-7.509*G109+6533)*(10^(-4))/G102</f>
        <v>0.12061608133086876</v>
      </c>
      <c r="H110" s="972">
        <f>(-0.161*(H109^2)-7.509*H109+6533)*(10^(-4))/H102</f>
        <v>0.12061608133086876</v>
      </c>
      <c r="I110" s="972">
        <f>(-0.161*(I109^2)-7.509*I109+6533)*(10^(-4))/I102</f>
        <v>0.12061608133086876</v>
      </c>
      <c r="J110" s="972">
        <f>(-0.214*(J109^2)-21.991*J109+4665)*(10^(-4))/J102</f>
        <v>8.5818761552680228E-2</v>
      </c>
      <c r="K110" s="972">
        <f>(-0.214*(K109^2)-21.991*K109+4665)*(10^(-4))/K102</f>
        <v>8.5818761552680228E-2</v>
      </c>
      <c r="L110" s="972">
        <f>(-0.214*(L109^2)-21.991*L109+4665)*(10^(-4))/L102</f>
        <v>8.5818761552680228E-2</v>
      </c>
      <c r="M110" s="972">
        <f>(-0.214*(M109^2)-21.991*M109+4665)*(10^(-4))/M102</f>
        <v>8.5818761552680228E-2</v>
      </c>
      <c r="N110" s="972">
        <f>(-0.214*(N109^2)-21.991*N109+4665)*(10^(-4))/N102</f>
        <v>8.5818761552680228E-2</v>
      </c>
    </row>
    <row r="111" spans="1:14">
      <c r="A111" s="1785" t="s">
        <v>1180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1478</v>
      </c>
      <c r="B114" s="498">
        <f>G3</f>
        <v>5.41</v>
      </c>
      <c r="C114" s="955" t="s">
        <v>1479</v>
      </c>
      <c r="D114" s="351">
        <f>SUMPRODUCT((A116:A119=F114)*(B115:M115=H114)*B116:M119)</f>
        <v>0.83150000000000002</v>
      </c>
      <c r="E114" s="735" t="s">
        <v>1165</v>
      </c>
      <c r="F114" s="956" t="str">
        <f>E2</f>
        <v>住宅/居住</v>
      </c>
      <c r="G114" s="735" t="s">
        <v>1182</v>
      </c>
      <c r="H114" s="956" t="str">
        <f>G2</f>
        <v>四级</v>
      </c>
      <c r="I114" s="735"/>
      <c r="J114" s="816"/>
      <c r="K114" s="816"/>
      <c r="L114" s="816"/>
      <c r="M114" s="816"/>
    </row>
    <row r="115" spans="1:13">
      <c r="A115" s="957"/>
      <c r="B115" s="958" t="s">
        <v>1168</v>
      </c>
      <c r="C115" s="958" t="s">
        <v>1169</v>
      </c>
      <c r="D115" s="958" t="s">
        <v>1170</v>
      </c>
      <c r="E115" s="959" t="s">
        <v>1171</v>
      </c>
      <c r="F115" s="959" t="s">
        <v>1172</v>
      </c>
      <c r="G115" s="959" t="s">
        <v>1173</v>
      </c>
      <c r="H115" s="960" t="s">
        <v>1174</v>
      </c>
      <c r="I115" s="960" t="s">
        <v>1175</v>
      </c>
      <c r="J115" s="961" t="s">
        <v>1176</v>
      </c>
      <c r="K115" s="961" t="s">
        <v>1177</v>
      </c>
      <c r="L115" s="961" t="s">
        <v>1178</v>
      </c>
      <c r="M115" s="962" t="s">
        <v>1179</v>
      </c>
    </row>
    <row r="116" spans="1:13" ht="12.75">
      <c r="A116" s="817" t="s">
        <v>0</v>
      </c>
      <c r="B116" s="355">
        <f>ROUND(0.9335-0.0094*B114,4)</f>
        <v>0.88260000000000005</v>
      </c>
      <c r="C116" s="355">
        <f>B116</f>
        <v>0.88260000000000005</v>
      </c>
      <c r="D116" s="355">
        <f>ROUND(0.8331-0.0109*B114,4)</f>
        <v>0.77410000000000001</v>
      </c>
      <c r="E116" s="355">
        <f>D116</f>
        <v>0.77410000000000001</v>
      </c>
      <c r="F116" s="355">
        <f>E116</f>
        <v>0.77410000000000001</v>
      </c>
      <c r="G116" s="355">
        <f>F116</f>
        <v>0.77410000000000001</v>
      </c>
      <c r="H116" s="355">
        <f>G116</f>
        <v>0.77410000000000001</v>
      </c>
      <c r="I116" s="355">
        <f>ROUND(0.689-0.0155*B114,4)</f>
        <v>0.60509999999999997</v>
      </c>
      <c r="J116" s="355">
        <f t="shared" ref="J116:M119" si="27">I116</f>
        <v>0.60509999999999997</v>
      </c>
      <c r="K116" s="355">
        <f t="shared" si="27"/>
        <v>0.60509999999999997</v>
      </c>
      <c r="L116" s="355">
        <f t="shared" si="27"/>
        <v>0.60509999999999997</v>
      </c>
      <c r="M116" s="356">
        <f t="shared" si="27"/>
        <v>0.60509999999999997</v>
      </c>
    </row>
    <row r="117" spans="1:13" ht="12.75">
      <c r="A117" s="817" t="s">
        <v>1314</v>
      </c>
      <c r="B117" s="355">
        <f>ROUND(0.949-0.012*B114,4)</f>
        <v>0.8841</v>
      </c>
      <c r="C117" s="355">
        <f>B117</f>
        <v>0.8841</v>
      </c>
      <c r="D117" s="355">
        <f>ROUND(0.8567-0.013*B114,4)</f>
        <v>0.78639999999999999</v>
      </c>
      <c r="E117" s="355">
        <f t="shared" ref="E117:H118" si="28">D117</f>
        <v>0.78639999999999999</v>
      </c>
      <c r="F117" s="355">
        <f t="shared" si="28"/>
        <v>0.78639999999999999</v>
      </c>
      <c r="G117" s="355">
        <f t="shared" si="28"/>
        <v>0.78639999999999999</v>
      </c>
      <c r="H117" s="355">
        <f t="shared" si="28"/>
        <v>0.78639999999999999</v>
      </c>
      <c r="I117" s="355">
        <f>ROUND(0.7694-0.014*B114,4)</f>
        <v>0.69369999999999998</v>
      </c>
      <c r="J117" s="355">
        <f t="shared" si="27"/>
        <v>0.69369999999999998</v>
      </c>
      <c r="K117" s="355">
        <f t="shared" si="27"/>
        <v>0.69369999999999998</v>
      </c>
      <c r="L117" s="355">
        <f t="shared" si="27"/>
        <v>0.69369999999999998</v>
      </c>
      <c r="M117" s="356">
        <f t="shared" si="27"/>
        <v>0.69369999999999998</v>
      </c>
    </row>
    <row r="118" spans="1:13" ht="12.75">
      <c r="A118" s="817" t="s">
        <v>1315</v>
      </c>
      <c r="B118" s="355">
        <f>ROUND(0.8808-0.006*B114,4)</f>
        <v>0.84830000000000005</v>
      </c>
      <c r="C118" s="355">
        <f>B118</f>
        <v>0.84830000000000005</v>
      </c>
      <c r="D118" s="355">
        <f>ROUND(0.8748-0.008*B114,4)</f>
        <v>0.83150000000000002</v>
      </c>
      <c r="E118" s="355">
        <f t="shared" si="28"/>
        <v>0.83150000000000002</v>
      </c>
      <c r="F118" s="355">
        <f t="shared" si="28"/>
        <v>0.83150000000000002</v>
      </c>
      <c r="G118" s="355">
        <f t="shared" si="28"/>
        <v>0.83150000000000002</v>
      </c>
      <c r="H118" s="355">
        <f t="shared" si="28"/>
        <v>0.83150000000000002</v>
      </c>
      <c r="I118" s="355">
        <f>ROUND(0.7412-0.0095*B114,4)</f>
        <v>0.68979999999999997</v>
      </c>
      <c r="J118" s="355">
        <f t="shared" si="27"/>
        <v>0.68979999999999997</v>
      </c>
      <c r="K118" s="355">
        <f t="shared" si="27"/>
        <v>0.68979999999999997</v>
      </c>
      <c r="L118" s="355">
        <f t="shared" si="27"/>
        <v>0.68979999999999997</v>
      </c>
      <c r="M118" s="356">
        <f t="shared" si="27"/>
        <v>0.68979999999999997</v>
      </c>
    </row>
    <row r="119" spans="1:13" ht="13.5" thickBot="1">
      <c r="A119" s="818" t="s">
        <v>226</v>
      </c>
      <c r="B119" s="357">
        <f>ROUND(0.7275-0.01*B114,4)</f>
        <v>0.6734</v>
      </c>
      <c r="C119" s="357">
        <f>B119</f>
        <v>0.6734</v>
      </c>
      <c r="D119" s="357">
        <f>ROUND(0.7043-0.012*B114,4)</f>
        <v>0.63939999999999997</v>
      </c>
      <c r="E119" s="357">
        <f>D119</f>
        <v>0.63939999999999997</v>
      </c>
      <c r="F119" s="357">
        <f>E119</f>
        <v>0.63939999999999997</v>
      </c>
      <c r="G119" s="357">
        <f>ROUND(0.6299-0.0122*B114,4)</f>
        <v>0.56389999999999996</v>
      </c>
      <c r="H119" s="357">
        <f>G119</f>
        <v>0.56389999999999996</v>
      </c>
      <c r="I119" s="357">
        <f>ROUND(0.5667-0.0136*B114,4)</f>
        <v>0.49309999999999998</v>
      </c>
      <c r="J119" s="357">
        <f t="shared" si="27"/>
        <v>0.49309999999999998</v>
      </c>
      <c r="K119" s="357">
        <f t="shared" si="27"/>
        <v>0.49309999999999998</v>
      </c>
      <c r="L119" s="357">
        <f t="shared" si="27"/>
        <v>0.49309999999999998</v>
      </c>
      <c r="M119" s="358">
        <f t="shared" si="27"/>
        <v>0.49309999999999998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987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988</v>
      </c>
      <c r="D3" s="416" t="s">
        <v>1312</v>
      </c>
      <c r="E3" s="416" t="s">
        <v>1313</v>
      </c>
      <c r="F3" s="416" t="s">
        <v>989</v>
      </c>
    </row>
    <row r="4" spans="1:6" ht="14.25" thickBot="1">
      <c r="A4" s="417" t="s">
        <v>990</v>
      </c>
      <c r="B4" s="418" t="s">
        <v>991</v>
      </c>
      <c r="C4" s="416"/>
      <c r="D4" s="416"/>
      <c r="E4" s="416"/>
      <c r="F4" s="416"/>
    </row>
    <row r="5" spans="1:6" ht="14.25" thickBot="1">
      <c r="A5" s="277" t="s">
        <v>992</v>
      </c>
      <c r="B5" s="278" t="s">
        <v>993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343</v>
      </c>
      <c r="B6" s="271" t="s">
        <v>994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343</v>
      </c>
      <c r="B7" s="285" t="s">
        <v>332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343</v>
      </c>
      <c r="B8" s="271" t="s">
        <v>344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343</v>
      </c>
      <c r="B9" s="286" t="s">
        <v>356</v>
      </c>
      <c r="C9" s="423">
        <v>0.05</v>
      </c>
      <c r="D9" s="424"/>
      <c r="E9" s="424"/>
      <c r="F9" s="425"/>
    </row>
    <row r="10" spans="1:6" ht="14.25" thickBot="1">
      <c r="A10" s="277" t="s">
        <v>403</v>
      </c>
      <c r="B10" s="278" t="s">
        <v>995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403</v>
      </c>
      <c r="B11" s="285" t="s">
        <v>319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403</v>
      </c>
      <c r="B12" s="285" t="s">
        <v>252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403</v>
      </c>
      <c r="B13" s="285" t="s">
        <v>345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403</v>
      </c>
      <c r="B14" s="285" t="s">
        <v>357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403</v>
      </c>
      <c r="B15" s="285" t="s">
        <v>369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403</v>
      </c>
      <c r="B16" s="285" t="s">
        <v>381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403</v>
      </c>
      <c r="B17" s="285" t="s">
        <v>393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403</v>
      </c>
      <c r="B18" s="285" t="s">
        <v>406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403</v>
      </c>
      <c r="B19" s="285" t="s">
        <v>417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403</v>
      </c>
      <c r="B20" s="285" t="s">
        <v>428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403</v>
      </c>
      <c r="B21" s="285" t="s">
        <v>439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403</v>
      </c>
      <c r="B22" s="285" t="s">
        <v>996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403</v>
      </c>
      <c r="B23" s="285" t="s">
        <v>461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403</v>
      </c>
      <c r="B24" s="285" t="s">
        <v>472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403</v>
      </c>
      <c r="B25" s="285" t="s">
        <v>482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403</v>
      </c>
      <c r="B26" s="285" t="s">
        <v>492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403</v>
      </c>
      <c r="B27" s="285" t="s">
        <v>502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403</v>
      </c>
      <c r="B28" s="286" t="s">
        <v>512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581</v>
      </c>
      <c r="B29" s="278" t="s">
        <v>997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581</v>
      </c>
      <c r="B30" s="285" t="s">
        <v>320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581</v>
      </c>
      <c r="B31" s="285" t="s">
        <v>333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581</v>
      </c>
      <c r="B32" s="285" t="s">
        <v>346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581</v>
      </c>
      <c r="B33" s="285" t="s">
        <v>358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581</v>
      </c>
      <c r="B34" s="285" t="s">
        <v>370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581</v>
      </c>
      <c r="B35" s="285" t="s">
        <v>382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581</v>
      </c>
      <c r="B36" s="285" t="s">
        <v>394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581</v>
      </c>
      <c r="B37" s="285" t="s">
        <v>407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581</v>
      </c>
      <c r="B38" s="285" t="s">
        <v>418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581</v>
      </c>
      <c r="B39" s="285" t="s">
        <v>429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581</v>
      </c>
      <c r="B40" s="285" t="s">
        <v>440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581</v>
      </c>
      <c r="B41" s="285" t="s">
        <v>451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581</v>
      </c>
      <c r="B42" s="285" t="s">
        <v>462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581</v>
      </c>
      <c r="B43" s="285" t="s">
        <v>473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581</v>
      </c>
      <c r="B44" s="285" t="s">
        <v>483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581</v>
      </c>
      <c r="B45" s="285" t="s">
        <v>493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581</v>
      </c>
      <c r="B46" s="285" t="s">
        <v>503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581</v>
      </c>
      <c r="B47" s="285" t="s">
        <v>513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581</v>
      </c>
      <c r="B48" s="286" t="s">
        <v>522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251</v>
      </c>
      <c r="B49" s="278" t="s">
        <v>998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251</v>
      </c>
      <c r="B50" s="271" t="s">
        <v>321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251</v>
      </c>
      <c r="B51" s="271" t="s">
        <v>334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251</v>
      </c>
      <c r="B52" s="271" t="s">
        <v>347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251</v>
      </c>
      <c r="B53" s="271" t="s">
        <v>359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251</v>
      </c>
      <c r="B54" s="271" t="s">
        <v>371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251</v>
      </c>
      <c r="B55" s="271" t="s">
        <v>383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251</v>
      </c>
      <c r="B56" s="271" t="s">
        <v>395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251</v>
      </c>
      <c r="B57" s="271" t="s">
        <v>408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251</v>
      </c>
      <c r="B58" s="271" t="s">
        <v>419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251</v>
      </c>
      <c r="B59" s="271" t="s">
        <v>430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251</v>
      </c>
      <c r="B60" s="271" t="s">
        <v>441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251</v>
      </c>
      <c r="B61" s="271" t="s">
        <v>452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251</v>
      </c>
      <c r="B62" s="271" t="s">
        <v>463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251</v>
      </c>
      <c r="B63" s="271" t="s">
        <v>474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251</v>
      </c>
      <c r="B64" s="271" t="s">
        <v>484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251</v>
      </c>
      <c r="B65" s="271" t="s">
        <v>494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251</v>
      </c>
      <c r="B66" s="271" t="s">
        <v>504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251</v>
      </c>
      <c r="B67" s="271" t="s">
        <v>514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251</v>
      </c>
      <c r="B68" s="271" t="s">
        <v>523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251</v>
      </c>
      <c r="B69" s="271" t="s">
        <v>532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251</v>
      </c>
      <c r="B70" s="271" t="s">
        <v>540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251</v>
      </c>
      <c r="B71" s="271" t="s">
        <v>547</v>
      </c>
      <c r="C71" s="421">
        <v>0.1</v>
      </c>
      <c r="D71" s="427"/>
      <c r="E71" s="427"/>
      <c r="F71" s="426"/>
    </row>
    <row r="72" spans="1:6" ht="14.25" thickBot="1">
      <c r="A72" s="277" t="s">
        <v>251</v>
      </c>
      <c r="B72" s="271" t="s">
        <v>999</v>
      </c>
      <c r="C72" s="427"/>
      <c r="D72" s="427"/>
      <c r="E72" s="427"/>
      <c r="F72" s="422">
        <v>0.05</v>
      </c>
    </row>
    <row r="73" spans="1:6" ht="14.25" thickBot="1">
      <c r="A73" s="277" t="s">
        <v>251</v>
      </c>
      <c r="B73" s="271" t="s">
        <v>1000</v>
      </c>
      <c r="C73" s="427"/>
      <c r="D73" s="427"/>
      <c r="E73" s="427"/>
      <c r="F73" s="422">
        <v>0.05</v>
      </c>
    </row>
    <row r="74" spans="1:6" ht="14.25" thickBot="1">
      <c r="A74" s="277" t="s">
        <v>251</v>
      </c>
      <c r="B74" s="271" t="s">
        <v>1001</v>
      </c>
      <c r="C74" s="427"/>
      <c r="D74" s="427"/>
      <c r="E74" s="427"/>
      <c r="F74" s="422">
        <v>0.05</v>
      </c>
    </row>
    <row r="75" spans="1:6" ht="14.25" thickBot="1">
      <c r="A75" s="294" t="s">
        <v>251</v>
      </c>
      <c r="B75" s="287" t="s">
        <v>1002</v>
      </c>
      <c r="C75" s="424"/>
      <c r="D75" s="424"/>
      <c r="E75" s="424"/>
      <c r="F75" s="428">
        <v>0.05</v>
      </c>
    </row>
    <row r="76" spans="1:6" ht="14.25" thickBot="1">
      <c r="A76" s="277" t="s">
        <v>663</v>
      </c>
      <c r="B76" s="278" t="s">
        <v>1003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663</v>
      </c>
      <c r="B77" s="271" t="s">
        <v>322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663</v>
      </c>
      <c r="B78" s="271" t="s">
        <v>335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663</v>
      </c>
      <c r="B79" s="271" t="s">
        <v>348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663</v>
      </c>
      <c r="B80" s="271" t="s">
        <v>360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663</v>
      </c>
      <c r="B81" s="271" t="s">
        <v>372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663</v>
      </c>
      <c r="B82" s="271" t="s">
        <v>384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663</v>
      </c>
      <c r="B83" s="271" t="s">
        <v>396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663</v>
      </c>
      <c r="B84" s="271" t="s">
        <v>409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663</v>
      </c>
      <c r="B85" s="271" t="s">
        <v>420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663</v>
      </c>
      <c r="B86" s="271" t="s">
        <v>431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663</v>
      </c>
      <c r="B87" s="271" t="s">
        <v>442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663</v>
      </c>
      <c r="B88" s="271" t="s">
        <v>453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663</v>
      </c>
      <c r="B89" s="271" t="s">
        <v>464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663</v>
      </c>
      <c r="B90" s="271" t="s">
        <v>475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663</v>
      </c>
      <c r="B91" s="271" t="s">
        <v>485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663</v>
      </c>
      <c r="B92" s="271" t="s">
        <v>495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663</v>
      </c>
      <c r="B93" s="271" t="s">
        <v>505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663</v>
      </c>
      <c r="B94" s="271" t="s">
        <v>515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663</v>
      </c>
      <c r="B95" s="271" t="s">
        <v>524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663</v>
      </c>
      <c r="B96" s="271" t="s">
        <v>533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663</v>
      </c>
      <c r="B97" s="271" t="s">
        <v>541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663</v>
      </c>
      <c r="B98" s="271" t="s">
        <v>548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663</v>
      </c>
      <c r="B99" s="271" t="s">
        <v>555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663</v>
      </c>
      <c r="B100" s="271" t="s">
        <v>562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663</v>
      </c>
      <c r="B101" s="271" t="s">
        <v>569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663</v>
      </c>
      <c r="B102" s="271" t="s">
        <v>1004</v>
      </c>
      <c r="C102" s="427"/>
      <c r="D102" s="427"/>
      <c r="E102" s="427"/>
      <c r="F102" s="422">
        <v>0.05</v>
      </c>
    </row>
    <row r="103" spans="1:6" ht="24.75" thickBot="1">
      <c r="A103" s="277" t="s">
        <v>663</v>
      </c>
      <c r="B103" s="271" t="s">
        <v>1005</v>
      </c>
      <c r="C103" s="427"/>
      <c r="D103" s="427"/>
      <c r="E103" s="427"/>
      <c r="F103" s="422">
        <v>0.05</v>
      </c>
    </row>
    <row r="104" spans="1:6" ht="14.25" thickBot="1">
      <c r="A104" s="277" t="s">
        <v>663</v>
      </c>
      <c r="B104" s="271" t="s">
        <v>1006</v>
      </c>
      <c r="C104" s="427"/>
      <c r="D104" s="427"/>
      <c r="E104" s="427"/>
      <c r="F104" s="422">
        <v>0.05</v>
      </c>
    </row>
    <row r="105" spans="1:6" ht="14.25" thickBot="1">
      <c r="A105" s="277" t="s">
        <v>663</v>
      </c>
      <c r="B105" s="271" t="s">
        <v>1007</v>
      </c>
      <c r="C105" s="427"/>
      <c r="D105" s="427"/>
      <c r="E105" s="427"/>
      <c r="F105" s="422">
        <v>0.05</v>
      </c>
    </row>
    <row r="106" spans="1:6" ht="14.25" thickBot="1">
      <c r="A106" s="277" t="s">
        <v>663</v>
      </c>
      <c r="B106" s="271" t="s">
        <v>1008</v>
      </c>
      <c r="C106" s="427"/>
      <c r="D106" s="427"/>
      <c r="E106" s="427"/>
      <c r="F106" s="422">
        <v>0.05</v>
      </c>
    </row>
    <row r="107" spans="1:6" ht="24.75" thickBot="1">
      <c r="A107" s="277" t="s">
        <v>663</v>
      </c>
      <c r="B107" s="271" t="s">
        <v>1009</v>
      </c>
      <c r="C107" s="427"/>
      <c r="D107" s="427"/>
      <c r="E107" s="427"/>
      <c r="F107" s="422">
        <v>0.05</v>
      </c>
    </row>
    <row r="108" spans="1:6" ht="24.75" thickBot="1">
      <c r="A108" s="277" t="s">
        <v>663</v>
      </c>
      <c r="B108" s="271" t="s">
        <v>1010</v>
      </c>
      <c r="C108" s="427"/>
      <c r="D108" s="427"/>
      <c r="E108" s="427"/>
      <c r="F108" s="422">
        <v>0.05</v>
      </c>
    </row>
    <row r="109" spans="1:6" ht="24.75" thickBot="1">
      <c r="A109" s="294" t="s">
        <v>663</v>
      </c>
      <c r="B109" s="287" t="s">
        <v>1011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1012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323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336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349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361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373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385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397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410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421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432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443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454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465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476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486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496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506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516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525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534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542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549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556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1013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570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577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584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1014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1015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1016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604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609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614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1017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1018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1019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1020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1021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1022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1023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1024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647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1025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1026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1027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1028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1029</v>
      </c>
      <c r="C157" s="424"/>
      <c r="D157" s="424"/>
      <c r="E157" s="424"/>
      <c r="F157" s="428">
        <v>0.05</v>
      </c>
    </row>
    <row r="158" spans="1:6" ht="14.25" thickBot="1">
      <c r="A158" s="277" t="s">
        <v>666</v>
      </c>
      <c r="B158" s="278" t="s">
        <v>1030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666</v>
      </c>
      <c r="B159" s="271" t="s">
        <v>324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666</v>
      </c>
      <c r="B160" s="271" t="s">
        <v>337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666</v>
      </c>
      <c r="B161" s="271" t="s">
        <v>350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666</v>
      </c>
      <c r="B162" s="271" t="s">
        <v>362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666</v>
      </c>
      <c r="B163" s="271" t="s">
        <v>374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666</v>
      </c>
      <c r="B164" s="271" t="s">
        <v>386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666</v>
      </c>
      <c r="B165" s="271" t="s">
        <v>398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666</v>
      </c>
      <c r="B166" s="271" t="s">
        <v>411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666</v>
      </c>
      <c r="B167" s="271" t="s">
        <v>422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666</v>
      </c>
      <c r="B168" s="271" t="s">
        <v>433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666</v>
      </c>
      <c r="B169" s="271" t="s">
        <v>444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666</v>
      </c>
      <c r="B170" s="271" t="s">
        <v>455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666</v>
      </c>
      <c r="B171" s="271" t="s">
        <v>1031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666</v>
      </c>
      <c r="B172" s="271" t="s">
        <v>1032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666</v>
      </c>
      <c r="B173" s="271" t="s">
        <v>487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666</v>
      </c>
      <c r="B174" s="271" t="s">
        <v>1033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666</v>
      </c>
      <c r="B175" s="271" t="s">
        <v>1034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666</v>
      </c>
      <c r="B176" s="271" t="s">
        <v>517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666</v>
      </c>
      <c r="B177" s="271" t="s">
        <v>1035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666</v>
      </c>
      <c r="B178" s="271" t="s">
        <v>535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666</v>
      </c>
      <c r="B179" s="271" t="s">
        <v>543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666</v>
      </c>
      <c r="B180" s="271" t="s">
        <v>1036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666</v>
      </c>
      <c r="B181" s="271" t="s">
        <v>557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666</v>
      </c>
      <c r="B182" s="271" t="s">
        <v>564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666</v>
      </c>
      <c r="B183" s="271" t="s">
        <v>571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666</v>
      </c>
      <c r="B184" s="271" t="s">
        <v>578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666</v>
      </c>
      <c r="B185" s="271" t="s">
        <v>1037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666</v>
      </c>
      <c r="B186" s="271" t="s">
        <v>1038</v>
      </c>
      <c r="C186" s="427"/>
      <c r="D186" s="427"/>
      <c r="E186" s="427"/>
      <c r="F186" s="422">
        <v>0.05</v>
      </c>
    </row>
    <row r="187" spans="1:6" ht="14.25" thickBot="1">
      <c r="A187" s="277" t="s">
        <v>666</v>
      </c>
      <c r="B187" s="271" t="s">
        <v>1039</v>
      </c>
      <c r="C187" s="427"/>
      <c r="D187" s="427"/>
      <c r="E187" s="427"/>
      <c r="F187" s="422">
        <v>0.05</v>
      </c>
    </row>
    <row r="188" spans="1:6" ht="14.25" thickBot="1">
      <c r="A188" s="277" t="s">
        <v>666</v>
      </c>
      <c r="B188" s="271" t="s">
        <v>1040</v>
      </c>
      <c r="C188" s="427"/>
      <c r="D188" s="427"/>
      <c r="E188" s="427"/>
      <c r="F188" s="422">
        <v>0.05</v>
      </c>
    </row>
    <row r="189" spans="1:6" ht="24.75" thickBot="1">
      <c r="A189" s="277" t="s">
        <v>666</v>
      </c>
      <c r="B189" s="271" t="s">
        <v>1041</v>
      </c>
      <c r="C189" s="427"/>
      <c r="D189" s="427"/>
      <c r="E189" s="427"/>
      <c r="F189" s="422">
        <v>0.05</v>
      </c>
    </row>
    <row r="190" spans="1:6" ht="24.75" thickBot="1">
      <c r="A190" s="277" t="s">
        <v>666</v>
      </c>
      <c r="B190" s="271" t="s">
        <v>1042</v>
      </c>
      <c r="C190" s="427"/>
      <c r="D190" s="427"/>
      <c r="E190" s="427"/>
      <c r="F190" s="422">
        <v>0.05</v>
      </c>
    </row>
    <row r="191" spans="1:6" ht="24.75" thickBot="1">
      <c r="A191" s="277" t="s">
        <v>666</v>
      </c>
      <c r="B191" s="271" t="s">
        <v>1043</v>
      </c>
      <c r="C191" s="427"/>
      <c r="D191" s="427"/>
      <c r="E191" s="427"/>
      <c r="F191" s="422">
        <v>0.05</v>
      </c>
    </row>
    <row r="192" spans="1:6" ht="24.75" thickBot="1">
      <c r="A192" s="277" t="s">
        <v>666</v>
      </c>
      <c r="B192" s="271" t="s">
        <v>1044</v>
      </c>
      <c r="C192" s="427"/>
      <c r="D192" s="427"/>
      <c r="E192" s="427"/>
      <c r="F192" s="422">
        <v>0.05</v>
      </c>
    </row>
    <row r="193" spans="1:6" ht="24.75" thickBot="1">
      <c r="A193" s="277" t="s">
        <v>666</v>
      </c>
      <c r="B193" s="271" t="s">
        <v>1045</v>
      </c>
      <c r="C193" s="427"/>
      <c r="D193" s="427"/>
      <c r="E193" s="427"/>
      <c r="F193" s="422">
        <v>0.05</v>
      </c>
    </row>
    <row r="194" spans="1:6" ht="24.75" thickBot="1">
      <c r="A194" s="277" t="s">
        <v>666</v>
      </c>
      <c r="B194" s="271" t="s">
        <v>1046</v>
      </c>
      <c r="C194" s="427"/>
      <c r="D194" s="427"/>
      <c r="E194" s="427"/>
      <c r="F194" s="422">
        <v>0.05</v>
      </c>
    </row>
    <row r="195" spans="1:6" ht="14.25" thickBot="1">
      <c r="A195" s="277" t="s">
        <v>666</v>
      </c>
      <c r="B195" s="271" t="s">
        <v>1047</v>
      </c>
      <c r="C195" s="427"/>
      <c r="D195" s="427"/>
      <c r="E195" s="427"/>
      <c r="F195" s="422">
        <v>0.05</v>
      </c>
    </row>
    <row r="196" spans="1:6" ht="24.75" thickBot="1">
      <c r="A196" s="277" t="s">
        <v>666</v>
      </c>
      <c r="B196" s="271" t="s">
        <v>1048</v>
      </c>
      <c r="C196" s="427"/>
      <c r="D196" s="427"/>
      <c r="E196" s="427"/>
      <c r="F196" s="422">
        <v>0.05</v>
      </c>
    </row>
    <row r="197" spans="1:6" ht="24.75" thickBot="1">
      <c r="A197" s="277" t="s">
        <v>666</v>
      </c>
      <c r="B197" s="271" t="s">
        <v>1049</v>
      </c>
      <c r="C197" s="427"/>
      <c r="D197" s="427"/>
      <c r="E197" s="427"/>
      <c r="F197" s="422">
        <v>0.05</v>
      </c>
    </row>
    <row r="198" spans="1:6" ht="24.75" thickBot="1">
      <c r="A198" s="277" t="s">
        <v>666</v>
      </c>
      <c r="B198" s="271" t="s">
        <v>1050</v>
      </c>
      <c r="C198" s="427"/>
      <c r="D198" s="427"/>
      <c r="E198" s="427"/>
      <c r="F198" s="422">
        <v>0.05</v>
      </c>
    </row>
    <row r="199" spans="1:6" ht="24.75" thickBot="1">
      <c r="A199" s="277" t="s">
        <v>666</v>
      </c>
      <c r="B199" s="271" t="s">
        <v>1051</v>
      </c>
      <c r="C199" s="427"/>
      <c r="D199" s="427"/>
      <c r="E199" s="427"/>
      <c r="F199" s="422">
        <v>0.05</v>
      </c>
    </row>
    <row r="200" spans="1:6" ht="24.75" thickBot="1">
      <c r="A200" s="277" t="s">
        <v>666</v>
      </c>
      <c r="B200" s="271" t="s">
        <v>1052</v>
      </c>
      <c r="C200" s="427"/>
      <c r="D200" s="427"/>
      <c r="E200" s="427"/>
      <c r="F200" s="422">
        <v>0.05</v>
      </c>
    </row>
    <row r="201" spans="1:6" ht="24.75" thickBot="1">
      <c r="A201" s="277" t="s">
        <v>666</v>
      </c>
      <c r="B201" s="271" t="s">
        <v>1053</v>
      </c>
      <c r="C201" s="427"/>
      <c r="D201" s="427"/>
      <c r="E201" s="427"/>
      <c r="F201" s="422">
        <v>0.05</v>
      </c>
    </row>
    <row r="202" spans="1:6" ht="24.75" thickBot="1">
      <c r="A202" s="277" t="s">
        <v>666</v>
      </c>
      <c r="B202" s="271" t="s">
        <v>1054</v>
      </c>
      <c r="C202" s="427"/>
      <c r="D202" s="427"/>
      <c r="E202" s="427"/>
      <c r="F202" s="422">
        <v>0.05</v>
      </c>
    </row>
    <row r="203" spans="1:6" ht="24.75" thickBot="1">
      <c r="A203" s="277" t="s">
        <v>666</v>
      </c>
      <c r="B203" s="271" t="s">
        <v>1055</v>
      </c>
      <c r="C203" s="427"/>
      <c r="D203" s="427"/>
      <c r="E203" s="427"/>
      <c r="F203" s="422">
        <v>0.05</v>
      </c>
    </row>
    <row r="204" spans="1:6" ht="14.25" thickBot="1">
      <c r="A204" s="277" t="s">
        <v>666</v>
      </c>
      <c r="B204" s="271" t="s">
        <v>1056</v>
      </c>
      <c r="C204" s="427"/>
      <c r="D204" s="427"/>
      <c r="E204" s="427"/>
      <c r="F204" s="422">
        <v>0.05</v>
      </c>
    </row>
    <row r="205" spans="1:6" ht="14.25" thickBot="1">
      <c r="A205" s="294" t="s">
        <v>666</v>
      </c>
      <c r="B205" s="287" t="s">
        <v>1057</v>
      </c>
      <c r="C205" s="424"/>
      <c r="D205" s="424"/>
      <c r="E205" s="424"/>
      <c r="F205" s="428">
        <v>0.05</v>
      </c>
    </row>
    <row r="206" spans="1:6" ht="14.25" thickBot="1">
      <c r="A206" s="277" t="s">
        <v>668</v>
      </c>
      <c r="B206" s="278" t="s">
        <v>1058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668</v>
      </c>
      <c r="B207" s="271" t="s">
        <v>325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668</v>
      </c>
      <c r="B208" s="271" t="s">
        <v>338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668</v>
      </c>
      <c r="B209" s="271" t="s">
        <v>351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668</v>
      </c>
      <c r="B210" s="271" t="s">
        <v>1059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668</v>
      </c>
      <c r="B211" s="271" t="s">
        <v>1060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668</v>
      </c>
      <c r="B212" s="271" t="s">
        <v>1061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668</v>
      </c>
      <c r="B213" s="271" t="s">
        <v>399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668</v>
      </c>
      <c r="B214" s="271" t="s">
        <v>412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668</v>
      </c>
      <c r="B215" s="271" t="s">
        <v>1062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668</v>
      </c>
      <c r="B216" s="271" t="s">
        <v>434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668</v>
      </c>
      <c r="B217" s="271" t="s">
        <v>445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668</v>
      </c>
      <c r="B218" s="271" t="s">
        <v>1063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668</v>
      </c>
      <c r="B219" s="271" t="s">
        <v>467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668</v>
      </c>
      <c r="B220" s="271" t="s">
        <v>1064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668</v>
      </c>
      <c r="B221" s="271" t="s">
        <v>488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668</v>
      </c>
      <c r="B222" s="271" t="s">
        <v>498</v>
      </c>
      <c r="C222" s="421"/>
      <c r="D222" s="427"/>
      <c r="E222" s="427"/>
      <c r="F222" s="422">
        <v>0.1</v>
      </c>
    </row>
    <row r="223" spans="1:6" ht="14.25" thickBot="1">
      <c r="A223" s="277" t="s">
        <v>668</v>
      </c>
      <c r="B223" s="271" t="s">
        <v>508</v>
      </c>
      <c r="C223" s="421"/>
      <c r="D223" s="427"/>
      <c r="E223" s="427"/>
      <c r="F223" s="422">
        <v>0.15</v>
      </c>
    </row>
    <row r="224" spans="1:6" ht="14.25" thickBot="1">
      <c r="A224" s="277" t="s">
        <v>668</v>
      </c>
      <c r="B224" s="271" t="s">
        <v>518</v>
      </c>
      <c r="C224" s="421"/>
      <c r="D224" s="427"/>
      <c r="E224" s="427"/>
      <c r="F224" s="422">
        <v>0.15</v>
      </c>
    </row>
    <row r="225" spans="1:6" ht="14.25" thickBot="1">
      <c r="A225" s="277" t="s">
        <v>668</v>
      </c>
      <c r="B225" s="271" t="s">
        <v>1065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668</v>
      </c>
      <c r="B226" s="271" t="s">
        <v>536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668</v>
      </c>
      <c r="B227" s="271" t="s">
        <v>1066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668</v>
      </c>
      <c r="B228" s="271" t="s">
        <v>551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668</v>
      </c>
      <c r="B229" s="271" t="s">
        <v>558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668</v>
      </c>
      <c r="B230" s="271" t="s">
        <v>565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668</v>
      </c>
      <c r="B231" s="271" t="s">
        <v>1067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668</v>
      </c>
      <c r="B232" s="271" t="s">
        <v>1068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668</v>
      </c>
      <c r="B233" s="271" t="s">
        <v>1069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668</v>
      </c>
      <c r="B234" s="271" t="s">
        <v>1070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668</v>
      </c>
      <c r="B235" s="271" t="s">
        <v>1071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668</v>
      </c>
      <c r="B236" s="271" t="s">
        <v>601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668</v>
      </c>
      <c r="B237" s="271" t="s">
        <v>1072</v>
      </c>
      <c r="C237" s="427"/>
      <c r="D237" s="427"/>
      <c r="E237" s="427"/>
      <c r="F237" s="422">
        <v>0.05</v>
      </c>
    </row>
    <row r="238" spans="1:6" ht="24.75" thickBot="1">
      <c r="A238" s="277" t="s">
        <v>668</v>
      </c>
      <c r="B238" s="271" t="s">
        <v>1073</v>
      </c>
      <c r="C238" s="427"/>
      <c r="D238" s="427"/>
      <c r="E238" s="427"/>
      <c r="F238" s="422">
        <v>0.05</v>
      </c>
    </row>
    <row r="239" spans="1:6" ht="24.75" thickBot="1">
      <c r="A239" s="277" t="s">
        <v>668</v>
      </c>
      <c r="B239" s="271" t="s">
        <v>1074</v>
      </c>
      <c r="C239" s="427"/>
      <c r="D239" s="427"/>
      <c r="E239" s="427"/>
      <c r="F239" s="422">
        <v>0.05</v>
      </c>
    </row>
    <row r="240" spans="1:6" ht="24.75" thickBot="1">
      <c r="A240" s="277" t="s">
        <v>668</v>
      </c>
      <c r="B240" s="271" t="s">
        <v>1075</v>
      </c>
      <c r="C240" s="427"/>
      <c r="D240" s="427"/>
      <c r="E240" s="427"/>
      <c r="F240" s="422">
        <v>0.05</v>
      </c>
    </row>
    <row r="241" spans="1:6" ht="24.75" thickBot="1">
      <c r="A241" s="277" t="s">
        <v>668</v>
      </c>
      <c r="B241" s="271" t="s">
        <v>1076</v>
      </c>
      <c r="C241" s="427"/>
      <c r="D241" s="427"/>
      <c r="E241" s="427"/>
      <c r="F241" s="422">
        <v>0.05</v>
      </c>
    </row>
    <row r="242" spans="1:6" ht="24.75" thickBot="1">
      <c r="A242" s="277" t="s">
        <v>668</v>
      </c>
      <c r="B242" s="271" t="s">
        <v>1077</v>
      </c>
      <c r="C242" s="427"/>
      <c r="D242" s="427"/>
      <c r="E242" s="427"/>
      <c r="F242" s="422">
        <v>0.05</v>
      </c>
    </row>
    <row r="243" spans="1:6" ht="24.75" thickBot="1">
      <c r="A243" s="277" t="s">
        <v>668</v>
      </c>
      <c r="B243" s="271" t="s">
        <v>1078</v>
      </c>
      <c r="C243" s="427"/>
      <c r="D243" s="427"/>
      <c r="E243" s="427"/>
      <c r="F243" s="422">
        <v>0.05</v>
      </c>
    </row>
    <row r="244" spans="1:6" ht="24.75" thickBot="1">
      <c r="A244" s="294" t="s">
        <v>668</v>
      </c>
      <c r="B244" s="287" t="s">
        <v>1079</v>
      </c>
      <c r="C244" s="424"/>
      <c r="D244" s="424"/>
      <c r="E244" s="424"/>
      <c r="F244" s="428">
        <v>0.05</v>
      </c>
    </row>
    <row r="245" spans="1:6" ht="14.25" thickBot="1">
      <c r="A245" s="277" t="s">
        <v>670</v>
      </c>
      <c r="B245" s="278" t="s">
        <v>1080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670</v>
      </c>
      <c r="B246" s="271" t="s">
        <v>326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670</v>
      </c>
      <c r="B247" s="271" t="s">
        <v>1081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670</v>
      </c>
      <c r="B248" s="271" t="s">
        <v>1082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670</v>
      </c>
      <c r="B249" s="271" t="s">
        <v>1083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670</v>
      </c>
      <c r="B250" s="271" t="s">
        <v>1084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670</v>
      </c>
      <c r="B251" s="271" t="s">
        <v>388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670</v>
      </c>
      <c r="B252" s="271" t="s">
        <v>400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670</v>
      </c>
      <c r="B253" s="271" t="s">
        <v>413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670</v>
      </c>
      <c r="B254" s="271" t="s">
        <v>424</v>
      </c>
      <c r="C254" s="427"/>
      <c r="D254" s="427"/>
      <c r="E254" s="427"/>
      <c r="F254" s="422">
        <v>0.15</v>
      </c>
    </row>
    <row r="255" spans="1:6" ht="14.25" thickBot="1">
      <c r="A255" s="277" t="s">
        <v>670</v>
      </c>
      <c r="B255" s="271" t="s">
        <v>435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670</v>
      </c>
      <c r="B256" s="271" t="s">
        <v>1085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670</v>
      </c>
      <c r="B257" s="271" t="s">
        <v>457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670</v>
      </c>
      <c r="B258" s="271" t="s">
        <v>468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670</v>
      </c>
      <c r="B259" s="271" t="s">
        <v>1086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670</v>
      </c>
      <c r="B260" s="271" t="s">
        <v>489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670</v>
      </c>
      <c r="B261" s="271" t="s">
        <v>499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670</v>
      </c>
      <c r="B262" s="271" t="s">
        <v>509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670</v>
      </c>
      <c r="B263" s="271" t="s">
        <v>1087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670</v>
      </c>
      <c r="B264" s="271" t="s">
        <v>528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670</v>
      </c>
      <c r="B265" s="271" t="s">
        <v>537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670</v>
      </c>
      <c r="B266" s="271" t="s">
        <v>545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670</v>
      </c>
      <c r="B267" s="271" t="s">
        <v>552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670</v>
      </c>
      <c r="B268" s="271" t="s">
        <v>1088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670</v>
      </c>
      <c r="B269" s="271" t="s">
        <v>566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670</v>
      </c>
      <c r="B270" s="271" t="s">
        <v>573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670</v>
      </c>
      <c r="B271" s="271" t="s">
        <v>580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670</v>
      </c>
      <c r="B272" s="271" t="s">
        <v>587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670</v>
      </c>
      <c r="B273" s="271" t="s">
        <v>1089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670</v>
      </c>
      <c r="B274" s="271" t="s">
        <v>1090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670</v>
      </c>
      <c r="B275" s="271" t="s">
        <v>1091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670</v>
      </c>
      <c r="B276" s="271" t="s">
        <v>1092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670</v>
      </c>
      <c r="B277" s="271" t="s">
        <v>1093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670</v>
      </c>
      <c r="B278" s="271" t="s">
        <v>1094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670</v>
      </c>
      <c r="B279" s="271" t="s">
        <v>1095</v>
      </c>
      <c r="C279" s="427"/>
      <c r="D279" s="427"/>
      <c r="E279" s="427"/>
      <c r="F279" s="422">
        <v>0.05</v>
      </c>
    </row>
    <row r="280" spans="1:6" ht="24.75" thickBot="1">
      <c r="A280" s="277" t="s">
        <v>670</v>
      </c>
      <c r="B280" s="271" t="s">
        <v>1096</v>
      </c>
      <c r="C280" s="427"/>
      <c r="D280" s="427"/>
      <c r="E280" s="427"/>
      <c r="F280" s="422">
        <v>0.05</v>
      </c>
    </row>
    <row r="281" spans="1:6" ht="24.75" thickBot="1">
      <c r="A281" s="277" t="s">
        <v>670</v>
      </c>
      <c r="B281" s="271" t="s">
        <v>1097</v>
      </c>
      <c r="C281" s="427"/>
      <c r="D281" s="427"/>
      <c r="E281" s="427"/>
      <c r="F281" s="422">
        <v>0.05</v>
      </c>
    </row>
    <row r="282" spans="1:6" ht="24.75" thickBot="1">
      <c r="A282" s="277" t="s">
        <v>670</v>
      </c>
      <c r="B282" s="271" t="s">
        <v>1098</v>
      </c>
      <c r="C282" s="427"/>
      <c r="D282" s="427"/>
      <c r="E282" s="427"/>
      <c r="F282" s="422">
        <v>0.05</v>
      </c>
    </row>
    <row r="283" spans="1:6" ht="24.75" thickBot="1">
      <c r="A283" s="277" t="s">
        <v>670</v>
      </c>
      <c r="B283" s="271" t="s">
        <v>1099</v>
      </c>
      <c r="C283" s="427"/>
      <c r="D283" s="427"/>
      <c r="E283" s="427"/>
      <c r="F283" s="422">
        <v>0.05</v>
      </c>
    </row>
    <row r="284" spans="1:6" ht="24.75" thickBot="1">
      <c r="A284" s="277" t="s">
        <v>670</v>
      </c>
      <c r="B284" s="271" t="s">
        <v>1100</v>
      </c>
      <c r="C284" s="427"/>
      <c r="D284" s="427"/>
      <c r="E284" s="427"/>
      <c r="F284" s="422">
        <v>0.05</v>
      </c>
    </row>
    <row r="285" spans="1:6" ht="24.75" thickBot="1">
      <c r="A285" s="277" t="s">
        <v>670</v>
      </c>
      <c r="B285" s="271" t="s">
        <v>1101</v>
      </c>
      <c r="C285" s="427"/>
      <c r="D285" s="427"/>
      <c r="E285" s="427"/>
      <c r="F285" s="422">
        <v>0.05</v>
      </c>
    </row>
    <row r="286" spans="1:6" ht="24.75" thickBot="1">
      <c r="A286" s="277" t="s">
        <v>670</v>
      </c>
      <c r="B286" s="271" t="s">
        <v>1102</v>
      </c>
      <c r="C286" s="427"/>
      <c r="D286" s="427"/>
      <c r="E286" s="427"/>
      <c r="F286" s="422">
        <v>0.05</v>
      </c>
    </row>
    <row r="287" spans="1:6" ht="24.75" thickBot="1">
      <c r="A287" s="277" t="s">
        <v>670</v>
      </c>
      <c r="B287" s="271" t="s">
        <v>1103</v>
      </c>
      <c r="C287" s="427"/>
      <c r="D287" s="427"/>
      <c r="E287" s="427"/>
      <c r="F287" s="422">
        <v>0.05</v>
      </c>
    </row>
    <row r="288" spans="1:6" ht="24.75" thickBot="1">
      <c r="A288" s="277" t="s">
        <v>670</v>
      </c>
      <c r="B288" s="271" t="s">
        <v>1104</v>
      </c>
      <c r="C288" s="427"/>
      <c r="D288" s="427"/>
      <c r="E288" s="427"/>
      <c r="F288" s="422">
        <v>0.05</v>
      </c>
    </row>
    <row r="289" spans="1:6" ht="24.75" thickBot="1">
      <c r="A289" s="294" t="s">
        <v>670</v>
      </c>
      <c r="B289" s="287" t="s">
        <v>1105</v>
      </c>
      <c r="C289" s="424"/>
      <c r="D289" s="424"/>
      <c r="E289" s="424"/>
      <c r="F289" s="428">
        <v>0.05</v>
      </c>
    </row>
    <row r="290" spans="1:6" ht="14.25" thickBot="1">
      <c r="A290" s="277" t="s">
        <v>674</v>
      </c>
      <c r="B290" s="278" t="s">
        <v>1106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674</v>
      </c>
      <c r="B291" s="271" t="s">
        <v>327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674</v>
      </c>
      <c r="B292" s="271" t="s">
        <v>1107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674</v>
      </c>
      <c r="B293" s="271" t="s">
        <v>1108</v>
      </c>
      <c r="C293" s="427"/>
      <c r="D293" s="427"/>
      <c r="E293" s="427"/>
      <c r="F293" s="422">
        <v>0.1</v>
      </c>
    </row>
    <row r="294" spans="1:6" ht="14.25" thickBot="1">
      <c r="A294" s="277" t="s">
        <v>674</v>
      </c>
      <c r="B294" s="271" t="s">
        <v>1109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674</v>
      </c>
      <c r="B295" s="271" t="s">
        <v>365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674</v>
      </c>
      <c r="B296" s="271" t="s">
        <v>1110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674</v>
      </c>
      <c r="B297" s="271" t="s">
        <v>1111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674</v>
      </c>
      <c r="B298" s="271" t="s">
        <v>401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674</v>
      </c>
      <c r="B299" s="271" t="s">
        <v>414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674</v>
      </c>
      <c r="B300" s="271" t="s">
        <v>1112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674</v>
      </c>
      <c r="B301" s="271" t="s">
        <v>436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674</v>
      </c>
      <c r="B302" s="271" t="s">
        <v>1113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674</v>
      </c>
      <c r="B303" s="271" t="s">
        <v>458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674</v>
      </c>
      <c r="B304" s="271" t="s">
        <v>469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674</v>
      </c>
      <c r="B305" s="271" t="s">
        <v>1114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674</v>
      </c>
      <c r="B306" s="271" t="s">
        <v>490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674</v>
      </c>
      <c r="B307" s="271" t="s">
        <v>1115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674</v>
      </c>
      <c r="B308" s="271" t="s">
        <v>510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674</v>
      </c>
      <c r="B309" s="271" t="s">
        <v>520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674</v>
      </c>
      <c r="B310" s="271" t="s">
        <v>1116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674</v>
      </c>
      <c r="B311" s="271" t="s">
        <v>1117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674</v>
      </c>
      <c r="B312" s="271" t="s">
        <v>546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674</v>
      </c>
      <c r="B313" s="271" t="s">
        <v>1118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674</v>
      </c>
      <c r="B314" s="271" t="s">
        <v>1119</v>
      </c>
      <c r="C314" s="427"/>
      <c r="D314" s="427"/>
      <c r="E314" s="427"/>
      <c r="F314" s="422">
        <v>0.05</v>
      </c>
    </row>
    <row r="315" spans="1:6" ht="24.75" thickBot="1">
      <c r="A315" s="277" t="s">
        <v>674</v>
      </c>
      <c r="B315" s="271" t="s">
        <v>1120</v>
      </c>
      <c r="C315" s="427"/>
      <c r="D315" s="427"/>
      <c r="E315" s="427"/>
      <c r="F315" s="422">
        <v>0.05</v>
      </c>
    </row>
    <row r="316" spans="1:6" ht="24.75" thickBot="1">
      <c r="A316" s="294" t="s">
        <v>674</v>
      </c>
      <c r="B316" s="287" t="s">
        <v>1121</v>
      </c>
      <c r="C316" s="424"/>
      <c r="D316" s="424"/>
      <c r="E316" s="424"/>
      <c r="F316" s="428">
        <v>0.05</v>
      </c>
    </row>
    <row r="317" spans="1:6" ht="14.25" thickBot="1">
      <c r="A317" s="277" t="s">
        <v>1122</v>
      </c>
      <c r="B317" s="278" t="s">
        <v>1123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1122</v>
      </c>
      <c r="B318" s="271" t="s">
        <v>1124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1122</v>
      </c>
      <c r="B319" s="271" t="s">
        <v>1125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1122</v>
      </c>
      <c r="B320" s="271" t="s">
        <v>354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1122</v>
      </c>
      <c r="B321" s="271" t="s">
        <v>1126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1122</v>
      </c>
      <c r="B322" s="271" t="s">
        <v>1127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1122</v>
      </c>
      <c r="B323" s="271" t="s">
        <v>1128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1122</v>
      </c>
      <c r="B324" s="271" t="s">
        <v>1129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1122</v>
      </c>
      <c r="B325" s="271" t="s">
        <v>1130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1122</v>
      </c>
      <c r="B326" s="271" t="s">
        <v>426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1122</v>
      </c>
      <c r="B327" s="271" t="s">
        <v>1131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1122</v>
      </c>
      <c r="B328" s="271" t="s">
        <v>448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1122</v>
      </c>
      <c r="B329" s="271" t="s">
        <v>459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1122</v>
      </c>
      <c r="B330" s="271" t="s">
        <v>470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1122</v>
      </c>
      <c r="B331" s="271" t="s">
        <v>1132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1122</v>
      </c>
      <c r="B332" s="271" t="s">
        <v>491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1122</v>
      </c>
      <c r="B333" s="271" t="s">
        <v>1133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1122</v>
      </c>
      <c r="B334" s="271" t="s">
        <v>511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1122</v>
      </c>
      <c r="B335" s="271" t="s">
        <v>521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1122</v>
      </c>
      <c r="B336" s="271" t="s">
        <v>1134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1122</v>
      </c>
      <c r="B337" s="287" t="s">
        <v>539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1135</v>
      </c>
      <c r="B338" s="278" t="s">
        <v>1136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1135</v>
      </c>
      <c r="B339" s="271" t="s">
        <v>1137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1135</v>
      </c>
      <c r="B340" s="271" t="s">
        <v>1138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1135</v>
      </c>
      <c r="B341" s="271" t="s">
        <v>1139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1135</v>
      </c>
      <c r="B342" s="271" t="s">
        <v>1140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1135</v>
      </c>
      <c r="B343" s="271" t="s">
        <v>1141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1135</v>
      </c>
      <c r="B344" s="287" t="s">
        <v>1142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289</v>
      </c>
      <c r="B1" s="1804"/>
      <c r="C1" s="1804"/>
      <c r="D1" s="1804"/>
      <c r="E1" s="1804"/>
      <c r="F1" s="1804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5" t="s">
        <v>302</v>
      </c>
      <c r="B2" s="1805"/>
      <c r="C2" s="1805"/>
      <c r="D2" s="1805"/>
      <c r="E2" s="1805"/>
      <c r="F2" s="1805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6" t="s">
        <v>315</v>
      </c>
      <c r="B3" s="272"/>
      <c r="C3" s="273" t="s">
        <v>316</v>
      </c>
      <c r="D3" s="273" t="s">
        <v>1314</v>
      </c>
      <c r="E3" s="273" t="s">
        <v>1315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07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2018-03-28T03:13:23Z</dcterms:modified>
</cp:coreProperties>
</file>