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210" windowWidth="13905" windowHeight="11640" tabRatio="885" firstSheet="7"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37" i="21" l="1"/>
  <c r="C37" i="21"/>
  <c r="L19" i="9"/>
  <c r="D5" i="9" l="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U26"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36" i="11"/>
  <c r="D118" i="57"/>
  <c r="D119" i="57"/>
  <c r="I115" i="57" s="1"/>
  <c r="D132" i="57" s="1"/>
  <c r="D134" i="57"/>
  <c r="D130" i="9"/>
  <c r="D13" i="52"/>
  <c r="N46" i="9"/>
  <c r="H59" i="43"/>
  <c r="H67" i="43"/>
  <c r="H84" i="43"/>
  <c r="H9" i="44"/>
  <c r="H7" i="44"/>
  <c r="H10" i="44"/>
  <c r="N12" i="43"/>
  <c r="N4" i="43"/>
  <c r="M7" i="43"/>
  <c r="N1" i="43"/>
  <c r="M10" i="43"/>
  <c r="M2" i="43"/>
  <c r="H15" i="44"/>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42" i="50"/>
  <c r="D43" i="50" s="1"/>
  <c r="F3" i="61"/>
  <c r="D6" i="61"/>
  <c r="E2" i="33"/>
  <c r="E2" i="21"/>
  <c r="F5" i="61"/>
  <c r="D7" i="61"/>
  <c r="D4" i="61"/>
  <c r="D5" i="61"/>
  <c r="C19" i="57"/>
  <c r="D19" i="57"/>
  <c r="E2" i="35"/>
  <c r="D20" i="57"/>
  <c r="F7" i="61"/>
  <c r="F6" i="61"/>
  <c r="H23" i="31"/>
  <c r="F4" i="61"/>
  <c r="E2" i="36"/>
  <c r="C20" i="57"/>
  <c r="E2" i="37"/>
  <c r="E2" i="34"/>
  <c r="E2" i="11"/>
  <c r="D3" i="61"/>
  <c r="AC26" i="21" l="1"/>
  <c r="AA26" i="21"/>
  <c r="AB37" i="21"/>
  <c r="F79" i="21"/>
  <c r="H17" i="21"/>
  <c r="AB17" i="21" s="1"/>
  <c r="AC37" i="21"/>
  <c r="S37" i="21"/>
  <c r="AB15" i="21"/>
  <c r="C13" i="12"/>
  <c r="F7" i="15"/>
  <c r="C33" i="21"/>
  <c r="H64" i="43"/>
  <c r="H66" i="43"/>
  <c r="H60" i="43"/>
  <c r="W39" i="21"/>
  <c r="AC38" i="21"/>
  <c r="U28" i="21"/>
  <c r="H101" i="21"/>
  <c r="I101" i="21" s="1"/>
  <c r="J101" i="21" s="1"/>
  <c r="K101" i="21" s="1"/>
  <c r="L101" i="21" s="1"/>
  <c r="M101" i="21" s="1"/>
  <c r="J32" i="21"/>
  <c r="F32" i="21"/>
  <c r="S32" i="21" s="1"/>
  <c r="H32" i="21"/>
  <c r="U32" i="21" s="1"/>
  <c r="U35" i="21"/>
  <c r="W8" i="21"/>
  <c r="AB8" i="21"/>
  <c r="S21" i="21"/>
  <c r="U19" i="21"/>
  <c r="AC15" i="21"/>
  <c r="S10" i="21"/>
  <c r="AB38" i="21"/>
  <c r="AB36" i="21"/>
  <c r="W42" i="21"/>
  <c r="S42" i="21"/>
  <c r="AA39" i="21"/>
  <c r="AA36" i="21"/>
  <c r="S35" i="21"/>
  <c r="AC35" i="21"/>
  <c r="U43" i="21"/>
  <c r="AA43" i="21"/>
  <c r="W43" i="21"/>
  <c r="U42" i="21"/>
  <c r="U40" i="21"/>
  <c r="W40" i="21"/>
  <c r="AB39" i="21"/>
  <c r="W34" i="21"/>
  <c r="AA34" i="21"/>
  <c r="AB34" i="21"/>
  <c r="S28" i="21"/>
  <c r="AC28" i="21"/>
  <c r="W25" i="21"/>
  <c r="AA25" i="21"/>
  <c r="W23" i="21"/>
  <c r="AB23" i="21"/>
  <c r="S23" i="21"/>
  <c r="W21" i="21"/>
  <c r="AC19" i="21"/>
  <c r="AA15" i="21"/>
  <c r="AA11" i="21"/>
  <c r="AB11" i="21"/>
  <c r="W10" i="21"/>
  <c r="K106" i="43"/>
  <c r="H102" i="43"/>
  <c r="F70" i="43"/>
  <c r="H70" i="43" s="1"/>
  <c r="G70" i="43" s="1"/>
  <c r="F5" i="59"/>
  <c r="V6" i="59"/>
  <c r="E5" i="59"/>
  <c r="U6" i="59"/>
  <c r="B5" i="59"/>
  <c r="S6" i="59"/>
  <c r="D18" i="50"/>
  <c r="B31" i="60" s="1"/>
  <c r="A10" i="52"/>
  <c r="B66" i="60" s="1"/>
  <c r="C14" i="15"/>
  <c r="D12" i="52"/>
  <c r="H75" i="43"/>
  <c r="G75" i="43" s="1"/>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32" i="21" l="1"/>
  <c r="U17" i="21"/>
  <c r="F17" i="21"/>
  <c r="G79" i="21"/>
  <c r="J17" i="21"/>
  <c r="J33" i="21"/>
  <c r="F33" i="21"/>
  <c r="H33" i="21"/>
  <c r="M77" i="43"/>
  <c r="N77" i="43" s="1"/>
  <c r="K77" i="43"/>
  <c r="K72" i="43"/>
  <c r="M72" i="43"/>
  <c r="N72" i="43" s="1"/>
  <c r="M75" i="43"/>
  <c r="N75" i="43" s="1"/>
  <c r="K75" i="43"/>
  <c r="J75" i="43" s="1"/>
  <c r="D75" i="43" s="1"/>
  <c r="K70" i="43"/>
  <c r="J70" i="43" s="1"/>
  <c r="D70" i="43" s="1"/>
  <c r="M70" i="43"/>
  <c r="N70" i="43" s="1"/>
  <c r="M71" i="43"/>
  <c r="N71" i="43" s="1"/>
  <c r="K71" i="43"/>
  <c r="K74" i="43"/>
  <c r="J74" i="43" s="1"/>
  <c r="D74" i="43" s="1"/>
  <c r="M74" i="43"/>
  <c r="N74" i="43" s="1"/>
  <c r="H76" i="43"/>
  <c r="G76" i="43" s="1"/>
  <c r="W32" i="21"/>
  <c r="AC32" i="21"/>
  <c r="AB32" i="21"/>
  <c r="H73" i="43"/>
  <c r="G73" i="43" s="1"/>
  <c r="H78" i="43"/>
  <c r="G78" i="43" s="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AC17" i="21" l="1"/>
  <c r="W17" i="21"/>
  <c r="AA17" i="21"/>
  <c r="S17" i="21"/>
  <c r="AA33" i="21"/>
  <c r="S33" i="21"/>
  <c r="AB33" i="21"/>
  <c r="U33" i="21"/>
  <c r="W33" i="21"/>
  <c r="AC33" i="21"/>
  <c r="K78" i="43"/>
  <c r="M78" i="43"/>
  <c r="N78" i="43" s="1"/>
  <c r="D71" i="43"/>
  <c r="J71" i="43"/>
  <c r="D77" i="43"/>
  <c r="J77" i="43"/>
  <c r="M73" i="43"/>
  <c r="N73" i="43" s="1"/>
  <c r="K73" i="43"/>
  <c r="K76" i="43"/>
  <c r="M76" i="43"/>
  <c r="N76" i="43" s="1"/>
  <c r="J72" i="43"/>
  <c r="D72" i="43"/>
  <c r="C19" i="15"/>
  <c r="C20" i="15" s="1"/>
  <c r="C26" i="15" s="1"/>
  <c r="J7" i="36"/>
  <c r="H7" i="36"/>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D73" i="43" l="1"/>
  <c r="J73" i="43"/>
  <c r="J76" i="43"/>
  <c r="D76" i="43"/>
  <c r="J78" i="43"/>
  <c r="D78"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E70" i="43" l="1"/>
  <c r="B68" i="43" s="1"/>
  <c r="C24" i="43" s="1"/>
  <c r="C39" i="43" s="1"/>
  <c r="C5" i="59"/>
  <c r="T6" i="59"/>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T10" i="43" l="1"/>
  <c r="V10" i="43" s="1"/>
  <c r="T3" i="43"/>
  <c r="V3" i="43" s="1"/>
  <c r="T11" i="43"/>
  <c r="V11" i="43" s="1"/>
  <c r="C33" i="43"/>
  <c r="T6" i="43"/>
  <c r="V6" i="43" s="1"/>
  <c r="T15" i="43"/>
  <c r="V15" i="43" s="1"/>
  <c r="T14" i="43"/>
  <c r="V14" i="43" s="1"/>
  <c r="T16" i="43"/>
  <c r="V16" i="43" s="1"/>
  <c r="T12" i="43"/>
  <c r="V12" i="43" s="1"/>
  <c r="T5" i="43"/>
  <c r="V5" i="43" s="1"/>
  <c r="C38" i="43"/>
  <c r="T2" i="43"/>
  <c r="V2" i="43" s="1"/>
  <c r="T7" i="43"/>
  <c r="V7" i="43" s="1"/>
  <c r="T13" i="43"/>
  <c r="V13" i="43" s="1"/>
  <c r="T8" i="43"/>
  <c r="V8" i="43" s="1"/>
  <c r="T9" i="43"/>
  <c r="V9" i="43" s="1"/>
  <c r="C29" i="43"/>
  <c r="C34" i="43"/>
  <c r="G34" i="43" s="1"/>
  <c r="I34" i="43" s="1"/>
  <c r="T4" i="43"/>
  <c r="V4" i="43" s="1"/>
  <c r="C37" i="43"/>
  <c r="E37" i="43" s="1"/>
  <c r="C35" i="43"/>
  <c r="G35" i="43" s="1"/>
  <c r="I35" i="43" s="1"/>
  <c r="C36" i="43"/>
  <c r="E34" i="43"/>
  <c r="E35" i="43"/>
  <c r="G38" i="43"/>
  <c r="I38" i="43" s="1"/>
  <c r="E38" i="43"/>
  <c r="C30" i="43"/>
  <c r="E30" i="43" s="1"/>
  <c r="E29" i="43"/>
  <c r="C6" i="11" s="1"/>
  <c r="C7" i="11" s="1"/>
  <c r="C5" i="11" s="1"/>
  <c r="C20" i="11" s="1"/>
  <c r="G39" i="43"/>
  <c r="I39" i="43" s="1"/>
  <c r="E39" i="43"/>
  <c r="D5" i="59"/>
  <c r="M20"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G37" i="43" l="1"/>
  <c r="I37" i="43" s="1"/>
  <c r="E36" i="43"/>
  <c r="G36" i="43"/>
  <c r="I36" i="43" s="1"/>
  <c r="C27" i="43" s="1"/>
  <c r="G33" i="43"/>
  <c r="I33" i="43" s="1"/>
  <c r="E33" i="43"/>
  <c r="C26" i="43" s="1"/>
  <c r="B2" i="43" s="1"/>
  <c r="B3" i="43" s="1"/>
  <c r="C23" i="11"/>
  <c r="F7" i="21"/>
  <c r="AA7" i="21" s="1"/>
  <c r="R48" i="21" s="1"/>
  <c r="C28" i="11"/>
  <c r="C27" i="11" s="1"/>
  <c r="C25" i="1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J59" i="34"/>
  <c r="M70" i="39"/>
  <c r="N68" i="39"/>
  <c r="Q46" i="15"/>
  <c r="C60" i="15"/>
  <c r="C57" i="15"/>
  <c r="C66" i="15" s="1"/>
  <c r="C37" i="15"/>
  <c r="C30" i="15" s="1"/>
  <c r="C39" i="15" s="1"/>
  <c r="Q68" i="15"/>
  <c r="J16" i="15"/>
  <c r="J25" i="15" s="1"/>
  <c r="C22" i="11" l="1"/>
  <c r="S7" i="21"/>
  <c r="C31" i="11"/>
  <c r="C52" i="11" s="1"/>
  <c r="B3" i="11" s="1"/>
  <c r="W7" i="21"/>
  <c r="N71" i="57"/>
  <c r="O71" i="57"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C20" i="9"/>
  <c r="B2" i="11" l="1"/>
  <c r="C56" i="11"/>
  <c r="C57" i="11" s="1"/>
  <c r="C102" i="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D19" i="9"/>
  <c r="C101" i="9" l="1"/>
  <c r="D101" i="9"/>
  <c r="G19" i="9"/>
  <c r="D22" i="9"/>
  <c r="B3" i="21"/>
  <c r="D35" i="9"/>
  <c r="D34" i="9" s="1"/>
  <c r="L65" i="40"/>
  <c r="M63" i="40"/>
  <c r="AA7" i="39"/>
  <c r="R47" i="39" s="1"/>
  <c r="R48" i="39" s="1"/>
  <c r="S7" i="39"/>
  <c r="M59" i="34"/>
  <c r="N59" i="34" s="1"/>
  <c r="O59" i="34" s="1"/>
  <c r="H7" i="34" s="1"/>
  <c r="AB7" i="39"/>
  <c r="U7" i="39"/>
  <c r="AC7" i="39"/>
  <c r="W7" i="39"/>
  <c r="L58" i="15"/>
  <c r="L61" i="15" s="1"/>
  <c r="D20" i="9"/>
  <c r="D14" i="62" l="1"/>
  <c r="E14" i="62" s="1"/>
  <c r="D102" i="9"/>
  <c r="G20"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F14" i="62" l="1"/>
  <c r="C32" i="9"/>
  <c r="C35" i="9" s="1"/>
  <c r="C34" i="9" s="1"/>
  <c r="K21" i="9"/>
  <c r="B5" i="62"/>
  <c r="C5" i="62" s="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5" i="62" l="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E121" i="9" l="1"/>
  <c r="D121" i="9" s="1"/>
  <c r="D122" i="9" s="1"/>
  <c r="G121" i="9"/>
  <c r="F121" i="9" s="1"/>
  <c r="F122" i="9" s="1"/>
  <c r="I121" i="9"/>
  <c r="D107" i="9" s="1"/>
  <c r="I103" i="9" l="1"/>
  <c r="H121" i="9"/>
  <c r="C104" i="9"/>
  <c r="C103" i="9" l="1"/>
  <c r="I102" i="9"/>
  <c r="H122" i="9"/>
  <c r="D106" i="9"/>
  <c r="D112" i="9" s="1"/>
  <c r="D113" i="9" l="1"/>
  <c r="I111" i="9" s="1"/>
  <c r="D126" i="9" s="1"/>
  <c r="D117" i="9"/>
  <c r="I115" i="9" s="1"/>
  <c r="I110" i="9"/>
  <c r="D125" i="9" s="1"/>
  <c r="D45" i="9"/>
  <c r="N48" i="9"/>
  <c r="D52" i="9" l="1"/>
  <c r="C78" i="9"/>
  <c r="C73" i="9" s="1"/>
  <c r="C85" i="9"/>
  <c r="C72" i="9"/>
  <c r="C79" i="9" s="1"/>
  <c r="C93" i="9"/>
  <c r="C86" i="9" s="1"/>
  <c r="C64" i="9"/>
  <c r="C63" i="9" s="1"/>
  <c r="C67" i="9" s="1"/>
  <c r="C68" i="9" s="1"/>
  <c r="D54" i="9" s="1"/>
  <c r="D53" i="9"/>
  <c r="D48" i="9" s="1"/>
  <c r="N52" i="9" s="1"/>
  <c r="O57" i="9" s="1"/>
  <c r="O59" i="9" l="1"/>
  <c r="O58" i="9"/>
  <c r="Q57" i="9"/>
  <c r="C80" i="9"/>
  <c r="E80" i="9" s="1"/>
  <c r="E81" i="9" s="1"/>
  <c r="C95" i="9"/>
  <c r="C81" i="9" l="1"/>
  <c r="C96" i="9"/>
  <c r="E96" i="9" s="1"/>
  <c r="E97" i="9" s="1"/>
  <c r="O60" i="9"/>
  <c r="O61"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<sst xmlns="http://schemas.openxmlformats.org/spreadsheetml/2006/main" count="6883" uniqueCount="2947">
  <si>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</si>
  <si>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</si>
  <si>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</si>
  <si>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</si>
  <si>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</si>
  <si>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</si>
  <si>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</si>
  <si>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</si>
  <si>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</si>
  <si>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</si>
  <si>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</si>
  <si>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</si>
  <si>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</si>
  <si>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</si>
  <si>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</si>
  <si>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</si>
  <si>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</si>
  <si>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</si>
  <si>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</si>
  <si>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</si>
  <si>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</si>
  <si>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</si>
  <si>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</si>
  <si>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</si>
  <si>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</si>
  <si>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</si>
  <si>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</si>
  <si>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</si>
  <si>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</si>
  <si>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</si>
  <si>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</si>
  <si>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</si>
  <si>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</si>
  <si>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</si>
  <si>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</si>
  <si>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</si>
  <si>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</si>
  <si>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</si>
  <si>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</si>
  <si>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</si>
  <si>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</si>
  <si>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</si>
  <si>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</si>
  <si>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</si>
  <si>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</si>
  <si>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</si>
  <si>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</si>
  <si>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</si>
  <si>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</si>
  <si>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</si>
  <si>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</si>
  <si>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</si>
  <si>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</si>
  <si>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</si>
  <si>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</si>
  <si>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</si>
  <si>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</si>
  <si>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</si>
  <si>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</si>
  <si>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</si>
  <si>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</si>
  <si>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</si>
  <si>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</si>
  <si>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</si>
  <si>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</si>
  <si>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</si>
  <si>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</si>
  <si>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</si>
  <si>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</si>
  <si>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</si>
  <si>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</si>
  <si>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</si>
  <si>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</si>
  <si>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</si>
  <si>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</si>
  <si>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</si>
  <si>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</si>
  <si>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</si>
  <si>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</si>
  <si>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</si>
  <si>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</si>
  <si>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</si>
  <si>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</si>
  <si>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</si>
  <si>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</si>
  <si>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</si>
  <si>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</si>
  <si>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</si>
  <si>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</si>
  <si>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</si>
  <si>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</si>
  <si>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</si>
  <si>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</si>
  <si>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</si>
  <si>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</si>
  <si>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</si>
  <si>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</si>
  <si>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</si>
  <si>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</si>
  <si>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</si>
  <si>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</si>
  <si>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</si>
  <si>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</si>
  <si>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</si>
  <si>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</si>
  <si>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</si>
  <si>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</si>
  <si>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</si>
  <si>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</si>
  <si>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</si>
  <si>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</si>
  <si>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</si>
  <si>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</si>
  <si>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</si>
  <si>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</si>
  <si>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</si>
  <si>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</si>
  <si>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</si>
  <si>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</si>
  <si>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</si>
  <si>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</si>
  <si>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</si>
  <si>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</si>
  <si>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</si>
  <si>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</si>
  <si>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</si>
  <si>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</si>
  <si>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</si>
  <si>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</si>
  <si>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</si>
  <si>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</si>
  <si>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</si>
  <si>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</si>
  <si>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</si>
  <si>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</si>
  <si>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</si>
  <si>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</si>
  <si>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</si>
  <si>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</si>
  <si>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</si>
  <si>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</si>
  <si>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</si>
  <si>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</si>
  <si>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</si>
  <si>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</si>
  <si>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</si>
  <si>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</si>
  <si>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</si>
  <si>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</si>
  <si>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</si>
  <si>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</si>
  <si>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</si>
  <si>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</si>
  <si>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</si>
  <si>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</si>
  <si>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</si>
  <si>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</si>
  <si>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</si>
  <si>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</si>
  <si>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</si>
  <si>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</si>
  <si>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</si>
  <si>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</si>
  <si>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</si>
  <si>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</si>
  <si>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</si>
  <si>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</si>
  <si>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</si>
  <si>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</si>
  <si>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</si>
  <si>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</si>
  <si>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</si>
  <si>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</si>
  <si>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</si>
  <si>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</si>
  <si>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</si>
  <si>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</si>
  <si>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</si>
  <si>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</si>
  <si>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</si>
  <si>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</si>
  <si>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</si>
  <si>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</si>
  <si>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</si>
  <si>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</si>
  <si>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</si>
  <si>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</si>
  <si>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</si>
  <si>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</si>
  <si>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</si>
  <si>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</si>
  <si>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</si>
  <si>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</si>
  <si>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</si>
  <si>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</si>
  <si>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</si>
  <si>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</si>
  <si>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</si>
  <si>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</si>
  <si>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</si>
  <si>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</si>
  <si>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</si>
  <si>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</si>
  <si>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</si>
  <si>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</si>
  <si>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</si>
  <si>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</si>
  <si>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</si>
  <si>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</si>
  <si>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</si>
  <si>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</si>
  <si>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</si>
  <si>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</si>
  <si>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</si>
  <si>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</si>
  <si>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</si>
  <si>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</si>
  <si>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</si>
  <si>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</si>
  <si>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</si>
  <si>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</si>
  <si>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</si>
  <si>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</si>
  <si>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</si>
  <si>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</si>
  <si>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</si>
  <si>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</si>
  <si>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</si>
  <si>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</si>
  <si>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</si>
  <si>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</si>
  <si>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</si>
  <si>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</si>
  <si>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</si>
  <si>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</si>
  <si>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</si>
  <si>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</si>
  <si>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</si>
  <si>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</si>
  <si>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</si>
  <si>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</si>
  <si>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</si>
  <si>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</si>
  <si>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</si>
  <si>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</si>
  <si>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</si>
  <si>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</si>
  <si>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</si>
  <si>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</si>
  <si>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</si>
  <si>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</si>
  <si>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</si>
  <si>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</si>
  <si>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</si>
  <si>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</si>
  <si>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</si>
  <si>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</si>
  <si>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</si>
  <si>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</si>
  <si>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</si>
  <si>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</si>
  <si>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</si>
  <si>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</si>
  <si>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</si>
  <si>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</si>
  <si>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</si>
  <si>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</si>
  <si>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</si>
  <si>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</si>
  <si>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</si>
  <si>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</si>
  <si>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</si>
  <si>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</si>
  <si>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</si>
  <si>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</si>
  <si>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</si>
  <si>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</si>
  <si>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</si>
  <si>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</si>
  <si>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</si>
  <si>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</si>
  <si>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</si>
  <si>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</si>
  <si>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</si>
  <si>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</si>
  <si>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</si>
  <si>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</si>
  <si>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</si>
  <si>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</si>
  <si>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</si>
  <si>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</si>
  <si>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</si>
  <si>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</si>
  <si>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</si>
  <si>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</si>
  <si>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</si>
  <si>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</si>
  <si>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</si>
  <si>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</si>
  <si>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</si>
  <si>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</si>
  <si>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</si>
  <si>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</si>
  <si>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</si>
  <si>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</si>
  <si>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</si>
  <si>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</si>
  <si>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</si>
  <si>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</si>
  <si>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</si>
  <si>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</si>
  <si>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</si>
  <si>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</si>
  <si>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</si>
  <si>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</si>
  <si>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</si>
  <si>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</si>
  <si>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</si>
  <si>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</si>
  <si>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</si>
  <si>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</si>
  <si>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</si>
  <si>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</si>
  <si>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</si>
  <si>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</si>
  <si>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</si>
  <si>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</si>
  <si>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</si>
  <si>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</si>
  <si>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</si>
  <si>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</si>
  <si>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</si>
  <si>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</si>
  <si>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</si>
  <si>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</si>
  <si>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</si>
  <si>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</si>
  <si>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</si>
  <si>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</si>
  <si>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</si>
  <si>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</si>
  <si>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</si>
  <si>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</si>
  <si>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</si>
  <si>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</si>
  <si>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</si>
  <si>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</si>
  <si>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</si>
  <si>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</si>
  <si>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</si>
  <si>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</si>
  <si>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</si>
  <si>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</si>
  <si>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</si>
  <si>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</si>
  <si>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</si>
  <si>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</si>
  <si>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</si>
  <si>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</si>
  <si>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</si>
  <si>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</si>
  <si>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</si>
  <si>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</si>
  <si>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</si>
  <si>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</si>
  <si>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</si>
  <si>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</si>
  <si>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</si>
  <si>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</si>
  <si>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</si>
  <si>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</si>
  <si>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</si>
  <si>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</si>
  <si>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</si>
  <si>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</si>
  <si>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</si>
  <si>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</si>
  <si>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</si>
  <si>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</si>
  <si>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</si>
  <si>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</si>
  <si>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</si>
  <si>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</si>
  <si>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</si>
  <si>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</si>
  <si>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</si>
  <si>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</si>
  <si>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</si>
  <si>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</si>
  <si>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</si>
  <si>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</si>
  <si>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</si>
  <si>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</si>
  <si>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</si>
  <si>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</si>
  <si>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</si>
  <si>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</si>
  <si>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</si>
  <si>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</si>
  <si>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</si>
  <si>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</si>
  <si>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</si>
  <si>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</si>
  <si>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</si>
  <si>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</si>
  <si>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</si>
  <si>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</si>
  <si>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</si>
  <si>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</si>
  <si>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</si>
  <si>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</si>
  <si>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</si>
  <si>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</si>
  <si>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</si>
  <si>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</si>
  <si>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</si>
  <si>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</si>
  <si>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</si>
  <si>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</si>
  <si>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</si>
  <si>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</si>
  <si>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</si>
  <si>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</si>
  <si>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</si>
  <si>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</si>
  <si>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</si>
  <si>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</si>
  <si>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</si>
  <si>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</si>
  <si>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</si>
  <si>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</si>
  <si>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</si>
  <si>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</si>
  <si>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</si>
  <si>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</si>
  <si>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</si>
  <si>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</si>
  <si>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</si>
  <si>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</si>
  <si>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</si>
  <si>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</si>
  <si>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</si>
  <si>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</si>
  <si>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</si>
  <si>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</si>
  <si>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</si>
  <si>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</si>
  <si>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</si>
  <si>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</si>
  <si>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</si>
  <si>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</si>
  <si>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</si>
  <si>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</si>
  <si>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</si>
  <si>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</si>
  <si>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</si>
  <si>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</si>
  <si>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</si>
  <si>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</si>
  <si>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</si>
  <si>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</si>
  <si>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</si>
  <si>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</si>
  <si>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</si>
  <si>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</si>
  <si>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</si>
  <si>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</si>
  <si>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</si>
  <si>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</si>
  <si>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</si>
  <si>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</si>
  <si>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</si>
  <si>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</si>
  <si>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</si>
  <si>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</si>
  <si>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</si>
  <si>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</si>
  <si>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</si>
  <si>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</si>
  <si>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</si>
  <si>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</si>
  <si>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</si>
  <si>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</si>
  <si>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</si>
  <si>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</si>
  <si>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</si>
  <si>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</si>
  <si>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</si>
  <si>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</si>
  <si>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</si>
  <si>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</si>
  <si>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</si>
  <si>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</si>
  <si>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</si>
  <si>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</si>
  <si>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</si>
  <si>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</si>
  <si>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</si>
  <si>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</si>
  <si>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</si>
  <si>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</si>
  <si>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</si>
  <si>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</si>
  <si>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</si>
  <si>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</si>
  <si>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</si>
  <si>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</si>
  <si>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</si>
  <si>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</si>
  <si>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</si>
  <si>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</si>
  <si>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</si>
  <si>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</si>
  <si>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</si>
  <si>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</si>
  <si>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</si>
  <si>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</si>
  <si>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</si>
  <si>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</si>
  <si>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</si>
  <si>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</si>
  <si>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</si>
  <si>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</si>
  <si>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</si>
  <si>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</si>
  <si>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</si>
  <si>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</si>
  <si>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</si>
  <si>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</si>
  <si>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</si>
  <si>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</si>
  <si>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</si>
  <si>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</si>
  <si>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</si>
  <si>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</si>
  <si>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</si>
  <si>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</si>
  <si>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</si>
  <si>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</si>
  <si>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</si>
  <si>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</si>
  <si>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</si>
  <si>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</si>
  <si>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</si>
  <si>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</si>
  <si>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</si>
  <si>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</si>
  <si>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</si>
  <si>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</si>
  <si>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</si>
  <si>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</si>
  <si>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</si>
  <si>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</si>
  <si>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</si>
  <si>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</si>
  <si>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</si>
  <si>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</si>
  <si>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</si>
  <si>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</si>
  <si>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</si>
  <si>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</si>
  <si>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</si>
  <si>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</si>
  <si>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</si>
  <si>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</si>
  <si>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</si>
  <si>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</si>
  <si>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</si>
  <si>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</si>
  <si>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</si>
  <si>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</si>
  <si>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</si>
  <si>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</si>
  <si>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</si>
  <si>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</si>
  <si>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</si>
  <si>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</si>
  <si>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</si>
  <si>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</si>
  <si>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</si>
  <si>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</si>
  <si>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</si>
  <si>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</si>
  <si>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</si>
  <si>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</si>
  <si>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</si>
  <si>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</si>
  <si>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</si>
  <si>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</si>
  <si>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</si>
  <si>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</si>
  <si>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</si>
  <si>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</si>
  <si>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</si>
  <si>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</si>
  <si>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</si>
  <si>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</si>
  <si>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</si>
  <si>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</si>
  <si>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</si>
  <si>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</si>
  <si>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</si>
  <si>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</si>
  <si>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</si>
  <si>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</si>
  <si>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</si>
  <si>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</si>
  <si>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</si>
  <si>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</si>
  <si>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</si>
  <si>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</si>
  <si>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</si>
  <si>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</si>
  <si>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</si>
  <si>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</si>
  <si>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</si>
  <si>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</si>
  <si>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</si>
  <si>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</si>
  <si>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</si>
  <si>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</si>
  <si>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</si>
  <si>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</si>
  <si>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</si>
  <si>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</si>
  <si>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</si>
  <si>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</si>
  <si>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</si>
  <si>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</si>
  <si>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</si>
  <si>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</si>
  <si>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</si>
  <si>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</si>
  <si>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</si>
  <si>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</si>
  <si>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</si>
  <si>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</si>
  <si>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</si>
  <si>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</si>
  <si>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</si>
  <si>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</si>
  <si>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</si>
  <si>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</si>
  <si>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</si>
  <si>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</si>
  <si>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</si>
  <si>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</si>
  <si>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</si>
  <si>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</si>
  <si>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</si>
  <si>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</si>
  <si>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</si>
  <si>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</si>
  <si>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</si>
  <si>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</si>
  <si>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</si>
  <si>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</si>
  <si>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</si>
  <si>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</si>
  <si>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</si>
  <si>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</si>
  <si>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</si>
  <si>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</si>
  <si>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</si>
  <si>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</si>
  <si>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</si>
  <si>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</si>
  <si>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</si>
  <si>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</si>
  <si>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</si>
  <si>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</si>
  <si>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</si>
  <si>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</si>
  <si>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</si>
  <si>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</si>
  <si>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</si>
  <si>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</si>
  <si>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</si>
  <si>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</si>
  <si>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</si>
  <si>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</si>
  <si>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</si>
  <si>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</si>
  <si>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</si>
  <si>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</si>
  <si>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</si>
  <si>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</si>
  <si>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</si>
  <si>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</si>
  <si>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</si>
  <si>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</si>
  <si>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</si>
  <si>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</si>
  <si>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</si>
  <si>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</si>
  <si>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</si>
  <si>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</si>
  <si>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</si>
  <si>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</si>
  <si>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</si>
  <si>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</si>
  <si>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</si>
  <si>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</si>
  <si>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</si>
  <si>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</si>
  <si>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</si>
  <si>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</si>
  <si>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</si>
  <si>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</si>
  <si>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</si>
  <si>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</si>
  <si>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</si>
  <si>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</si>
  <si>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</si>
  <si>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</si>
  <si>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</si>
  <si>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</si>
  <si>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</si>
  <si>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</si>
  <si>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</si>
  <si>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</si>
  <si>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</si>
  <si>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</si>
  <si>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</si>
  <si>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</si>
  <si>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</si>
  <si>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</si>
  <si>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</si>
  <si>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</si>
  <si>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</si>
  <si>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</si>
  <si>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</si>
  <si>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</si>
  <si>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</si>
  <si>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</si>
  <si>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</si>
  <si>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</si>
  <si>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</si>
  <si>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</si>
  <si>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</si>
  <si>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</si>
  <si>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</si>
  <si>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</si>
  <si>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</si>
  <si>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</si>
  <si>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</si>
  <si>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</si>
  <si>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</si>
  <si>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</si>
  <si>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</si>
  <si>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</si>
  <si>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</si>
  <si>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</si>
  <si>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</si>
  <si>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</si>
  <si>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</si>
  <si>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</si>
  <si>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</si>
  <si>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</si>
  <si>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</si>
  <si>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</si>
  <si>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</si>
  <si>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</si>
  <si>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</si>
  <si>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</si>
  <si>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</si>
  <si>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</si>
  <si>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</si>
  <si>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</si>
  <si>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</si>
  <si>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</si>
  <si>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</si>
  <si>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</si>
  <si>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</si>
  <si>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</si>
  <si>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</si>
  <si>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</si>
  <si>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</si>
  <si>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</si>
  <si>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</si>
  <si>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</si>
  <si>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</si>
  <si>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</si>
  <si>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</si>
  <si>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</si>
  <si>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</si>
  <si>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</si>
  <si>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</si>
  <si>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</si>
  <si>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</si>
  <si>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</si>
  <si>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</si>
  <si>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</si>
  <si>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</si>
  <si>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</si>
  <si>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</si>
  <si>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</si>
  <si>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</si>
  <si>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</si>
  <si>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</si>
  <si>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</si>
  <si>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</si>
  <si>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</si>
  <si>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</si>
  <si>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</si>
  <si>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</si>
  <si>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</si>
  <si>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</si>
  <si>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</si>
  <si>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</si>
  <si>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</si>
  <si>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</si>
  <si>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</si>
  <si>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</si>
  <si>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</si>
  <si>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</si>
  <si>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</si>
  <si>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</si>
  <si>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</si>
  <si>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</si>
  <si>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</si>
  <si>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</si>
  <si>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</si>
  <si>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</si>
  <si>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</si>
  <si>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</si>
  <si>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</si>
  <si>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</si>
  <si>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</si>
  <si>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</si>
  <si>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</si>
  <si>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</si>
  <si>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</si>
  <si>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</si>
  <si>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</si>
  <si>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</si>
  <si>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</si>
  <si>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</si>
  <si>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</si>
  <si>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</si>
  <si>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</si>
  <si>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</si>
  <si>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</si>
  <si>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</si>
  <si>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</si>
  <si>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</si>
  <si>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</si>
  <si>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</si>
  <si>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</si>
  <si>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</si>
  <si>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</si>
  <si>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</si>
  <si>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</si>
  <si>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</si>
  <si>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</si>
  <si>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</si>
  <si>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</si>
  <si>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</si>
  <si>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</si>
  <si>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</si>
  <si>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</si>
  <si>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</si>
  <si>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</si>
  <si>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</si>
  <si>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</si>
  <si>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</si>
  <si>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</si>
  <si>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</si>
  <si>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</si>
  <si>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</si>
  <si>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</si>
  <si>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</si>
  <si>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</si>
  <si>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</si>
  <si>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</si>
  <si>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</si>
  <si>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</si>
  <si>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</si>
  <si>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</si>
  <si>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</si>
  <si>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</si>
  <si>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</si>
  <si>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</si>
  <si>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</si>
  <si>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</si>
  <si>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</si>
  <si>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</si>
  <si>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</si>
  <si>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</si>
  <si>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</si>
  <si>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</si>
  <si>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</si>
  <si>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</si>
  <si>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</si>
  <si>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</si>
  <si>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</si>
  <si>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</si>
  <si>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</si>
  <si>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</si>
  <si>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</si>
  <si>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</si>
  <si>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</si>
  <si>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</si>
  <si>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</si>
  <si>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</si>
  <si>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</si>
  <si>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</si>
  <si>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</si>
  <si>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</si>
  <si>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</si>
  <si>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</si>
  <si>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</si>
  <si>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</si>
  <si>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</si>
  <si>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</si>
  <si>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</si>
  <si>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</si>
  <si>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</si>
  <si>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</si>
  <si>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</si>
  <si>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</si>
  <si>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</si>
  <si>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</si>
  <si>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</si>
  <si>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</si>
  <si>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</si>
  <si>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</si>
  <si>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</si>
  <si>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</si>
  <si>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</si>
  <si>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</si>
  <si>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</si>
  <si>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</si>
  <si>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</si>
  <si>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</si>
  <si>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</si>
  <si>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</si>
  <si>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</si>
  <si>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</si>
  <si>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</si>
  <si>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</si>
  <si>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</si>
  <si>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</si>
  <si>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</si>
  <si>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</si>
  <si>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</si>
  <si>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</si>
  <si>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</si>
  <si>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</si>
  <si>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</si>
  <si>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</si>
  <si>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</si>
  <si>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</si>
  <si>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</si>
  <si>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</si>
  <si>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</si>
  <si>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</si>
  <si>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</si>
  <si>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</si>
  <si>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</si>
  <si>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</si>
  <si>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</si>
  <si>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</si>
  <si>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</si>
  <si>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</si>
  <si>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</si>
  <si>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</si>
  <si>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</si>
  <si>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</si>
  <si>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</si>
  <si>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</si>
  <si>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</si>
  <si>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</si>
  <si>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</si>
  <si>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</si>
  <si>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</si>
  <si>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</si>
  <si>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</si>
  <si>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</si>
  <si>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</si>
  <si>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</si>
  <si>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</si>
  <si>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</si>
  <si>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</si>
  <si>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</si>
  <si>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</si>
  <si>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</si>
  <si>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</si>
  <si>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</si>
  <si>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</si>
  <si>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</si>
  <si>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</si>
  <si>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</si>
  <si>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</si>
  <si>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</si>
  <si>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</si>
  <si>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</si>
  <si>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</si>
  <si>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</si>
  <si>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</si>
  <si>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</si>
  <si>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</si>
  <si>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</si>
  <si>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</si>
  <si>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</si>
  <si>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</si>
  <si>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</si>
  <si>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</si>
  <si>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</si>
  <si>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</si>
  <si>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</si>
  <si>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</si>
  <si>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</si>
  <si>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</si>
  <si>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</si>
  <si>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</si>
  <si>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</si>
  <si>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</si>
  <si>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</si>
  <si>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</si>
  <si>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</si>
  <si>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</si>
  <si>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</si>
  <si>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</si>
  <si>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</si>
  <si>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</si>
  <si>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</si>
  <si>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</si>
  <si>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</si>
  <si>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</si>
  <si>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</si>
  <si>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</si>
  <si>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</si>
  <si>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</si>
  <si>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</si>
  <si>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</si>
  <si>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</si>
  <si>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</si>
  <si>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</si>
  <si>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</si>
  <si>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</si>
  <si>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</si>
  <si>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</si>
  <si>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</si>
  <si>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</si>
  <si>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</si>
  <si>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</si>
  <si>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</si>
  <si>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</si>
  <si>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</si>
  <si>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</si>
  <si>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</si>
  <si>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</si>
  <si>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</si>
  <si>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</si>
  <si>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</si>
  <si>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</si>
  <si>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</si>
  <si>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</si>
  <si>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</si>
  <si>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</si>
  <si>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</si>
  <si>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</si>
  <si>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</si>
  <si>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</si>
  <si>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</si>
  <si>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</si>
  <si>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</si>
  <si>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</si>
  <si>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</si>
  <si>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</si>
  <si>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</si>
  <si>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</si>
  <si>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</si>
  <si>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</si>
  <si>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</si>
  <si>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</si>
  <si>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</si>
  <si>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</si>
  <si>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</si>
  <si>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</si>
  <si>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</si>
  <si>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</si>
  <si>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</si>
  <si>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</si>
  <si>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</si>
  <si>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</si>
  <si>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</si>
  <si>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</si>
  <si>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</si>
  <si>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</si>
  <si>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</si>
  <si>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</si>
  <si>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</si>
  <si>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</si>
  <si>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</si>
  <si>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</si>
  <si>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</si>
  <si>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</si>
  <si>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</si>
  <si>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</si>
  <si>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</si>
  <si>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</si>
  <si>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</si>
  <si>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</si>
  <si>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</si>
  <si>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</si>
  <si>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</si>
  <si>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</si>
  <si>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</si>
  <si>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</si>
  <si>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</si>
  <si>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</si>
  <si>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</si>
  <si>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</si>
  <si>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</si>
  <si>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</si>
  <si>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</si>
  <si>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</si>
  <si>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</si>
  <si>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</si>
  <si>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</si>
  <si>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</si>
  <si>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</si>
  <si>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</si>
  <si>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</si>
  <si>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</si>
  <si>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</si>
  <si>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</si>
  <si>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</si>
  <si>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</si>
  <si>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</si>
  <si>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</si>
  <si>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</si>
  <si>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</si>
  <si>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</si>
  <si>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</si>
  <si>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</si>
  <si>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</si>
  <si>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</si>
  <si>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</si>
  <si>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</si>
  <si>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</si>
  <si>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</si>
  <si>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</si>
  <si>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</si>
  <si>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</si>
  <si>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</si>
  <si>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</si>
  <si>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</si>
  <si>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</si>
  <si>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</si>
  <si>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</si>
  <si>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</si>
  <si>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</si>
  <si>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</si>
  <si>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</si>
  <si>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</si>
  <si>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</si>
  <si>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</si>
  <si>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</si>
  <si>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</si>
  <si>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</si>
  <si>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</si>
  <si>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</si>
  <si>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</si>
  <si>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</si>
  <si>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</si>
  <si>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</si>
  <si>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</si>
  <si>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</si>
  <si>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</si>
  <si>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</si>
  <si>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</si>
  <si>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</si>
  <si>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</si>
  <si>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</si>
  <si>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</si>
  <si>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</si>
  <si>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</si>
  <si>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</si>
  <si>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</si>
  <si>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</si>
  <si>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</si>
  <si>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</si>
  <si>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</si>
  <si>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</si>
  <si>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</si>
  <si>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</si>
  <si>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</si>
  <si>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</si>
  <si>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</si>
  <si>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</si>
  <si>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</si>
  <si>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</si>
  <si>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</si>
  <si>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</si>
  <si>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</si>
  <si>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</si>
  <si>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</si>
  <si>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</si>
  <si>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</si>
  <si>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</si>
  <si>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</si>
  <si>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</si>
  <si>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</si>
  <si>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</si>
  <si>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</si>
  <si>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</si>
  <si>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</si>
  <si>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</si>
  <si>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</si>
  <si>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</si>
  <si>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</si>
  <si>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</si>
  <si>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</si>
  <si>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</si>
  <si>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</si>
  <si>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</si>
  <si>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</si>
  <si>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</si>
  <si>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</si>
  <si>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</si>
  <si>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</si>
  <si>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</si>
  <si>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</si>
  <si>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</si>
  <si>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</si>
  <si>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</si>
  <si>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</si>
  <si>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</si>
  <si>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</si>
  <si>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</si>
  <si>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</si>
  <si>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</si>
  <si>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</si>
  <si>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</si>
  <si>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</si>
  <si>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</si>
  <si>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</si>
  <si>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</si>
  <si>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</si>
  <si>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</si>
  <si>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</si>
  <si>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</si>
  <si>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</si>
  <si>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</si>
  <si>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</si>
  <si>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</si>
  <si>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</si>
  <si>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</si>
  <si>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</si>
  <si>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</si>
  <si>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</si>
  <si>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</si>
  <si>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</si>
  <si>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</si>
  <si>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</si>
  <si>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</si>
  <si>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</si>
  <si>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</si>
  <si>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</si>
  <si>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</si>
  <si>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</si>
  <si>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</si>
  <si>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</si>
  <si>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</si>
  <si>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</si>
  <si>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</si>
  <si>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</si>
  <si>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</si>
  <si>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</si>
  <si>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</si>
  <si>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</si>
  <si>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</si>
  <si>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</si>
  <si>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</si>
  <si>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</si>
  <si>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</si>
  <si>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</si>
  <si>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</si>
  <si>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</si>
  <si>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</si>
  <si>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</si>
  <si>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</si>
  <si>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</si>
  <si>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</si>
  <si>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</si>
  <si>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</si>
  <si>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</si>
  <si>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</si>
  <si>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</si>
  <si>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</si>
  <si>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</si>
  <si>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</si>
  <si>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</si>
  <si>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</si>
  <si>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</si>
  <si>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</si>
  <si>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</si>
  <si>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</si>
  <si>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</si>
  <si>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</si>
  <si>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</si>
  <si>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</si>
  <si>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</si>
  <si>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</si>
  <si>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</si>
  <si>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</si>
  <si>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</si>
  <si>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</si>
  <si>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</si>
  <si>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</si>
  <si>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</si>
  <si>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</si>
  <si>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</si>
  <si>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</si>
  <si>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</si>
  <si>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</si>
  <si>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</si>
  <si>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</si>
  <si>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</si>
  <si>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</si>
  <si>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</si>
  <si>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</si>
  <si>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</si>
  <si>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</si>
  <si>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</si>
  <si>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</si>
  <si>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</si>
  <si>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</si>
  <si>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</si>
  <si>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</si>
  <si>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</si>
  <si>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</si>
  <si>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</si>
  <si>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</si>
  <si>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</si>
  <si>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</si>
  <si>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</si>
  <si>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</si>
  <si>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</si>
  <si>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</si>
  <si>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</si>
  <si>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</si>
  <si>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</si>
  <si>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</si>
  <si>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</si>
  <si>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</si>
  <si>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</si>
  <si>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</si>
  <si>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</si>
  <si>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</si>
  <si>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</si>
  <si>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</si>
  <si>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</si>
  <si>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</si>
  <si>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</si>
  <si>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</si>
  <si>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</si>
  <si>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</si>
  <si>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</si>
  <si>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</si>
  <si>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</si>
  <si>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</si>
  <si>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</si>
  <si>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</si>
  <si>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</si>
  <si>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</si>
  <si>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</si>
  <si>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</si>
  <si>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</si>
  <si>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</si>
  <si>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</si>
  <si>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</si>
  <si>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</si>
  <si>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</si>
  <si>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</si>
  <si>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</si>
  <si>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</si>
  <si>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</si>
  <si>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</si>
  <si>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</si>
  <si>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</si>
  <si>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</si>
  <si>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</si>
  <si>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</si>
  <si>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</si>
  <si>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</si>
  <si>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</si>
  <si>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</si>
  <si>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</si>
  <si>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</si>
  <si>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</si>
  <si>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</si>
  <si>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</si>
  <si>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</si>
  <si>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</si>
  <si>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</si>
  <si>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</si>
  <si>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</si>
  <si>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</si>
  <si>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</si>
  <si>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</si>
  <si>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</si>
  <si>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</si>
  <si>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</si>
  <si>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</si>
  <si>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</si>
  <si>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</si>
  <si>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</si>
  <si>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</si>
  <si>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</si>
  <si>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</si>
  <si>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</si>
  <si>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</si>
  <si>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</si>
  <si>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</si>
  <si>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</si>
  <si>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</si>
  <si>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</si>
  <si>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</si>
  <si>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</si>
  <si>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</si>
  <si>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</si>
  <si>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</si>
  <si>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</si>
  <si>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</si>
  <si>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</si>
  <si>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</si>
  <si>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</si>
  <si>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</si>
  <si>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</si>
  <si>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</si>
  <si>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</si>
  <si>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</si>
  <si>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</si>
  <si>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</si>
  <si>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</si>
  <si>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</si>
  <si>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</si>
  <si>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</si>
  <si>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</si>
  <si>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</si>
  <si>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</si>
  <si>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</si>
  <si>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</si>
  <si>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</si>
  <si>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</si>
  <si>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</si>
  <si>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</si>
  <si>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</si>
  <si>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</si>
  <si>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</si>
  <si>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</si>
  <si>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</si>
  <si>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</si>
  <si>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</si>
  <si>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</si>
  <si>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</si>
  <si>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</si>
  <si>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</si>
  <si>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</si>
  <si>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</si>
  <si>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</si>
  <si>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</si>
  <si>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</si>
  <si>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</si>
  <si>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</si>
  <si>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</si>
  <si>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</si>
  <si>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</si>
  <si>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</si>
  <si>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</si>
  <si>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</si>
  <si>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</si>
  <si>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</si>
  <si>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</si>
  <si>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</si>
  <si>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</si>
  <si>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</si>
  <si>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</si>
  <si>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</si>
  <si>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</si>
  <si>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</si>
  <si>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</si>
  <si>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</si>
  <si>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</si>
  <si>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</si>
  <si>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</si>
  <si>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</si>
  <si>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</si>
  <si>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</si>
  <si>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</si>
  <si>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</si>
  <si>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</si>
  <si>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</si>
  <si>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</si>
  <si>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</si>
  <si>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</si>
  <si>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</si>
  <si>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</si>
  <si>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</si>
  <si>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</si>
  <si>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</si>
  <si>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</si>
  <si>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</si>
  <si>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</si>
  <si>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</si>
  <si>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</si>
  <si>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</si>
  <si>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</si>
  <si>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</si>
  <si>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</si>
  <si>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</si>
  <si>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</si>
  <si>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</si>
  <si>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</si>
  <si>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</si>
  <si>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</si>
  <si>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</si>
  <si>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</si>
  <si>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</si>
  <si>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</si>
  <si>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</si>
  <si>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</si>
  <si>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</si>
  <si>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</si>
  <si>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</si>
  <si>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</si>
  <si>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</si>
  <si>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</si>
  <si>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</si>
  <si>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</si>
  <si>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</si>
  <si>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</si>
  <si>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</si>
  <si>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</si>
  <si>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</si>
  <si>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</si>
  <si>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</si>
  <si>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</si>
  <si>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</si>
  <si>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</si>
  <si>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</si>
  <si>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</si>
  <si>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</si>
  <si>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</si>
  <si>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</si>
  <si>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</si>
  <si>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</si>
  <si>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</si>
  <si>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</si>
  <si>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</si>
  <si>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</si>
  <si>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</si>
  <si>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</si>
  <si>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</si>
  <si>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</si>
  <si>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</si>
  <si>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</si>
  <si>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</si>
  <si>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</si>
  <si>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</si>
  <si>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</si>
  <si>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</si>
  <si>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</si>
  <si>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</si>
  <si>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</si>
  <si>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</si>
  <si>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</si>
  <si>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</si>
  <si>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</si>
  <si>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</si>
  <si>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</si>
  <si>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</si>
  <si>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</si>
  <si>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</si>
  <si>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</si>
  <si>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</si>
  <si>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</si>
  <si>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</si>
  <si>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</si>
  <si>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</si>
  <si>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</si>
  <si>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</si>
  <si>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</si>
  <si>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</si>
  <si>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</si>
  <si>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</si>
  <si>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</si>
  <si>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</si>
  <si>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</si>
  <si>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</si>
  <si>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</si>
  <si>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</si>
  <si>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</si>
  <si>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</si>
  <si>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</si>
  <si>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</si>
  <si>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</si>
  <si>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</si>
  <si>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</si>
  <si>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</si>
  <si>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</si>
  <si>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</si>
  <si>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</si>
  <si>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</si>
  <si>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</si>
  <si>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</si>
  <si>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</si>
  <si>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</si>
  <si>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</si>
  <si>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</si>
  <si>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</si>
  <si>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</si>
  <si>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</si>
  <si>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</si>
  <si>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</si>
  <si>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</si>
  <si>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</si>
  <si>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</si>
  <si>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</si>
  <si>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</si>
  <si>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</si>
  <si>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</si>
  <si>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</si>
  <si>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</si>
  <si>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</si>
  <si>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</si>
  <si>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</si>
  <si>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</si>
  <si>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</si>
  <si>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</si>
  <si>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</si>
  <si>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</si>
  <si>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</si>
  <si>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</si>
  <si>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</si>
  <si>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</si>
  <si>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</si>
  <si>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</si>
  <si>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</si>
  <si>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</si>
  <si>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</si>
  <si>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</si>
  <si>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</si>
  <si>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</si>
  <si>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</si>
  <si>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</si>
  <si>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</si>
  <si>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</si>
  <si>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</si>
  <si>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</si>
  <si>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</si>
  <si>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</si>
  <si>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</si>
  <si>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</si>
  <si>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</si>
  <si>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</si>
  <si>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</si>
  <si>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</si>
  <si>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</si>
  <si>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</si>
  <si>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</si>
  <si>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</si>
  <si>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</si>
  <si>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</si>
  <si>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</si>
  <si>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</si>
  <si>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</si>
  <si>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</si>
  <si>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</si>
  <si>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</si>
  <si>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</si>
  <si>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</si>
  <si>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</si>
  <si>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</si>
  <si>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</si>
  <si>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</si>
  <si>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</si>
  <si>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</si>
  <si>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</si>
  <si>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</si>
  <si>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</si>
  <si>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</si>
  <si>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</si>
  <si>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</si>
  <si>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</si>
  <si>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</si>
  <si>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</si>
  <si>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</si>
  <si>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</si>
  <si>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</si>
  <si>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</si>
  <si>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</si>
  <si>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</si>
  <si>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</si>
  <si>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</si>
  <si>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</si>
  <si>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</si>
  <si>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</si>
  <si>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</si>
  <si>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</si>
  <si>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</si>
  <si>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</si>
  <si>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</si>
  <si>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</si>
  <si>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</si>
  <si>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</si>
  <si>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</si>
  <si>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</si>
  <si>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</si>
  <si>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</si>
  <si>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</si>
  <si>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</si>
  <si>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</si>
  <si>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</si>
  <si>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</si>
  <si>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</si>
  <si>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</si>
  <si>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</si>
  <si>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</si>
  <si>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</si>
  <si>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</si>
  <si>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</si>
  <si>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</si>
  <si>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</si>
  <si>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</si>
  <si>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</si>
  <si>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</si>
  <si>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</si>
  <si>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</si>
  <si>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</si>
  <si>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</si>
  <si>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</si>
  <si>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</si>
  <si>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</si>
  <si>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</si>
  <si>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</si>
  <si>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</si>
  <si>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</si>
  <si>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</si>
  <si>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</si>
  <si>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</si>
  <si>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</si>
  <si>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</si>
  <si>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</si>
  <si>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</si>
  <si>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</si>
  <si>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</si>
  <si>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</si>
  <si>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</si>
  <si>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</si>
  <si>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</si>
  <si>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</si>
  <si>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</si>
  <si>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</si>
  <si>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</si>
  <si>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</si>
  <si>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</si>
  <si>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</si>
  <si>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</si>
  <si>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</si>
  <si>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</si>
  <si>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</si>
  <si>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</si>
  <si>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</si>
  <si>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</si>
  <si>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</si>
  <si>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</si>
  <si>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</si>
  <si>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</si>
  <si>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</si>
  <si>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</si>
  <si>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</si>
  <si>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</si>
  <si>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</si>
  <si>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</si>
  <si>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</si>
  <si>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</si>
  <si>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</si>
  <si>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</si>
  <si>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</si>
  <si>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</si>
  <si>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</si>
  <si>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</si>
  <si>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</si>
  <si>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</si>
  <si>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</si>
  <si>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</si>
  <si>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</si>
  <si>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</si>
  <si>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</si>
  <si>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</si>
  <si>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</si>
  <si>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</si>
  <si>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</si>
  <si>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</si>
  <si>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</si>
  <si>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</si>
  <si>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</si>
  <si>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</si>
  <si>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</si>
  <si>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</si>
  <si>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</si>
  <si>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</si>
  <si>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</si>
  <si>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</si>
  <si>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</si>
  <si>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</si>
  <si>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</si>
  <si>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</si>
  <si>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</si>
  <si>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</si>
  <si>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</si>
  <si>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</si>
  <si>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</si>
  <si>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</si>
  <si>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</si>
  <si>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</si>
  <si>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</si>
  <si>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</si>
  <si>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</si>
  <si>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</si>
  <si>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</si>
  <si>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</si>
  <si>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</si>
  <si>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</si>
  <si>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</si>
  <si>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</si>
  <si>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</si>
  <si>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</si>
  <si>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</si>
  <si>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</si>
  <si>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</si>
  <si>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</si>
  <si>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</si>
  <si>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</si>
  <si>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</si>
  <si>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</si>
  <si>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</si>
  <si>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</si>
  <si>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</si>
  <si>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</si>
  <si>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</si>
  <si>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</si>
  <si>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</si>
  <si>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</si>
  <si>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</si>
  <si>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</si>
  <si>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</si>
  <si>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</si>
  <si>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</si>
  <si>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</si>
  <si>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</si>
  <si>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</si>
  <si>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</si>
  <si>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</si>
  <si>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</si>
  <si>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</si>
  <si>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</si>
  <si>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</si>
  <si>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</si>
  <si>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</si>
  <si>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</si>
  <si>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</si>
  <si>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</si>
  <si>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</si>
  <si>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</si>
  <si>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</si>
  <si>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</si>
  <si>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</si>
  <si>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</si>
  <si>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</si>
  <si>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</si>
  <si>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</si>
  <si>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</si>
  <si>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</si>
  <si>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</si>
  <si>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</si>
  <si>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</si>
  <si>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</si>
  <si>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</si>
  <si>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</si>
  <si>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</si>
  <si>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</si>
  <si>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</si>
  <si>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</si>
  <si>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</si>
  <si>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</si>
  <si>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</si>
  <si>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</si>
  <si>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</si>
  <si>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</si>
  <si>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</si>
  <si>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</si>
  <si>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</si>
  <si>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</si>
  <si>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</si>
  <si>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</si>
  <si>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</si>
  <si>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</si>
  <si>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</si>
  <si>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</si>
  <si>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</si>
  <si>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</si>
  <si>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</si>
  <si>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</si>
  <si>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</si>
  <si>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</si>
  <si>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</si>
  <si>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</si>
  <si>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</si>
  <si>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</si>
  <si>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</si>
  <si>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</si>
  <si>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</si>
  <si>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</si>
  <si>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</si>
  <si>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</si>
  <si>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</si>
  <si>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</si>
  <si>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</si>
  <si>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</si>
  <si>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</si>
  <si>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</si>
  <si>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</si>
  <si>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</si>
  <si>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</si>
  <si>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</si>
  <si>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</si>
  <si>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</si>
  <si>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</si>
  <si>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</si>
  <si>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</si>
  <si>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</si>
  <si>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</si>
  <si>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</si>
  <si>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</si>
  <si>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</si>
  <si>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</si>
  <si>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</si>
  <si>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</si>
  <si>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</si>
  <si>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</si>
  <si>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</si>
  <si>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</si>
  <si>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</si>
  <si>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</si>
  <si>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</si>
  <si>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</si>
  <si>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</si>
  <si>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</si>
  <si>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</si>
  <si>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</si>
  <si>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</si>
  <si>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</si>
  <si>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</si>
  <si>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</si>
  <si>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</si>
  <si>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</si>
  <si>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</si>
  <si>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</si>
  <si>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</si>
  <si>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</si>
  <si>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</si>
  <si>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</si>
  <si>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</si>
  <si>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</si>
  <si>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</si>
  <si>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</si>
  <si>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</si>
  <si>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</si>
  <si>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</si>
  <si>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</si>
  <si>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</si>
  <si>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</si>
  <si>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</si>
  <si>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</si>
  <si>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</si>
  <si>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</si>
  <si>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</si>
  <si>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</si>
  <si>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</si>
  <si>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</si>
  <si>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</si>
  <si>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</si>
  <si>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</si>
  <si>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</si>
  <si>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</si>
  <si>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</si>
  <si>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</si>
  <si>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</si>
  <si>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</si>
  <si>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</si>
  <si>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</si>
  <si>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</si>
  <si>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</si>
  <si>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</si>
  <si>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</si>
  <si>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</si>
  <si>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</si>
  <si>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</si>
  <si>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</si>
  <si>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</si>
  <si>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</si>
  <si>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</si>
  <si>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</si>
  <si>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</si>
  <si>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</si>
  <si>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</si>
  <si>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</si>
  <si>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</si>
  <si>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</si>
  <si>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</si>
  <si>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</si>
  <si>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</si>
  <si>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</si>
  <si>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</si>
  <si>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</si>
  <si>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</si>
  <si>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</si>
  <si>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</si>
  <si>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</si>
  <si>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</si>
  <si>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</si>
  <si>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</si>
  <si>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</si>
  <si>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</si>
  <si>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</si>
  <si>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</si>
  <si>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</si>
  <si>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</si>
  <si>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</si>
  <si>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</si>
  <si>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</si>
  <si>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</si>
  <si>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</si>
  <si>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</si>
  <si>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</si>
  <si>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</si>
  <si>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</si>
  <si>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</si>
  <si>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</si>
  <si>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</si>
  <si>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</si>
  <si>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</si>
  <si>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</si>
  <si>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</si>
  <si>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</si>
  <si>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</si>
  <si>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</si>
  <si>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</si>
  <si>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</si>
  <si>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</si>
  <si>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</si>
  <si>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</si>
  <si>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</si>
  <si>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</si>
  <si>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</si>
  <si>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</si>
  <si>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</si>
  <si>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</si>
  <si>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</si>
  <si>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</si>
  <si>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</si>
  <si>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</si>
  <si>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</si>
  <si>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</si>
  <si>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</si>
  <si>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</si>
  <si>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</si>
  <si>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</si>
  <si>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</si>
  <si>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</si>
  <si>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</si>
  <si>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</si>
  <si>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</si>
  <si>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</si>
  <si>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</si>
  <si>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</si>
  <si>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</si>
  <si>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</si>
  <si>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</si>
  <si>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</si>
  <si>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</si>
  <si>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</si>
  <si>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</si>
  <si>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</si>
  <si>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</si>
  <si>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</si>
  <si>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</si>
  <si>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</si>
  <si>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</si>
  <si>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</si>
  <si>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</si>
  <si>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</si>
  <si>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</si>
  <si>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</si>
  <si>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</si>
  <si>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</si>
  <si>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</si>
  <si>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</si>
  <si>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</si>
  <si>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</si>
  <si>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</si>
  <si>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</si>
  <si>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</si>
  <si>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</si>
  <si>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</si>
  <si>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</si>
  <si>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</si>
  <si>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</si>
  <si>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</si>
  <si>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</si>
  <si>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</si>
  <si>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</si>
  <si>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</si>
  <si>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</si>
  <si>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</si>
  <si>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</si>
  <si>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</si>
  <si>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</si>
  <si>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</si>
  <si>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</si>
  <si>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</si>
  <si>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</si>
  <si>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</si>
  <si>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</si>
  <si>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</si>
  <si>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</si>
  <si>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</si>
  <si>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</si>
  <si>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</si>
  <si>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</si>
  <si>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</si>
  <si>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</si>
  <si>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</si>
  <si>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</si>
  <si>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</si>
  <si>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</si>
  <si>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</si>
  <si>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</si>
  <si>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</si>
  <si>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</si>
  <si>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</si>
  <si>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</si>
  <si>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</si>
  <si>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</si>
  <si>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</si>
  <si>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</si>
  <si>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</si>
  <si>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</si>
  <si>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</si>
  <si>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</si>
  <si>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</si>
  <si>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</si>
  <si>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</si>
  <si>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</si>
  <si>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</si>
  <si>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</si>
  <si>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</si>
  <si>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</si>
  <si>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</si>
  <si>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</si>
  <si>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</si>
  <si>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</si>
  <si>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</si>
  <si>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</si>
  <si>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</si>
  <si>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</si>
  <si>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</si>
  <si>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</si>
  <si>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</si>
  <si>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</si>
  <si>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</si>
  <si>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</si>
  <si>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</si>
  <si>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</si>
  <si>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</si>
  <si>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</si>
  <si>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</si>
  <si>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</si>
  <si>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</si>
  <si>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</si>
  <si>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</si>
  <si>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</si>
  <si>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</si>
  <si>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</si>
  <si>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</si>
  <si>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</si>
  <si>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</si>
  <si>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</si>
  <si>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</si>
  <si>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</si>
  <si>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</si>
  <si>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</si>
  <si>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</si>
  <si>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</si>
  <si>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</si>
  <si>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</si>
  <si>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</si>
  <si>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</si>
  <si>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</si>
  <si>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</si>
  <si>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</si>
  <si>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</si>
  <si>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</si>
  <si>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</si>
  <si>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</si>
  <si>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</si>
  <si>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</si>
  <si>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</si>
  <si>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</si>
  <si>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</si>
  <si>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</si>
  <si>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</si>
  <si>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</si>
  <si>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</si>
  <si>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</si>
  <si>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</si>
  <si>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</si>
  <si>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</si>
  <si>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</si>
  <si>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</si>
  <si>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</si>
  <si>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</si>
  <si>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</si>
  <si>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</si>
  <si>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</si>
  <si>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</si>
  <si>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</si>
  <si>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</si>
  <si>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</si>
  <si>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</si>
  <si>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</si>
  <si>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</si>
  <si>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</si>
  <si>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</si>
  <si>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</si>
  <si>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</si>
  <si>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</si>
  <si>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</si>
  <si>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</si>
  <si>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</si>
  <si>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</si>
  <si>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</si>
  <si>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</si>
  <si>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</si>
  <si>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</si>
  <si>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</si>
  <si>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</si>
  <si>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</si>
  <si>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</si>
  <si>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</si>
  <si>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</si>
  <si>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</si>
  <si>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</si>
  <si>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</si>
  <si>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</si>
  <si>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</si>
  <si>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</si>
  <si>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</si>
  <si>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</si>
  <si>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</si>
  <si>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</si>
  <si>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</si>
  <si>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</si>
  <si>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</si>
  <si>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</si>
  <si>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</si>
  <si>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</si>
  <si>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</si>
  <si>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</si>
  <si>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</si>
  <si>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</si>
  <si>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</si>
  <si>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</si>
  <si>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</si>
  <si>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</si>
  <si>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</si>
  <si>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</si>
  <si>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</si>
  <si>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</si>
  <si>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</si>
  <si>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</si>
  <si>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</si>
  <si>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</si>
  <si>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</si>
  <si>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</si>
  <si>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</si>
  <si>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</si>
  <si>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</si>
  <si>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</si>
  <si>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</si>
  <si>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</si>
  <si>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</si>
  <si>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</si>
  <si>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</si>
  <si>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</si>
  <si>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</si>
  <si>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</si>
  <si>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</si>
  <si>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</si>
  <si>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</si>
  <si>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</si>
  <si>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</si>
  <si>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</si>
  <si>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</si>
  <si>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</si>
  <si>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</si>
  <si>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</si>
  <si>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</si>
  <si>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</si>
  <si>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</si>
  <si>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</si>
  <si>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</si>
  <si>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</si>
  <si>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</si>
  <si>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</si>
  <si>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</si>
  <si>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</si>
  <si>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</si>
  <si>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</si>
  <si>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</si>
  <si>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</si>
  <si>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</si>
  <si>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</si>
  <si>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</si>
  <si>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</si>
  <si>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</si>
  <si>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</si>
  <si>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</si>
  <si>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</si>
  <si>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</si>
  <si>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</si>
  <si>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</si>
  <si>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</si>
  <si>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</si>
  <si>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</si>
  <si>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</si>
  <si>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</si>
  <si>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</si>
  <si>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</si>
  <si>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</si>
  <si>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</si>
  <si>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</si>
  <si>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</si>
  <si>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</si>
  <si>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</si>
  <si>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</si>
  <si>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</si>
  <si>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</si>
  <si>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</si>
  <si>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</si>
  <si>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</si>
  <si>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</si>
  <si>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</si>
  <si>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</si>
  <si>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</si>
  <si>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</si>
  <si>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</si>
  <si>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</si>
  <si>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</si>
  <si>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</si>
  <si>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</si>
  <si>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</si>
  <si>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</si>
  <si>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</si>
  <si>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</si>
  <si>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</si>
  <si>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</si>
  <si>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</si>
  <si>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</si>
  <si>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</si>
  <si>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</si>
  <si>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</si>
  <si>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</si>
  <si>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</si>
  <si>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</si>
  <si>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</si>
  <si>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</si>
  <si>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</si>
  <si>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</si>
  <si>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</si>
  <si>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</si>
  <si>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</si>
  <si>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</si>
  <si>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</si>
  <si>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</si>
  <si>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</si>
  <si>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</si>
  <si>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</si>
  <si>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</si>
  <si>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</si>
  <si>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</si>
  <si>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</si>
  <si>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</si>
  <si>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</si>
  <si>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</si>
  <si>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</si>
  <si>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</si>
  <si>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</si>
  <si>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</si>
  <si>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</si>
  <si>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</si>
  <si>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</si>
  <si>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</si>
  <si>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</si>
  <si>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</si>
  <si>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</si>
  <si>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</si>
  <si>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</si>
  <si>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</si>
  <si>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</si>
  <si>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</si>
  <si>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</si>
  <si>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</si>
  <si>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</si>
  <si>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</si>
  <si>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</si>
  <si>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</si>
  <si>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</si>
  <si>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</si>
  <si>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</si>
  <si>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</si>
  <si>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</si>
  <si>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</si>
  <si>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</si>
  <si>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</si>
  <si>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</si>
  <si>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</si>
  <si>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</si>
  <si>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</si>
  <si>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</si>
  <si>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</si>
  <si>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</si>
  <si>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</si>
  <si>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</si>
  <si>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</si>
  <si>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</si>
  <si>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</si>
  <si>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</si>
  <si>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</si>
  <si>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</si>
  <si>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</si>
  <si>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</si>
  <si>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</si>
  <si>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</si>
  <si>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</si>
  <si>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</si>
  <si>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</si>
  <si>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</si>
  <si>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</si>
  <si>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</si>
  <si>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</si>
  <si>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</si>
  <si>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</si>
  <si>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</si>
  <si>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</si>
  <si>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</si>
  <si>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</si>
  <si>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</si>
  <si>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</si>
  <si>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</si>
  <si>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</si>
  <si>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</si>
  <si>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</si>
  <si>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</si>
  <si>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</si>
  <si>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</si>
  <si>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</si>
  <si>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</si>
  <si>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</si>
  <si>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</si>
  <si>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</si>
  <si>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</si>
  <si>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</si>
  <si>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</si>
  <si>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</si>
  <si>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</si>
  <si>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</si>
  <si>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</si>
  <si>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</si>
  <si>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</si>
  <si>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</si>
  <si>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</si>
  <si>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</si>
  <si>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</si>
  <si>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</si>
  <si>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</si>
  <si>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</si>
  <si>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</si>
  <si>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</si>
  <si>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</si>
  <si>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</si>
  <si>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</si>
  <si>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</si>
  <si>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</si>
  <si>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</si>
  <si>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</si>
  <si>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</si>
  <si>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</si>
  <si>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</si>
  <si>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</si>
  <si>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</si>
  <si>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</si>
  <si>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</si>
  <si>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</si>
  <si>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</si>
  <si>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</si>
  <si>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</si>
  <si>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</si>
  <si>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</si>
  <si>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</si>
  <si>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</si>
  <si>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</si>
  <si>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</si>
  <si>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</si>
  <si>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</si>
  <si>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</si>
  <si>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</si>
  <si>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</si>
  <si>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</si>
  <si>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</si>
  <si>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</si>
  <si>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</si>
  <si>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</si>
  <si>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</si>
  <si>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</si>
  <si>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</si>
  <si>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</si>
  <si>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</si>
  <si>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</si>
  <si>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</si>
  <si>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</si>
  <si>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</si>
  <si>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</si>
  <si>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</si>
  <si>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</si>
  <si>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</si>
  <si>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</si>
  <si>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</si>
  <si>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</si>
  <si>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</si>
  <si>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</si>
  <si>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</si>
  <si>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</si>
  <si>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</si>
  <si>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</si>
  <si>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</si>
  <si>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</si>
  <si>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</si>
  <si>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</si>
  <si>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</si>
  <si>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</si>
  <si>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</si>
  <si>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</si>
  <si>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</si>
  <si>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</si>
  <si>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</si>
  <si>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</si>
  <si>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</si>
  <si>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</si>
  <si>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</si>
  <si>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</si>
  <si>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</si>
  <si>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</si>
  <si>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</si>
  <si>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</si>
  <si>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</si>
  <si>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</si>
  <si>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</si>
  <si>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</si>
  <si>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</si>
  <si>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</si>
  <si>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</si>
  <si>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</si>
  <si>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</si>
  <si>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</si>
  <si>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</si>
  <si>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</si>
  <si>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</si>
  <si>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</si>
  <si>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</si>
  <si>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</si>
  <si>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</si>
  <si>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</si>
  <si>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</si>
  <si>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</si>
  <si>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</si>
  <si>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</si>
  <si>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</si>
  <si>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</si>
  <si>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</si>
  <si>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</si>
  <si>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</si>
  <si>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</si>
  <si>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</si>
  <si>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</si>
  <si>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</si>
  <si>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</si>
  <si>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</si>
  <si>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</si>
  <si>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</si>
  <si>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</si>
  <si>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</si>
  <si>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</si>
  <si>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</si>
  <si>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</si>
  <si>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</si>
  <si>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</si>
  <si>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</si>
  <si>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</si>
  <si>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</si>
  <si>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</si>
  <si>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</si>
  <si>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</si>
  <si>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</si>
  <si>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</si>
  <si>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</si>
  <si>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</si>
  <si>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</si>
  <si>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</si>
  <si>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</si>
  <si>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</si>
  <si>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</si>
  <si>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</si>
  <si>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</si>
  <si>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</si>
  <si>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</si>
  <si>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</si>
  <si>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</si>
  <si>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</si>
  <si>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</si>
  <si>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</si>
  <si>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</si>
  <si>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</si>
  <si>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</si>
  <si>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</si>
  <si>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</si>
  <si>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</si>
  <si>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</si>
  <si>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</si>
  <si>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</si>
  <si>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</si>
  <si>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</si>
  <si>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</si>
  <si>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</si>
  <si>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</si>
  <si>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</si>
  <si>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</si>
  <si>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</si>
  <si>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</si>
  <si>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</si>
  <si>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</si>
  <si>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</si>
  <si>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</si>
  <si>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</si>
  <si>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</si>
  <si>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</si>
  <si>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</si>
  <si>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</si>
  <si>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</si>
  <si>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</si>
  <si>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</si>
  <si>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</si>
  <si>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</si>
  <si>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</si>
  <si>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</si>
  <si>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</si>
  <si>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</si>
  <si>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</si>
  <si>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</si>
  <si>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</si>
  <si>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</si>
  <si>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</si>
  <si>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</si>
  <si>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</si>
  <si>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</si>
  <si>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</si>
  <si>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</si>
  <si>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</si>
  <si>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</si>
  <si>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</si>
  <si>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</si>
  <si>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</si>
  <si>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</si>
  <si>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</si>
  <si>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</si>
  <si>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</si>
  <si>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</si>
  <si>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</si>
  <si>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</si>
  <si>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</si>
  <si>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</si>
  <si>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</si>
  <si>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</si>
  <si>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</si>
  <si>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</si>
  <si>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</si>
  <si>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</si>
  <si>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</si>
  <si>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</si>
  <si>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</si>
  <si>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</si>
  <si>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</si>
  <si>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</si>
  <si>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</si>
  <si>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</si>
  <si>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</si>
  <si>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</si>
  <si>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</si>
  <si>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</si>
  <si>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</si>
  <si>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</si>
  <si>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</si>
  <si>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</si>
  <si>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</si>
  <si>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</si>
  <si>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</si>
  <si>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</si>
  <si>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</si>
  <si>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</si>
  <si>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</si>
  <si>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</si>
  <si>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</si>
  <si>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</si>
  <si>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</si>
  <si>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</si>
  <si>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</si>
  <si>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</si>
  <si>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</si>
  <si>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</si>
  <si>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</si>
  <si>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</si>
  <si>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</si>
  <si>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</si>
  <si>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</si>
  <si>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</si>
  <si>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</si>
  <si>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</si>
  <si>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</si>
  <si>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</si>
  <si>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</si>
  <si>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</si>
  <si>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</si>
  <si>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</si>
  <si>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</si>
  <si>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</si>
  <si>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</si>
  <si>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</si>
  <si>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</si>
  <si>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</si>
  <si>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</si>
  <si>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</si>
  <si>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</si>
  <si>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</si>
  <si>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</si>
  <si>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</si>
  <si>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</si>
  <si>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</si>
  <si>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</si>
  <si>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</si>
  <si>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</si>
  <si>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</si>
  <si>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</si>
  <si>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</si>
  <si>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</si>
  <si>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</si>
  <si>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</si>
  <si>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</si>
  <si>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</si>
  <si>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</si>
  <si>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</si>
  <si>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</si>
  <si>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</si>
  <si>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</si>
  <si>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</si>
  <si>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</si>
  <si>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</si>
  <si>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</si>
  <si>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</si>
  <si>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</si>
  <si>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</si>
  <si>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</si>
  <si>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</si>
  <si>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</si>
  <si>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</si>
  <si>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</si>
  <si>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</si>
  <si>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</si>
  <si>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</si>
  <si>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</si>
  <si>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</si>
  <si>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</si>
  <si>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</si>
  <si>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</si>
  <si>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</si>
  <si>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</si>
  <si>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</si>
  <si>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</si>
  <si>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</si>
  <si>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</si>
  <si>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</si>
  <si>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</si>
  <si>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</si>
  <si>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</si>
  <si>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</si>
  <si>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</si>
  <si>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</si>
  <si>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</si>
  <si>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</si>
  <si>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</si>
  <si>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</si>
  <si>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</si>
  <si>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</si>
  <si>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</si>
  <si>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</si>
  <si>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</si>
  <si>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</si>
  <si>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</si>
  <si>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</si>
  <si>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</si>
  <si>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</si>
  <si>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</si>
  <si>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</si>
  <si>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</si>
  <si>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</si>
  <si>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</si>
  <si>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</si>
  <si>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</si>
  <si>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</si>
  <si>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</si>
  <si>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</si>
  <si>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</si>
  <si>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</si>
  <si>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</si>
  <si>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</si>
  <si>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</si>
  <si>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</si>
  <si>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</si>
  <si>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</si>
  <si>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</si>
  <si>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</si>
  <si>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</si>
  <si>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</si>
  <si>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</si>
  <si>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</si>
  <si>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</si>
  <si>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</si>
  <si>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</si>
  <si>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</si>
  <si>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</si>
  <si>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</si>
  <si>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</si>
  <si>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</si>
  <si>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</si>
  <si>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</si>
  <si>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</si>
  <si>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</si>
  <si>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</si>
  <si>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</si>
  <si>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</si>
  <si>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</si>
  <si>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</si>
  <si>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</si>
  <si>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</si>
  <si>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</si>
  <si>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</si>
  <si>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</si>
  <si>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</si>
  <si>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</si>
  <si>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</si>
  <si>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</si>
  <si>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</si>
  <si>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</si>
  <si>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</si>
  <si>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</si>
  <si>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</si>
  <si>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</si>
  <si>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</si>
  <si>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</si>
  <si>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</si>
  <si>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</si>
  <si>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</si>
  <si>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</si>
  <si>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</si>
  <si>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</si>
  <si>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</si>
  <si>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</si>
  <si>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</si>
  <si>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</si>
  <si>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</si>
  <si>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</si>
  <si>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</si>
  <si>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</si>
  <si>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</si>
  <si>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</si>
  <si>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未包含在土地购买价格中</t>
  </si>
  <si>
    <t>已包含在土地取得成本中</t>
  </si>
  <si>
    <t>成本法</t>
  </si>
  <si>
    <t>比较法-住宅</t>
  </si>
  <si>
    <t>住宅</t>
    <phoneticPr fontId="20" type="noConversion"/>
  </si>
  <si>
    <t>60-70（含）</t>
  </si>
  <si>
    <t>七通</t>
  </si>
  <si>
    <t>楼层</t>
    <phoneticPr fontId="20" type="noConversion"/>
  </si>
  <si>
    <r>
      <rPr>
        <sz val="11"/>
        <color rgb="FFFF0000"/>
        <rFont val="宋体"/>
        <family val="3"/>
        <charset val="134"/>
      </rPr>
      <t>朝向</t>
    </r>
  </si>
  <si>
    <t>钢混</t>
  </si>
  <si>
    <t>钢混</t>
    <phoneticPr fontId="20" type="noConversion"/>
  </si>
  <si>
    <t>多层板楼</t>
    <phoneticPr fontId="20" type="noConversion"/>
  </si>
  <si>
    <t>小高层板楼</t>
    <phoneticPr fontId="20" type="noConversion"/>
  </si>
  <si>
    <t>高层板楼</t>
    <phoneticPr fontId="20" type="noConversion"/>
  </si>
  <si>
    <t>板塔结合</t>
    <phoneticPr fontId="20" type="noConversion"/>
  </si>
  <si>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</si>
  <si>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</si>
  <si>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</si>
  <si>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</si>
  <si>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</si>
  <si>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</si>
  <si>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</si>
  <si>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</si>
  <si>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</si>
  <si>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</si>
  <si>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</si>
  <si>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</si>
  <si>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</si>
  <si>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</si>
  <si>
    <t>精装修</t>
    <phoneticPr fontId="20" type="noConversion"/>
  </si>
  <si>
    <t>普通装修</t>
    <phoneticPr fontId="20" type="noConversion"/>
  </si>
  <si>
    <t>简单装修</t>
    <phoneticPr fontId="20" type="noConversion"/>
  </si>
  <si>
    <t>毛坯</t>
    <phoneticPr fontId="20" type="noConversion"/>
  </si>
  <si>
    <t>海淀区畅茜园景佁里11号楼1层4单元101</t>
    <phoneticPr fontId="4" type="noConversion"/>
  </si>
  <si>
    <r>
      <rPr>
        <sz val="11"/>
        <rFont val="宋体"/>
        <family val="3"/>
        <charset val="134"/>
      </rPr>
      <t>低楼层（1</t>
    </r>
    <r>
      <rPr>
        <sz val="11"/>
        <rFont val="Arial"/>
        <family val="2"/>
      </rPr>
      <t>/9</t>
    </r>
    <r>
      <rPr>
        <sz val="11"/>
        <rFont val="宋体"/>
        <family val="3"/>
        <charset val="134"/>
      </rPr>
      <t>）</t>
    </r>
    <phoneticPr fontId="20" type="noConversion"/>
  </si>
  <si>
    <t>低楼层（1/9）</t>
    <phoneticPr fontId="20" type="noConversion"/>
  </si>
  <si>
    <t>小高层板楼</t>
  </si>
  <si>
    <r>
      <rPr>
        <sz val="11"/>
        <rFont val="宋体"/>
        <family val="3"/>
        <charset val="134"/>
      </rPr>
      <t>中楼层（6</t>
    </r>
    <r>
      <rPr>
        <sz val="11"/>
        <rFont val="Arial"/>
        <family val="2"/>
      </rPr>
      <t>/10</t>
    </r>
    <r>
      <rPr>
        <sz val="11"/>
        <rFont val="宋体"/>
        <family val="3"/>
        <charset val="134"/>
      </rPr>
      <t>）</t>
    </r>
    <phoneticPr fontId="20" type="noConversion"/>
  </si>
  <si>
    <r>
      <rPr>
        <sz val="11"/>
        <color indexed="8"/>
        <rFont val="宋体"/>
        <family val="3"/>
        <charset val="134"/>
      </rPr>
      <t>中楼层（</t>
    </r>
    <r>
      <rPr>
        <sz val="11"/>
        <color indexed="8"/>
        <rFont val="Arial"/>
        <family val="2"/>
      </rPr>
      <t>6/10</t>
    </r>
    <r>
      <rPr>
        <sz val="11"/>
        <color indexed="8"/>
        <rFont val="宋体"/>
        <family val="3"/>
        <charset val="134"/>
      </rPr>
      <t>）</t>
    </r>
    <phoneticPr fontId="20" type="noConversion"/>
  </si>
  <si>
    <t>海淀区畅茜园碧森里5号楼1单元603</t>
    <phoneticPr fontId="4" type="noConversion"/>
  </si>
  <si>
    <t>海淀区畅茜园兰德华庭10号楼1单元203</t>
    <phoneticPr fontId="4" type="noConversion"/>
  </si>
  <si>
    <r>
      <rPr>
        <sz val="11"/>
        <rFont val="宋体"/>
        <family val="3"/>
        <charset val="134"/>
      </rPr>
      <t>低楼层（</t>
    </r>
    <r>
      <rPr>
        <sz val="11"/>
        <rFont val="Arial"/>
        <family val="2"/>
      </rPr>
      <t>2/13</t>
    </r>
    <r>
      <rPr>
        <sz val="11"/>
        <rFont val="宋体"/>
        <family val="3"/>
        <charset val="134"/>
      </rPr>
      <t>）</t>
    </r>
    <phoneticPr fontId="20" type="noConversion"/>
  </si>
  <si>
    <r>
      <rPr>
        <sz val="11"/>
        <rFont val="宋体"/>
        <family val="3"/>
        <charset val="134"/>
      </rPr>
      <t>低楼层（1</t>
    </r>
    <r>
      <rPr>
        <sz val="11"/>
        <rFont val="Arial"/>
        <family val="2"/>
      </rPr>
      <t>/13</t>
    </r>
    <r>
      <rPr>
        <sz val="11"/>
        <rFont val="宋体"/>
        <family val="3"/>
        <charset val="134"/>
      </rPr>
      <t>）</t>
    </r>
    <phoneticPr fontId="20" type="noConversion"/>
  </si>
  <si>
    <t>海淀区畅茜园兰德华庭10号楼4单元101</t>
    <phoneticPr fontId="4" type="noConversion"/>
  </si>
  <si>
    <t>南北</t>
  </si>
  <si>
    <t>南北</t>
    <phoneticPr fontId="20" type="noConversion"/>
  </si>
  <si>
    <t>东</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</si>
</sst>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92" fillId="2" borderId="3"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236725</xdr:colOff>
      <xdr:row>16</xdr:row>
      <xdr:rowOff>113943</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11209525" cy="2857143"/>
        </a:xfrm>
        <a:prstGeom prst="rect">
          <a:avLst/>
        </a:prstGeom>
      </xdr:spPr>
    </xdr:pic>
    <xdr:clientData/>
  </xdr:twoCellAnchor>
  <xdr:twoCellAnchor editAs="oneCell">
    <xdr:from>
      <xdr:col>0</xdr:col>
      <xdr:colOff>0</xdr:colOff>
      <xdr:row>18</xdr:row>
      <xdr:rowOff>0</xdr:rowOff>
    </xdr:from>
    <xdr:to>
      <xdr:col>16</xdr:col>
      <xdr:colOff>408153</xdr:colOff>
      <xdr:row>29</xdr:row>
      <xdr:rowOff>161669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086100"/>
          <a:ext cx="11380953" cy="2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估价对象为北京市房地产，为XX所有。根据《》[]，估价对象建筑面积为118平方米。根据《》[]，估价对象（分摊）出让国有建设用地使用权面积为平方米。估价对象用途为。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2014年7月9日</v>
      </c>
    </row>
    <row r="10" spans="1:2">
      <c r="A10" s="1210" t="s">
        <v>1103</v>
      </c>
      <c r="B10" s="1197" t="str">
        <f>'预评函-1'!A13</f>
        <v>本次估价的“房地产价值”是指在正常市场情况下，在价值时点2014年7月9日，估价对象规划用途为，假定未设立法定优先受偿款下的房地产市场价值。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41829</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222" t="s">
        <v>1541</v>
      </c>
      <c r="B8" s="1439" t="s">
        <v>1542</v>
      </c>
      <c r="C8" s="3235"/>
      <c r="D8" s="3236"/>
      <c r="E8" s="2601" t="s">
        <v>1543</v>
      </c>
      <c r="F8" s="2602" t="s">
        <v>1544</v>
      </c>
      <c r="G8" s="2603" t="str">
        <f>C6</f>
        <v>XX</v>
      </c>
    </row>
    <row r="9" spans="1:17" ht="25.5">
      <c r="A9" s="3222"/>
      <c r="B9" s="259" t="s">
        <v>1545</v>
      </c>
      <c r="C9" s="1431"/>
      <c r="D9" s="1440" t="s">
        <v>2894</v>
      </c>
      <c r="E9" s="2897" t="s">
        <v>1546</v>
      </c>
      <c r="F9" s="2604" t="s">
        <v>480</v>
      </c>
      <c r="G9" s="2605"/>
    </row>
    <row r="10" spans="1:17" ht="13.5" thickBot="1">
      <c r="A10" s="3222"/>
      <c r="B10" s="259" t="s">
        <v>1547</v>
      </c>
      <c r="C10" s="3237"/>
      <c r="D10" s="3238"/>
      <c r="E10" s="2898" t="s">
        <v>1548</v>
      </c>
      <c r="F10" s="2606" t="s">
        <v>214</v>
      </c>
      <c r="G10" s="2607"/>
    </row>
    <row r="11" spans="1:17" ht="13.5" thickBot="1">
      <c r="A11" s="3222"/>
      <c r="B11" s="1442" t="s">
        <v>1549</v>
      </c>
      <c r="C11" s="3239"/>
      <c r="D11" s="3240"/>
      <c r="E11" s="811"/>
      <c r="F11" s="811"/>
      <c r="G11" s="830"/>
    </row>
    <row r="12" spans="1:17" ht="13.5" thickBot="1">
      <c r="A12" s="3226" t="s">
        <v>2826</v>
      </c>
      <c r="B12" s="2899" t="s">
        <v>1550</v>
      </c>
      <c r="C12" s="808">
        <v>118</v>
      </c>
      <c r="D12" s="1443" t="s">
        <v>1551</v>
      </c>
      <c r="E12" s="1444"/>
      <c r="F12" s="1445"/>
      <c r="G12" s="830"/>
    </row>
    <row r="13" spans="1:17" ht="21" customHeight="1" thickBot="1">
      <c r="A13" s="3227"/>
      <c r="B13" s="2900" t="s">
        <v>1552</v>
      </c>
      <c r="C13" s="809"/>
      <c r="D13" s="1446" t="s">
        <v>1553</v>
      </c>
      <c r="E13" s="1447"/>
      <c r="F13" s="811"/>
      <c r="G13" s="830"/>
      <c r="I13" s="3245"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245"/>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245"/>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241" t="s">
        <v>1560</v>
      </c>
      <c r="C17" s="3242"/>
      <c r="D17" s="3243" t="s">
        <v>1561</v>
      </c>
      <c r="E17" s="3244"/>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4" t="s">
        <v>2825</v>
      </c>
      <c r="B24" s="3254"/>
      <c r="C24" s="3254"/>
      <c r="D24" s="3254"/>
      <c r="E24" s="3254"/>
      <c r="F24" s="3254"/>
      <c r="G24" s="3254"/>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29" t="s">
        <v>1574</v>
      </c>
      <c r="D28" s="3230"/>
      <c r="E28" s="801"/>
      <c r="F28" s="803" t="s">
        <v>1574</v>
      </c>
      <c r="G28" s="801"/>
      <c r="K28" s="2904"/>
    </row>
    <row r="29" spans="1:66">
      <c r="A29" s="804" t="s">
        <v>1575</v>
      </c>
      <c r="B29" s="798"/>
      <c r="C29" s="3231" t="s">
        <v>1576</v>
      </c>
      <c r="D29" s="3232"/>
      <c r="E29" s="798"/>
      <c r="F29" s="804" t="s">
        <v>1576</v>
      </c>
      <c r="G29" s="798"/>
      <c r="K29" s="2904"/>
    </row>
    <row r="30" spans="1:66">
      <c r="A30" s="804" t="s">
        <v>1577</v>
      </c>
      <c r="B30" s="798"/>
      <c r="C30" s="3231" t="s">
        <v>1577</v>
      </c>
      <c r="D30" s="3232"/>
      <c r="E30" s="798"/>
      <c r="F30" s="804" t="s">
        <v>1578</v>
      </c>
      <c r="G30" s="798"/>
      <c r="K30" s="2904"/>
    </row>
    <row r="31" spans="1:66">
      <c r="A31" s="804" t="s">
        <v>1579</v>
      </c>
      <c r="B31" s="798"/>
      <c r="C31" s="3251" t="s">
        <v>1580</v>
      </c>
      <c r="D31" s="811"/>
      <c r="E31" s="2627" t="str">
        <f>E32&amp;" "&amp;E33&amp;" "&amp;E34&amp;" "&amp;E35</f>
        <v xml:space="preserve">   </v>
      </c>
      <c r="F31" s="804" t="s">
        <v>1581</v>
      </c>
      <c r="G31" s="798"/>
    </row>
    <row r="32" spans="1:66">
      <c r="A32" s="804" t="s">
        <v>1582</v>
      </c>
      <c r="B32" s="798"/>
      <c r="C32" s="3252"/>
      <c r="D32" s="259" t="s">
        <v>1583</v>
      </c>
      <c r="E32" s="798"/>
      <c r="F32" s="804" t="s">
        <v>1584</v>
      </c>
      <c r="G32" s="798"/>
    </row>
    <row r="33" spans="1:7" ht="24.75" thickBot="1">
      <c r="A33" s="805" t="s">
        <v>1585</v>
      </c>
      <c r="B33" s="802"/>
      <c r="C33" s="3252"/>
      <c r="D33" s="259" t="s">
        <v>1586</v>
      </c>
      <c r="E33" s="798"/>
      <c r="F33" s="804" t="s">
        <v>1587</v>
      </c>
      <c r="G33" s="798"/>
    </row>
    <row r="34" spans="1:7">
      <c r="A34" s="803" t="s">
        <v>1588</v>
      </c>
      <c r="B34" s="801"/>
      <c r="C34" s="3252"/>
      <c r="D34" s="259" t="s">
        <v>1589</v>
      </c>
      <c r="E34" s="798"/>
      <c r="F34" s="804" t="s">
        <v>1590</v>
      </c>
      <c r="G34" s="798"/>
    </row>
    <row r="35" spans="1:7" ht="13.5" thickBot="1">
      <c r="A35" s="804" t="s">
        <v>1591</v>
      </c>
      <c r="B35" s="798"/>
      <c r="C35" s="3253"/>
      <c r="D35" s="259" t="s">
        <v>1592</v>
      </c>
      <c r="E35" s="798"/>
      <c r="F35" s="805" t="s">
        <v>1593</v>
      </c>
      <c r="G35" s="2628"/>
    </row>
    <row r="36" spans="1:7">
      <c r="A36" s="804" t="s">
        <v>1550</v>
      </c>
      <c r="B36" s="798"/>
      <c r="C36" s="3231" t="s">
        <v>1594</v>
      </c>
      <c r="D36" s="3232"/>
      <c r="E36" s="798"/>
      <c r="F36" s="2629" t="s">
        <v>1595</v>
      </c>
      <c r="G36" s="801"/>
    </row>
    <row r="37" spans="1:7" ht="13.5" thickBot="1">
      <c r="A37" s="804" t="s">
        <v>1596</v>
      </c>
      <c r="B37" s="798"/>
      <c r="C37" s="3233" t="s">
        <v>1597</v>
      </c>
      <c r="D37" s="3234"/>
      <c r="E37" s="802"/>
      <c r="F37" s="1463" t="s">
        <v>1598</v>
      </c>
      <c r="G37" s="798"/>
    </row>
    <row r="38" spans="1:7" ht="13.5" thickBot="1">
      <c r="A38" s="804" t="s">
        <v>1599</v>
      </c>
      <c r="B38" s="798"/>
      <c r="C38" s="3223" t="s">
        <v>1600</v>
      </c>
      <c r="D38" s="1443" t="s">
        <v>1584</v>
      </c>
      <c r="E38" s="801"/>
      <c r="F38" s="805" t="s">
        <v>1601</v>
      </c>
      <c r="G38" s="802"/>
    </row>
    <row r="39" spans="1:7">
      <c r="A39" s="804" t="s">
        <v>1602</v>
      </c>
      <c r="B39" s="798"/>
      <c r="C39" s="3224"/>
      <c r="D39" s="259" t="s">
        <v>1591</v>
      </c>
      <c r="E39" s="798"/>
      <c r="F39" s="803" t="s">
        <v>1603</v>
      </c>
      <c r="G39" s="801"/>
    </row>
    <row r="40" spans="1:7">
      <c r="A40" s="804" t="s">
        <v>1604</v>
      </c>
      <c r="B40" s="798"/>
      <c r="C40" s="3224" t="s">
        <v>1605</v>
      </c>
      <c r="D40" s="259" t="s">
        <v>1550</v>
      </c>
      <c r="E40" s="798"/>
      <c r="F40" s="804" t="s">
        <v>1606</v>
      </c>
      <c r="G40" s="798"/>
    </row>
    <row r="41" spans="1:7" ht="24.75" customHeight="1" thickBot="1">
      <c r="A41" s="805" t="s">
        <v>1607</v>
      </c>
      <c r="B41" s="802"/>
      <c r="C41" s="3225"/>
      <c r="D41" s="1446" t="s">
        <v>1552</v>
      </c>
      <c r="E41" s="802"/>
      <c r="F41" s="805" t="s">
        <v>1608</v>
      </c>
      <c r="G41" s="802"/>
    </row>
    <row r="42" spans="1:7">
      <c r="A42" s="806" t="s">
        <v>1609</v>
      </c>
      <c r="B42" s="2630"/>
      <c r="C42" s="3246" t="s">
        <v>1609</v>
      </c>
      <c r="D42" s="3247"/>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48" t="s">
        <v>1612</v>
      </c>
      <c r="D49" s="3249"/>
      <c r="E49" s="820"/>
      <c r="F49" s="805" t="s">
        <v>1613</v>
      </c>
      <c r="G49" s="802"/>
    </row>
    <row r="50" spans="1:66">
      <c r="A50" s="804" t="s">
        <v>1614</v>
      </c>
      <c r="B50" s="819"/>
      <c r="C50" s="3223" t="s">
        <v>1615</v>
      </c>
      <c r="D50" s="3250"/>
      <c r="E50" s="2632"/>
      <c r="F50" s="837"/>
      <c r="G50" s="838"/>
    </row>
    <row r="51" spans="1:66" ht="13.5" thickBot="1">
      <c r="A51" s="804" t="s">
        <v>1616</v>
      </c>
      <c r="B51" s="819"/>
      <c r="C51" s="3225" t="s">
        <v>1617</v>
      </c>
      <c r="D51" s="3228"/>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5" t="s">
        <v>0</v>
      </c>
      <c r="B1" s="3255" t="s">
        <v>2</v>
      </c>
      <c r="C1" s="3255" t="s">
        <v>3</v>
      </c>
      <c r="D1" s="3256" t="s">
        <v>67</v>
      </c>
      <c r="E1" s="3256" t="s">
        <v>68</v>
      </c>
      <c r="F1" s="3256"/>
      <c r="G1" s="3256"/>
      <c r="H1" s="3256"/>
      <c r="I1" s="3256"/>
      <c r="J1" s="3256"/>
      <c r="K1" s="3256"/>
      <c r="L1" s="3256"/>
      <c r="M1" s="3256"/>
    </row>
    <row r="2" spans="1:13" ht="27" customHeight="1">
      <c r="A2" s="3255"/>
      <c r="B2" s="3255"/>
      <c r="C2" s="3255"/>
      <c r="D2" s="3256"/>
      <c r="E2" s="3256" t="s">
        <v>51</v>
      </c>
      <c r="F2" s="3256" t="s">
        <v>52</v>
      </c>
      <c r="G2" s="3256"/>
      <c r="H2" s="3256"/>
      <c r="I2" s="3256"/>
      <c r="J2" s="3256" t="s">
        <v>53</v>
      </c>
      <c r="K2" s="3256"/>
      <c r="L2" s="3256"/>
      <c r="M2" s="3256"/>
    </row>
    <row r="3" spans="1:13" ht="28.5">
      <c r="A3" s="3255"/>
      <c r="B3" s="3255"/>
      <c r="C3" s="3255"/>
      <c r="D3" s="3256"/>
      <c r="E3" s="32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6" t="s">
        <v>69</v>
      </c>
      <c r="B9" s="3256"/>
      <c r="C9" s="32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5"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41829</v>
      </c>
      <c r="C2" s="1685"/>
      <c r="D2" s="3257"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258"/>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258"/>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118</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18880</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295000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0.78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0.03</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0.01</v>
      </c>
      <c r="F25" s="2673" t="s">
        <v>2844</v>
      </c>
      <c r="I25" s="2968"/>
    </row>
    <row r="26" spans="1:41" ht="15" thickBot="1">
      <c r="A26" s="2946" t="s">
        <v>1657</v>
      </c>
      <c r="B26" s="2950">
        <f>B22-B23</f>
        <v>0</v>
      </c>
      <c r="D26" s="2930" t="s">
        <v>1660</v>
      </c>
      <c r="E26" s="2665">
        <v>0.01</v>
      </c>
      <c r="F26" s="2673" t="s">
        <v>2844</v>
      </c>
      <c r="G26" s="2969"/>
      <c r="H26" s="2969"/>
      <c r="I26" s="1685"/>
      <c r="J26" s="1685"/>
      <c r="K26" s="1685"/>
      <c r="L26" s="1685"/>
      <c r="M26" s="1685"/>
      <c r="N26" s="1685"/>
    </row>
    <row r="27" spans="1:41" ht="15.75" thickBot="1">
      <c r="A27" s="2951" t="s">
        <v>1659</v>
      </c>
      <c r="B27" s="2667">
        <v>2005</v>
      </c>
      <c r="C27" s="1685"/>
      <c r="D27" s="3157" t="s">
        <v>2889</v>
      </c>
      <c r="E27" s="2952">
        <f ca="1">IF(D27="利息：取LPR",存贷款利率!G1,存贷款利率!G1+F27)</f>
        <v>6.1500000000000006E-2</v>
      </c>
      <c r="F27" s="3158">
        <v>5.0000000000000001E-3</v>
      </c>
      <c r="G27" s="2969"/>
      <c r="H27" s="2969"/>
      <c r="K27" s="1685"/>
      <c r="N27" s="1685"/>
    </row>
    <row r="28" spans="1:41" ht="15" thickBot="1">
      <c r="A28" s="947"/>
      <c r="B28" s="947"/>
      <c r="D28" s="2933" t="s">
        <v>1662</v>
      </c>
      <c r="E28" s="2669">
        <v>0.1</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0.03</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9" t="s">
        <v>1703</v>
      </c>
      <c r="B1" s="3260"/>
      <c r="C1" s="3260"/>
      <c r="D1" s="3260"/>
      <c r="E1" s="3260"/>
      <c r="F1" s="3260"/>
      <c r="G1" s="3260"/>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118</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41829</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4059228</v>
      </c>
      <c r="C5" s="2581">
        <f ca="1">ROUND(B5*10000/$B$1,0)</f>
        <v>344002373</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118</v>
      </c>
      <c r="C14" s="2917">
        <f>项目基本情况!C13</f>
        <v>0</v>
      </c>
      <c r="D14" s="2917">
        <f ca="1">结果表!G19</f>
        <v>4059228</v>
      </c>
      <c r="E14" s="2917">
        <f ca="1">ROUND(D14*10000/B14,0)</f>
        <v>344002373</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24" sqref="G24"/>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32" t="str">
        <f>项目基本情况!B1</f>
        <v>北京市预评估</v>
      </c>
      <c r="B2" s="3332"/>
      <c r="C2" s="3332"/>
      <c r="D2" s="3332"/>
      <c r="E2" s="3332"/>
      <c r="F2" s="3332"/>
      <c r="G2" s="3332"/>
      <c r="H2" s="3332"/>
      <c r="I2" s="3332"/>
      <c r="J2" s="2844"/>
    </row>
    <row r="3" spans="1:15" ht="12.75">
      <c r="A3" s="3337" t="s">
        <v>1711</v>
      </c>
      <c r="B3" s="3338"/>
      <c r="C3" s="3338"/>
      <c r="D3" s="3338"/>
      <c r="E3" s="3338"/>
      <c r="F3" s="3338"/>
      <c r="G3" s="3338"/>
      <c r="H3" s="3338"/>
      <c r="I3" s="3338"/>
      <c r="J3" s="2845"/>
    </row>
    <row r="4" spans="1:15" ht="14.25">
      <c r="A4" s="2713" t="s">
        <v>1712</v>
      </c>
      <c r="B4" s="2713" t="s">
        <v>1713</v>
      </c>
      <c r="C4" s="2714" t="s">
        <v>2902</v>
      </c>
      <c r="D4" s="2714" t="s">
        <v>2903</v>
      </c>
      <c r="E4" s="3334" t="s">
        <v>1714</v>
      </c>
      <c r="F4" s="3322"/>
      <c r="G4" s="3322"/>
      <c r="H4" s="3322"/>
      <c r="I4" s="3323"/>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33" t="s">
        <v>1715</v>
      </c>
      <c r="B5" s="3333">
        <v>25</v>
      </c>
      <c r="C5" s="3339">
        <v>3</v>
      </c>
      <c r="D5" s="3336">
        <f>10-C5</f>
        <v>7</v>
      </c>
      <c r="E5" s="12" t="s">
        <v>1716</v>
      </c>
      <c r="F5" s="2089"/>
      <c r="G5" s="2089"/>
      <c r="H5" s="2089"/>
      <c r="I5" s="2084"/>
      <c r="J5" s="2846"/>
    </row>
    <row r="6" spans="1:15" ht="12.75">
      <c r="A6" s="3333"/>
      <c r="B6" s="3333"/>
      <c r="C6" s="3340"/>
      <c r="D6" s="3336"/>
      <c r="E6" s="12" t="s">
        <v>1717</v>
      </c>
      <c r="F6" s="2089"/>
      <c r="G6" s="2089"/>
      <c r="H6" s="2089"/>
      <c r="I6" s="2084"/>
      <c r="J6" s="2846"/>
    </row>
    <row r="7" spans="1:15" ht="12.75">
      <c r="A7" s="3333"/>
      <c r="B7" s="3333"/>
      <c r="C7" s="3341"/>
      <c r="D7" s="3336"/>
      <c r="E7" s="12" t="s">
        <v>1718</v>
      </c>
      <c r="F7" s="2089"/>
      <c r="G7" s="2089"/>
      <c r="H7" s="2089"/>
      <c r="I7" s="2084"/>
      <c r="J7" s="2846"/>
    </row>
    <row r="8" spans="1:15" ht="12.75">
      <c r="A8" s="3333" t="s">
        <v>1719</v>
      </c>
      <c r="B8" s="3333">
        <v>15</v>
      </c>
      <c r="C8" s="3339"/>
      <c r="D8" s="3336"/>
      <c r="E8" s="12" t="s">
        <v>1720</v>
      </c>
      <c r="F8" s="2089"/>
      <c r="G8" s="2089"/>
      <c r="H8" s="2089"/>
      <c r="I8" s="2084"/>
      <c r="J8" s="2846"/>
    </row>
    <row r="9" spans="1:15" ht="12.75">
      <c r="A9" s="3333"/>
      <c r="B9" s="3333"/>
      <c r="C9" s="3341"/>
      <c r="D9" s="3336"/>
      <c r="E9" s="12" t="s">
        <v>1721</v>
      </c>
      <c r="F9" s="2089"/>
      <c r="G9" s="2089"/>
      <c r="H9" s="2089"/>
      <c r="I9" s="2084"/>
      <c r="J9" s="2846"/>
    </row>
    <row r="10" spans="1:15" ht="12.75">
      <c r="A10" s="3333" t="s">
        <v>1722</v>
      </c>
      <c r="B10" s="3333">
        <v>15</v>
      </c>
      <c r="C10" s="3339"/>
      <c r="D10" s="3336"/>
      <c r="E10" s="12" t="s">
        <v>1723</v>
      </c>
      <c r="F10" s="2089"/>
      <c r="G10" s="2089"/>
      <c r="H10" s="2089"/>
      <c r="I10" s="2084"/>
      <c r="J10" s="2846"/>
    </row>
    <row r="11" spans="1:15" ht="12.75">
      <c r="A11" s="3333"/>
      <c r="B11" s="3333"/>
      <c r="C11" s="3341"/>
      <c r="D11" s="3336"/>
      <c r="E11" s="12" t="s">
        <v>1724</v>
      </c>
      <c r="F11" s="2089"/>
      <c r="G11" s="2089"/>
      <c r="H11" s="2089"/>
      <c r="I11" s="2084"/>
      <c r="J11" s="2846"/>
    </row>
    <row r="12" spans="1:15" ht="12.75">
      <c r="A12" s="3333" t="s">
        <v>1725</v>
      </c>
      <c r="B12" s="3333">
        <v>15</v>
      </c>
      <c r="C12" s="3339"/>
      <c r="D12" s="3336"/>
      <c r="E12" s="12" t="s">
        <v>1726</v>
      </c>
      <c r="F12" s="2089"/>
      <c r="G12" s="2089"/>
      <c r="H12" s="2089"/>
      <c r="I12" s="2084"/>
      <c r="J12" s="2846"/>
    </row>
    <row r="13" spans="1:15" ht="12.75">
      <c r="A13" s="3333"/>
      <c r="B13" s="3333"/>
      <c r="C13" s="3341"/>
      <c r="D13" s="3336"/>
      <c r="E13" s="12" t="s">
        <v>1727</v>
      </c>
      <c r="F13" s="2089"/>
      <c r="G13" s="2089"/>
      <c r="H13" s="2089"/>
      <c r="I13" s="2084"/>
      <c r="J13" s="2846"/>
    </row>
    <row r="14" spans="1:15" ht="12.75">
      <c r="A14" s="3333" t="s">
        <v>1728</v>
      </c>
      <c r="B14" s="3333">
        <v>30</v>
      </c>
      <c r="C14" s="3339"/>
      <c r="D14" s="3336"/>
      <c r="E14" s="12" t="s">
        <v>1729</v>
      </c>
      <c r="F14" s="2089"/>
      <c r="G14" s="2089"/>
      <c r="H14" s="2089"/>
      <c r="I14" s="2084"/>
      <c r="J14" s="2846"/>
    </row>
    <row r="15" spans="1:15" ht="12.75">
      <c r="A15" s="3333"/>
      <c r="B15" s="3333"/>
      <c r="C15" s="3340"/>
      <c r="D15" s="3336"/>
      <c r="E15" s="12" t="s">
        <v>1730</v>
      </c>
      <c r="F15" s="2089"/>
      <c r="G15" s="2089"/>
      <c r="H15" s="2089"/>
      <c r="I15" s="2084"/>
      <c r="J15" s="2846"/>
    </row>
    <row r="16" spans="1:15" ht="12.75">
      <c r="A16" s="3333"/>
      <c r="B16" s="3333"/>
      <c r="C16" s="3341"/>
      <c r="D16" s="3336"/>
      <c r="E16" s="12" t="s">
        <v>1731</v>
      </c>
      <c r="F16" s="2089"/>
      <c r="G16" s="2089"/>
      <c r="H16" s="2089"/>
      <c r="I16" s="2084"/>
      <c r="J16" s="2846"/>
    </row>
    <row r="17" spans="1:36" ht="15">
      <c r="A17" s="2715" t="s">
        <v>1732</v>
      </c>
      <c r="B17" s="2094"/>
      <c r="C17" s="2716">
        <f>SUM(C5:C16)</f>
        <v>3</v>
      </c>
      <c r="D17" s="2716">
        <f>SUM(D5:D16)</f>
        <v>7</v>
      </c>
      <c r="E17" s="2563"/>
      <c r="F17" s="2563"/>
      <c r="G17" s="2563"/>
      <c r="H17" s="2563"/>
      <c r="I17" s="2563"/>
      <c r="J17" s="2847"/>
    </row>
    <row r="18" spans="1:36" ht="30" customHeight="1" thickBot="1">
      <c r="A18" s="2717" t="s">
        <v>1733</v>
      </c>
      <c r="B18" s="2718"/>
      <c r="C18" s="2719">
        <f>ROUND(C17/SUM(C17:D17),2)</f>
        <v>0.3</v>
      </c>
      <c r="D18" s="2719">
        <f>1-C18</f>
        <v>0.7</v>
      </c>
      <c r="E18" s="3353" t="s">
        <v>2815</v>
      </c>
      <c r="F18" s="3354"/>
      <c r="G18" s="3354"/>
      <c r="H18" s="3354"/>
      <c r="I18" s="3354"/>
      <c r="J18" s="2847"/>
    </row>
    <row r="19" spans="1:36" ht="15">
      <c r="A19" s="2720" t="s">
        <v>1734</v>
      </c>
      <c r="B19" s="2721" t="s">
        <v>1735</v>
      </c>
      <c r="C19" s="2722">
        <f ca="1">SUMIF(INDIRECT("'"&amp;C4&amp;"'"&amp;"!A:A"),结果表!B19,INDIRECT("'"&amp;C4&amp;"'"&amp;"!B:B"))</f>
        <v>2857462</v>
      </c>
      <c r="D19" s="2723">
        <f ca="1">SUMIF(INDIRECT("'"&amp;D4&amp;"'"&amp;"!A:A"),结果表!B19,INDIRECT("'"&amp;D4&amp;"'"&amp;"!B:B"))</f>
        <v>4574270</v>
      </c>
      <c r="E19" s="2720" t="s">
        <v>1736</v>
      </c>
      <c r="F19" s="2721" t="s">
        <v>1735</v>
      </c>
      <c r="G19" s="2724">
        <f ca="1">ROUND(C19*$C$18+D19*$D$18,0)</f>
        <v>4059228</v>
      </c>
      <c r="H19" s="2725" t="str">
        <f>'数据-取费表'!B3</f>
        <v>元</v>
      </c>
      <c r="I19" s="2773"/>
      <c r="J19" s="2848"/>
      <c r="K19" s="659">
        <v>2360000</v>
      </c>
      <c r="L19" s="659">
        <f>K19/项目基本情况!C12</f>
        <v>20000</v>
      </c>
    </row>
    <row r="20" spans="1:36" ht="15">
      <c r="A20" s="2726"/>
      <c r="B20" s="1694" t="s">
        <v>1737</v>
      </c>
      <c r="C20" s="1919">
        <f ca="1">SUMIF(INDIRECT("'"&amp;C4&amp;"'"&amp;"!A:A"),结果表!B20,INDIRECT("'"&amp;C4&amp;"'"&amp;"!B:B"))</f>
        <v>24216</v>
      </c>
      <c r="D20" s="1922">
        <f ca="1">SUMIF(INDIRECT("'"&amp;D4&amp;"'"&amp;"!A:A"),结果表!B20,INDIRECT("'"&amp;D4&amp;"'"&amp;"!B:B"))</f>
        <v>38765</v>
      </c>
      <c r="E20" s="2726"/>
      <c r="F20" s="1694" t="s">
        <v>1737</v>
      </c>
      <c r="G20" s="2093">
        <f ca="1">ROUND(C20*$C$18+D20*$D$18,0)</f>
        <v>34400</v>
      </c>
      <c r="H20" s="2727" t="s">
        <v>1738</v>
      </c>
      <c r="I20" s="2563"/>
      <c r="J20" s="2847"/>
    </row>
    <row r="21" spans="1:36" ht="15" customHeight="1" thickBot="1">
      <c r="A21" s="2728"/>
      <c r="B21" s="2729"/>
      <c r="C21" s="2729"/>
      <c r="D21" s="2730"/>
      <c r="E21" s="2728"/>
      <c r="F21" s="2729"/>
      <c r="G21" s="2731"/>
      <c r="H21" s="2732"/>
      <c r="I21" s="2563"/>
      <c r="J21" s="2847"/>
      <c r="K21" s="659">
        <f ca="1">G20*项目基本情况!C12</f>
        <v>4059200</v>
      </c>
    </row>
    <row r="22" spans="1:36" ht="15" thickBot="1">
      <c r="A22" s="2733" t="s">
        <v>1739</v>
      </c>
      <c r="B22" s="2734"/>
      <c r="C22" s="2647"/>
      <c r="D22" s="2735">
        <f ca="1">IF(C19&lt;D19,D19/C19-1,C19/D19-1)</f>
        <v>0.60081568888755132</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2" t="s">
        <v>1740</v>
      </c>
      <c r="B24" s="2721" t="s">
        <v>1735</v>
      </c>
      <c r="C24" s="2724">
        <f>D30</f>
        <v>0</v>
      </c>
      <c r="D24" s="2676"/>
      <c r="E24" s="947"/>
      <c r="F24" s="947"/>
      <c r="G24" s="947"/>
      <c r="H24" s="947"/>
      <c r="I24" s="947"/>
      <c r="J24" s="2847"/>
    </row>
    <row r="25" spans="1:36" ht="21.75" customHeight="1">
      <c r="A25" s="3343"/>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34400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342" t="s">
        <v>1753</v>
      </c>
      <c r="B36" s="1468" t="s">
        <v>1754</v>
      </c>
      <c r="C36" s="2757">
        <v>0</v>
      </c>
      <c r="D36" s="2758"/>
      <c r="E36" s="1680"/>
      <c r="F36" s="1680"/>
      <c r="G36" s="947"/>
      <c r="H36" s="947"/>
      <c r="I36" s="947"/>
      <c r="J36" s="2847"/>
    </row>
    <row r="37" spans="1:17" ht="15.75" thickBot="1">
      <c r="A37" s="3347"/>
      <c r="B37" s="2094" t="s">
        <v>1755</v>
      </c>
      <c r="C37" s="2759">
        <v>0</v>
      </c>
      <c r="D37" s="1311"/>
      <c r="E37" s="1311"/>
      <c r="F37" s="1680"/>
      <c r="G37" s="1311"/>
      <c r="H37" s="1311"/>
      <c r="I37" s="1311"/>
      <c r="J37" s="2851"/>
    </row>
    <row r="38" spans="1:17" ht="15.75" thickBot="1">
      <c r="A38" s="3348"/>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267" t="s">
        <v>1764</v>
      </c>
      <c r="B45" s="3268"/>
      <c r="C45" s="3278"/>
      <c r="D45" s="246">
        <f ca="1">ROUND(I102*F45,0)</f>
        <v>4059200</v>
      </c>
      <c r="E45" s="1542" t="s">
        <v>1765</v>
      </c>
      <c r="F45" s="2561">
        <v>1</v>
      </c>
      <c r="G45" s="2562" t="s">
        <v>1766</v>
      </c>
      <c r="H45" s="947"/>
      <c r="I45" s="947"/>
      <c r="J45" s="2847"/>
      <c r="K45" s="3273" t="s">
        <v>2744</v>
      </c>
      <c r="L45" s="3273"/>
      <c r="M45" s="3273"/>
      <c r="N45" s="3273"/>
      <c r="O45" s="3273"/>
      <c r="P45" s="3273"/>
      <c r="Q45" s="1308"/>
    </row>
    <row r="46" spans="1:17" ht="14.25" customHeight="1">
      <c r="A46" s="3344" t="s">
        <v>1768</v>
      </c>
      <c r="B46" s="3345"/>
      <c r="C46" s="3345"/>
      <c r="D46" s="3345"/>
      <c r="E46" s="3345"/>
      <c r="F46" s="3345"/>
      <c r="G46" s="3346"/>
      <c r="H46" s="2979"/>
      <c r="I46" s="947"/>
      <c r="J46" s="2847"/>
      <c r="K46" s="2536">
        <v>1</v>
      </c>
      <c r="L46" s="3274" t="s">
        <v>2745</v>
      </c>
      <c r="M46" s="3274"/>
      <c r="N46" s="3275" t="str">
        <f>项目基本情况!B1</f>
        <v>北京市预评估</v>
      </c>
      <c r="O46" s="3275"/>
      <c r="P46" s="3275"/>
      <c r="Q46" s="1308"/>
    </row>
    <row r="47" spans="1:17" ht="12" customHeight="1">
      <c r="A47" s="38" t="s">
        <v>1770</v>
      </c>
      <c r="B47" s="39"/>
      <c r="C47" s="40"/>
      <c r="D47" s="1099" t="s">
        <v>1771</v>
      </c>
      <c r="E47" s="235" t="s">
        <v>1772</v>
      </c>
      <c r="F47" s="41" t="s">
        <v>1773</v>
      </c>
      <c r="G47" s="2564" t="s">
        <v>1774</v>
      </c>
      <c r="H47" s="2979"/>
      <c r="I47" s="947"/>
      <c r="J47" s="2847"/>
      <c r="K47" s="2536">
        <v>2</v>
      </c>
      <c r="L47" s="3274" t="s">
        <v>2746</v>
      </c>
      <c r="M47" s="3274"/>
      <c r="N47" s="3276">
        <f>'数据-取费表'!B2</f>
        <v>41829</v>
      </c>
      <c r="O47" s="3276"/>
      <c r="P47" s="3276"/>
      <c r="Q47" s="1308"/>
    </row>
    <row r="48" spans="1:17" ht="25.5">
      <c r="A48" s="3349" t="s">
        <v>1776</v>
      </c>
      <c r="B48" s="3283"/>
      <c r="C48" s="3283"/>
      <c r="D48" s="12">
        <f ca="1">IF(H48="情况1",0,IF(H48="情况2",D52,IF(H48="情况3",D53,IF(H48="情况4",D54))))</f>
        <v>227315</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274" t="s">
        <v>2747</v>
      </c>
      <c r="M48" s="3274"/>
      <c r="N48" s="3275">
        <f ca="1">I102</f>
        <v>4059200</v>
      </c>
      <c r="O48" s="3275"/>
      <c r="P48" s="3275"/>
      <c r="Q48" s="1308"/>
    </row>
    <row r="49" spans="1:17" ht="25.5" customHeight="1">
      <c r="A49" s="2091" t="s">
        <v>1780</v>
      </c>
      <c r="B49" s="3322" t="s">
        <v>1781</v>
      </c>
      <c r="C49" s="3322"/>
      <c r="D49" s="2568">
        <v>0</v>
      </c>
      <c r="E49" s="261" t="s">
        <v>1782</v>
      </c>
      <c r="F49" s="2569" t="s">
        <v>48</v>
      </c>
      <c r="G49" s="3264"/>
      <c r="H49" s="2570" t="s">
        <v>2821</v>
      </c>
      <c r="I49" s="2571"/>
      <c r="J49" s="2855"/>
      <c r="K49" s="2536">
        <v>4</v>
      </c>
      <c r="L49" s="3274" t="str">
        <f>IF(项目基本情况!F5="房地产抵押价值","房地产抵押价值","抵押担保权已注销时的房地产抵押价值")</f>
        <v>抵押担保权已注销时的房地产抵押价值</v>
      </c>
      <c r="M49" s="3274"/>
      <c r="N49" s="3275" t="str">
        <f>IF(项目基本情况!F5="房地产抵押价值",I110,I112)</f>
        <v>——</v>
      </c>
      <c r="O49" s="3275"/>
      <c r="P49" s="3275"/>
      <c r="Q49" s="1308"/>
    </row>
    <row r="50" spans="1:17" ht="25.5" customHeight="1">
      <c r="A50" s="2081"/>
      <c r="B50" s="3322" t="s">
        <v>1783</v>
      </c>
      <c r="C50" s="3322"/>
      <c r="D50" s="2572"/>
      <c r="E50" s="269"/>
      <c r="F50" s="2569"/>
      <c r="G50" s="3265"/>
      <c r="H50" s="2573" t="s">
        <v>2740</v>
      </c>
      <c r="I50" s="2571"/>
      <c r="J50" s="2855"/>
      <c r="K50" s="3274" t="s">
        <v>2748</v>
      </c>
      <c r="L50" s="3274"/>
      <c r="M50" s="3274"/>
      <c r="N50" s="3274"/>
      <c r="O50" s="3274"/>
      <c r="P50" s="3274"/>
      <c r="Q50" s="1308"/>
    </row>
    <row r="51" spans="1:17" ht="20.45" customHeight="1">
      <c r="A51" s="2574"/>
      <c r="B51" s="3322" t="s">
        <v>1785</v>
      </c>
      <c r="C51" s="3322"/>
      <c r="D51" s="1099"/>
      <c r="E51" s="264"/>
      <c r="F51" s="2569"/>
      <c r="G51" s="3266"/>
      <c r="H51" s="2573" t="s">
        <v>2741</v>
      </c>
      <c r="I51" s="2571"/>
      <c r="J51" s="2855"/>
      <c r="K51" s="2537" t="s">
        <v>2749</v>
      </c>
      <c r="L51" s="3274" t="s">
        <v>2750</v>
      </c>
      <c r="M51" s="3274"/>
      <c r="N51" s="2537" t="s">
        <v>2751</v>
      </c>
      <c r="O51" s="2537" t="s">
        <v>2752</v>
      </c>
      <c r="P51" s="2537" t="s">
        <v>2753</v>
      </c>
      <c r="Q51" s="1308"/>
    </row>
    <row r="52" spans="1:17" ht="24" customHeight="1">
      <c r="A52" s="2082" t="s">
        <v>1791</v>
      </c>
      <c r="B52" s="3322" t="s">
        <v>1792</v>
      </c>
      <c r="C52" s="3322"/>
      <c r="D52" s="1099">
        <f ca="1">ROUND(D45*'数据-取费表'!E29/(1+'数据-取费表'!F30),0)</f>
        <v>227315</v>
      </c>
      <c r="E52" s="2092" t="s">
        <v>1793</v>
      </c>
      <c r="F52" s="2575">
        <f>'数据-取费表'!E29</f>
        <v>5.6000000000000001E-2</v>
      </c>
      <c r="G52" s="2576"/>
      <c r="H52" s="947"/>
      <c r="I52" s="2980"/>
      <c r="J52" s="2855"/>
      <c r="K52" s="2536">
        <v>1</v>
      </c>
      <c r="L52" s="3263" t="s">
        <v>2754</v>
      </c>
      <c r="M52" s="3263"/>
      <c r="N52" s="2538">
        <f ca="1">D48</f>
        <v>227315</v>
      </c>
      <c r="O52" s="2536" t="str">
        <f>E48</f>
        <v>销售额×税（费）率</v>
      </c>
      <c r="P52" s="2539">
        <f>F48</f>
        <v>5.6000000000000001E-2</v>
      </c>
      <c r="Q52" s="1308"/>
    </row>
    <row r="53" spans="1:17" ht="12" customHeight="1">
      <c r="A53" s="2082" t="s">
        <v>1795</v>
      </c>
      <c r="B53" s="3334" t="s">
        <v>2833</v>
      </c>
      <c r="C53" s="3323"/>
      <c r="D53" s="1099">
        <f ca="1">ROUND(D45*'数据-取费表'!E29/(1+'数据-取费表'!F30),0)</f>
        <v>227315</v>
      </c>
      <c r="E53" s="2092" t="s">
        <v>1793</v>
      </c>
      <c r="F53" s="2575">
        <f>'数据-取费表'!E29</f>
        <v>5.6000000000000001E-2</v>
      </c>
      <c r="G53" s="2576"/>
      <c r="H53" s="947"/>
      <c r="I53" s="2980"/>
      <c r="J53" s="2855"/>
      <c r="K53" s="2536">
        <v>2</v>
      </c>
      <c r="L53" s="3263" t="s">
        <v>2755</v>
      </c>
      <c r="M53" s="3263"/>
      <c r="N53" s="2538">
        <f t="shared" ref="N53:P54" si="1">D55</f>
        <v>0</v>
      </c>
      <c r="O53" s="2536" t="str">
        <f t="shared" si="1"/>
        <v>销售额×税（费）率</v>
      </c>
      <c r="P53" s="2539" t="str">
        <f t="shared" si="1"/>
        <v>免征</v>
      </c>
      <c r="Q53" s="1308"/>
    </row>
    <row r="54" spans="1:17" ht="12" customHeight="1">
      <c r="A54" s="2082" t="s">
        <v>1797</v>
      </c>
      <c r="B54" s="3334" t="s">
        <v>2834</v>
      </c>
      <c r="C54" s="3323"/>
      <c r="D54" s="1099">
        <f ca="1">C68</f>
        <v>227315</v>
      </c>
      <c r="E54" s="264" t="s">
        <v>1798</v>
      </c>
      <c r="F54" s="2575">
        <f>'数据-取费表'!E29</f>
        <v>5.6000000000000001E-2</v>
      </c>
      <c r="G54" s="2576"/>
      <c r="H54" s="2981"/>
      <c r="I54" s="2980"/>
      <c r="J54" s="2855"/>
      <c r="K54" s="2536">
        <v>3</v>
      </c>
      <c r="L54" s="3263" t="s">
        <v>2756</v>
      </c>
      <c r="M54" s="3263"/>
      <c r="N54" s="2538">
        <f t="shared" si="1"/>
        <v>0</v>
      </c>
      <c r="O54" s="2536" t="str">
        <f t="shared" si="1"/>
        <v>增值额×税（费）率</v>
      </c>
      <c r="P54" s="2540" t="str">
        <f t="shared" si="1"/>
        <v>免征</v>
      </c>
      <c r="Q54" s="1308"/>
    </row>
    <row r="55" spans="1:17" ht="24" customHeight="1">
      <c r="A55" s="3287" t="s">
        <v>1800</v>
      </c>
      <c r="B55" s="3283"/>
      <c r="C55" s="3283"/>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263" t="str">
        <f>IF(H59="非个人房产","——","个人所得税")</f>
        <v>——</v>
      </c>
      <c r="M55" s="3263"/>
      <c r="N55" s="2541" t="str">
        <f>D59</f>
        <v>——</v>
      </c>
      <c r="O55" s="2542" t="str">
        <f>E59</f>
        <v>——</v>
      </c>
      <c r="P55" s="2543" t="str">
        <f>F59</f>
        <v>——</v>
      </c>
      <c r="Q55" s="1308"/>
    </row>
    <row r="56" spans="1:17" ht="24.75">
      <c r="A56" s="3287" t="s">
        <v>1803</v>
      </c>
      <c r="B56" s="3283"/>
      <c r="C56" s="3283"/>
      <c r="D56" s="12">
        <f>IF(H56="个人住宅",D57,D58)</f>
        <v>0</v>
      </c>
      <c r="E56" s="2092" t="s">
        <v>1804</v>
      </c>
      <c r="F56" s="2575" t="str">
        <f>IF(H56="正常",F58,"免征")</f>
        <v>免征</v>
      </c>
      <c r="G56" s="2577" t="s">
        <v>1805</v>
      </c>
      <c r="H56" s="2578" t="s">
        <v>2737</v>
      </c>
      <c r="I56" s="2982"/>
      <c r="J56" s="2855"/>
      <c r="K56" s="2536" t="str">
        <f>IF(项目基本情况!I6="上海银行",IF(K55="",4,K55+1),"")</f>
        <v/>
      </c>
      <c r="L56" s="3261" t="str">
        <f>IF(项目基本情况!I6="上海银行","其他处置费用","")</f>
        <v/>
      </c>
      <c r="M56" s="3281"/>
      <c r="N56" s="2538" t="str">
        <f>IF(项目基本情况!I6="上海银行",N69,"")</f>
        <v/>
      </c>
      <c r="O56" s="3261" t="str">
        <f>IF(项目基本情况!I6="上海银行","包含处置中涉及的律师、诉讼、拍卖、评估等费用","")</f>
        <v/>
      </c>
      <c r="P56" s="3262"/>
      <c r="Q56" s="1308"/>
    </row>
    <row r="57" spans="1:17" ht="12.75">
      <c r="A57" s="2082" t="s">
        <v>1780</v>
      </c>
      <c r="B57" s="3334" t="s">
        <v>1806</v>
      </c>
      <c r="C57" s="3323"/>
      <c r="D57" s="2568">
        <v>0</v>
      </c>
      <c r="E57" s="261" t="s">
        <v>1782</v>
      </c>
      <c r="F57" s="235"/>
      <c r="G57" s="2576"/>
      <c r="H57" s="2982"/>
      <c r="I57" s="2982"/>
      <c r="J57" s="2855"/>
      <c r="K57" s="3263">
        <f>IF(AND(K55="",K56=""),4,IF(项目基本情况!I6="上海银行",K56+1,K55+1))</f>
        <v>4</v>
      </c>
      <c r="L57" s="3263" t="s">
        <v>2757</v>
      </c>
      <c r="M57" s="2544" t="s">
        <v>2758</v>
      </c>
      <c r="N57" s="2545"/>
      <c r="O57" s="2546">
        <f ca="1">SUMIF(N52:N56,"&lt;9e307")</f>
        <v>227315</v>
      </c>
      <c r="P57" s="2547"/>
      <c r="Q57" s="1306" t="e">
        <f ca="1">O57/N49</f>
        <v>#VALUE!</v>
      </c>
    </row>
    <row r="58" spans="1:17" ht="24.75">
      <c r="A58" s="2082" t="s">
        <v>1791</v>
      </c>
      <c r="B58" s="3334" t="s">
        <v>1809</v>
      </c>
      <c r="C58" s="3322"/>
      <c r="D58" s="12">
        <f ca="1">IF(H58="转让取得",C81,C97)</f>
        <v>2412383</v>
      </c>
      <c r="E58" s="2092" t="s">
        <v>1804</v>
      </c>
      <c r="F58" s="235" t="s">
        <v>48</v>
      </c>
      <c r="G58" s="2576"/>
      <c r="H58" s="2578" t="s">
        <v>1810</v>
      </c>
      <c r="I58" s="2982"/>
      <c r="J58" s="2855"/>
      <c r="K58" s="3263"/>
      <c r="L58" s="3263"/>
      <c r="M58" s="2544" t="s">
        <v>2759</v>
      </c>
      <c r="N58" s="2548"/>
      <c r="O58" s="2549" t="str">
        <f ca="1">IF(H19="元",NUMBERSTRING(INT(O57),2)&amp;"元整",NUMBERSTRING(INT(O57*10000),2)&amp;"元整")</f>
        <v>贰拾贰万柒仟叁佰壹拾伍元整</v>
      </c>
      <c r="P58" s="2550"/>
      <c r="Q58" s="1308"/>
    </row>
    <row r="59" spans="1:17" ht="24.75" thickBot="1">
      <c r="A59" s="3350" t="s">
        <v>1812</v>
      </c>
      <c r="B59" s="3351"/>
      <c r="C59" s="3351"/>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316">
        <f>K57+1</f>
        <v>5</v>
      </c>
      <c r="L59" s="3263" t="s">
        <v>2760</v>
      </c>
      <c r="M59" s="2536" t="s">
        <v>2758</v>
      </c>
      <c r="N59" s="2551"/>
      <c r="O59" s="2552" t="e">
        <f ca="1">N49-O57</f>
        <v>#VALUE!</v>
      </c>
      <c r="P59" s="2553"/>
      <c r="Q59" s="1308"/>
    </row>
    <row r="60" spans="1:17" ht="12" customHeight="1">
      <c r="A60" s="1457"/>
      <c r="B60" s="1461"/>
      <c r="C60" s="1461"/>
      <c r="D60" s="1461"/>
      <c r="E60" s="812"/>
      <c r="F60" s="2983"/>
      <c r="G60" s="2983"/>
      <c r="H60" s="2984"/>
      <c r="I60" s="31"/>
      <c r="K60" s="3317"/>
      <c r="L60" s="3263"/>
      <c r="M60" s="2544" t="s">
        <v>2759</v>
      </c>
      <c r="N60" s="2548"/>
      <c r="O60" s="2549" t="e">
        <f ca="1">IF(H19="元",NUMBERSTRING(INT(O59),2)&amp;"元整",NUMBERSTRING(INT(O59*10000),2)&amp;"元整")</f>
        <v>#VALUE!</v>
      </c>
      <c r="P60" s="2550"/>
      <c r="Q60" s="1308"/>
    </row>
    <row r="61" spans="1:17" ht="13.5" thickBot="1">
      <c r="A61" s="3352" t="s">
        <v>1814</v>
      </c>
      <c r="B61" s="3352"/>
      <c r="C61" s="3352"/>
      <c r="D61" s="3352"/>
      <c r="E61" s="3352"/>
      <c r="F61" s="2983"/>
      <c r="G61" s="2983"/>
      <c r="H61" s="2985"/>
      <c r="I61" s="31"/>
      <c r="K61" s="2536">
        <f>K59+1</f>
        <v>6</v>
      </c>
      <c r="L61" s="3263" t="s">
        <v>2761</v>
      </c>
      <c r="M61" s="3263"/>
      <c r="N61" s="2554"/>
      <c r="O61" s="2555" t="e">
        <f ca="1">IF(H19="元",ROUND(O59/项目基本情况!C12,0),ROUND(O59*10000/项目基本情况!C12,0))</f>
        <v>#VALUE!</v>
      </c>
      <c r="P61" s="2556"/>
      <c r="Q61" s="1308"/>
    </row>
    <row r="62" spans="1:17" ht="12.75">
      <c r="A62" s="3301" t="s">
        <v>1816</v>
      </c>
      <c r="B62" s="3302"/>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4059200</v>
      </c>
      <c r="D63" s="47"/>
      <c r="E63" s="48"/>
      <c r="F63" s="2983"/>
      <c r="G63" s="2983"/>
      <c r="H63" s="2985"/>
      <c r="I63" s="31"/>
      <c r="K63" s="3282"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4059200</v>
      </c>
      <c r="D64" s="50" t="s">
        <v>41</v>
      </c>
      <c r="E64" s="52"/>
      <c r="F64" s="2983"/>
      <c r="G64" s="2983"/>
      <c r="H64" s="2985"/>
      <c r="I64" s="31"/>
      <c r="K64" s="3282"/>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282"/>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282"/>
      <c r="L66" s="2558" t="s">
        <v>2767</v>
      </c>
      <c r="M66" s="2558" t="e">
        <f>N49*0.5%</f>
        <v>#VALUE!</v>
      </c>
      <c r="N66" s="2559" t="e">
        <f>IF(M66&gt;0.5,0.5,ROUND(M66,0))</f>
        <v>#VALUE!</v>
      </c>
      <c r="O66" s="2557" t="s">
        <v>2768</v>
      </c>
      <c r="P66" s="2557"/>
      <c r="Q66" s="1308"/>
    </row>
    <row r="67" spans="1:36" ht="12.75">
      <c r="A67" s="53" t="s">
        <v>42</v>
      </c>
      <c r="B67" s="54" t="s">
        <v>1831</v>
      </c>
      <c r="C67" s="2790">
        <f ca="1">C63-C66</f>
        <v>4059200</v>
      </c>
      <c r="D67" s="50" t="s">
        <v>41</v>
      </c>
      <c r="E67" s="52"/>
      <c r="F67" s="2983"/>
      <c r="G67" s="2983"/>
      <c r="H67" s="2985"/>
      <c r="I67" s="31"/>
      <c r="K67" s="3282"/>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227315</v>
      </c>
      <c r="D68" s="2242">
        <f>'数据-取费表'!E29</f>
        <v>5.6000000000000001E-2</v>
      </c>
      <c r="E68" s="57"/>
      <c r="F68" s="2983"/>
      <c r="G68" s="2983"/>
      <c r="H68" s="2985"/>
      <c r="I68" s="31"/>
      <c r="K68" s="3282"/>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82"/>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3" t="s">
        <v>1836</v>
      </c>
      <c r="B70" s="3304"/>
      <c r="C70" s="3304"/>
      <c r="D70" s="3304"/>
      <c r="E70" s="3304"/>
      <c r="F70" s="3304"/>
      <c r="G70" s="3304"/>
      <c r="H70" s="3304"/>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1" t="s">
        <v>1816</v>
      </c>
      <c r="B71" s="3302"/>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4059200</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24355</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334" t="s">
        <v>1846</v>
      </c>
      <c r="F76" s="3322"/>
      <c r="G76" s="3322"/>
      <c r="H76" s="3335"/>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24355</v>
      </c>
      <c r="D78" s="2799">
        <f>'数据-取费表'!E31</f>
        <v>6.000000000000001E-3</v>
      </c>
      <c r="E78" s="3270" t="s">
        <v>1851</v>
      </c>
      <c r="F78" s="3271"/>
      <c r="G78" s="3271"/>
      <c r="H78" s="3291"/>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4034845</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165.66803531102443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2412383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3" t="s">
        <v>1855</v>
      </c>
      <c r="B83" s="3304"/>
      <c r="C83" s="3304"/>
      <c r="D83" s="3304"/>
      <c r="E83" s="3304"/>
      <c r="F83" s="3304"/>
      <c r="G83" s="3304"/>
      <c r="H83" s="3304"/>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1" t="s">
        <v>1816</v>
      </c>
      <c r="B84" s="3302"/>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4059200</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24355</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10" t="s">
        <v>2732</v>
      </c>
      <c r="H90" s="3310"/>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70" t="s">
        <v>1863</v>
      </c>
      <c r="F91" s="3271"/>
      <c r="G91" s="3271"/>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70" t="s">
        <v>1866</v>
      </c>
      <c r="F92" s="3271"/>
      <c r="G92" s="3271"/>
      <c r="H92" s="3291"/>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24355</v>
      </c>
      <c r="D93" s="2799">
        <f>'数据-取费表'!E31</f>
        <v>6.000000000000001E-3</v>
      </c>
      <c r="E93" s="3270" t="s">
        <v>1851</v>
      </c>
      <c r="F93" s="3271"/>
      <c r="G93" s="3271"/>
      <c r="H93" s="3291"/>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70" t="s">
        <v>1868</v>
      </c>
      <c r="F94" s="3271"/>
      <c r="G94" s="3271"/>
      <c r="H94" s="3291"/>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4034845</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165.66803531102443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2412383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288" t="s">
        <v>1870</v>
      </c>
      <c r="B99" s="3289"/>
      <c r="C99" s="3289"/>
      <c r="D99" s="3290"/>
      <c r="E99" s="1461"/>
      <c r="F99" s="3298" t="s">
        <v>1871</v>
      </c>
      <c r="G99" s="3299"/>
      <c r="H99" s="3299"/>
      <c r="I99" s="3300"/>
      <c r="J99" s="2861"/>
    </row>
    <row r="100" spans="1:36" ht="15">
      <c r="A100" s="3305" t="s">
        <v>1872</v>
      </c>
      <c r="B100" s="3306"/>
      <c r="C100" s="1307" t="str">
        <f>C4</f>
        <v>成本法</v>
      </c>
      <c r="D100" s="2809" t="str">
        <f>D4</f>
        <v>比较法-住宅</v>
      </c>
      <c r="E100" s="1461"/>
      <c r="F100" s="3307" t="s">
        <v>2776</v>
      </c>
      <c r="G100" s="3309"/>
      <c r="H100" s="3307" t="s">
        <v>2777</v>
      </c>
      <c r="I100" s="3308"/>
      <c r="J100" s="2862"/>
    </row>
    <row r="101" spans="1:36" ht="12.75">
      <c r="A101" s="3324" t="s">
        <v>2809</v>
      </c>
      <c r="B101" s="2307" t="str">
        <f>IF(H19="元","总价（元）","总价（万元）")</f>
        <v>总价（元）</v>
      </c>
      <c r="C101" s="1307">
        <f ca="1">C19</f>
        <v>2857462</v>
      </c>
      <c r="D101" s="2809">
        <f ca="1">D19</f>
        <v>4574270</v>
      </c>
      <c r="E101" s="1461"/>
      <c r="F101" s="3307" t="str">
        <f>项目基本情况!I1</f>
        <v>北京市房地产</v>
      </c>
      <c r="G101" s="3309"/>
      <c r="H101" s="3311">
        <f>项目基本情况!C12</f>
        <v>118</v>
      </c>
      <c r="I101" s="3308"/>
      <c r="J101" s="2862"/>
    </row>
    <row r="102" spans="1:36" ht="12.75">
      <c r="A102" s="3324"/>
      <c r="B102" s="2307" t="s">
        <v>2810</v>
      </c>
      <c r="C102" s="2810">
        <f ca="1">C20</f>
        <v>24216</v>
      </c>
      <c r="D102" s="2811">
        <f ca="1">D20</f>
        <v>38765</v>
      </c>
      <c r="E102" s="1461"/>
      <c r="F102" s="3294" t="s">
        <v>2806</v>
      </c>
      <c r="G102" s="3295"/>
      <c r="H102" s="2819" t="str">
        <f>C106</f>
        <v>总价（元）</v>
      </c>
      <c r="I102" s="2820">
        <f ca="1">H121</f>
        <v>4059200</v>
      </c>
      <c r="J102" s="2862"/>
    </row>
    <row r="103" spans="1:36" ht="12.75">
      <c r="A103" s="3324" t="s">
        <v>2811</v>
      </c>
      <c r="B103" s="2245" t="str">
        <f>B101</f>
        <v>总价（元）</v>
      </c>
      <c r="C103" s="2814">
        <f ca="1">H121</f>
        <v>4059200</v>
      </c>
      <c r="D103" s="2812"/>
      <c r="E103" s="1461"/>
      <c r="F103" s="3294"/>
      <c r="G103" s="3295"/>
      <c r="H103" s="2819" t="s">
        <v>2779</v>
      </c>
      <c r="I103" s="52">
        <f ca="1">I121</f>
        <v>34400</v>
      </c>
      <c r="J103" s="2846"/>
    </row>
    <row r="104" spans="1:36" ht="13.5" thickBot="1">
      <c r="A104" s="3325"/>
      <c r="B104" s="2816" t="s">
        <v>2810</v>
      </c>
      <c r="C104" s="2817">
        <f ca="1">I121</f>
        <v>34400</v>
      </c>
      <c r="D104" s="2818"/>
      <c r="E104" s="1461"/>
      <c r="F104" s="3294"/>
      <c r="G104" s="3295"/>
      <c r="H104" s="3326"/>
      <c r="I104" s="3327"/>
      <c r="J104" s="2863"/>
    </row>
    <row r="105" spans="1:36" ht="15">
      <c r="A105" s="3288" t="s">
        <v>1873</v>
      </c>
      <c r="B105" s="3289"/>
      <c r="C105" s="3289"/>
      <c r="D105" s="3290"/>
      <c r="E105" s="1461"/>
      <c r="F105" s="3330" t="s">
        <v>2780</v>
      </c>
      <c r="G105" s="3331"/>
      <c r="H105" s="2821" t="str">
        <f>C108</f>
        <v>总额（元）</v>
      </c>
      <c r="I105" s="2820">
        <f>SUMIF(I106:I108,"&lt;9E307")</f>
        <v>0</v>
      </c>
      <c r="J105" s="2862"/>
    </row>
    <row r="106" spans="1:36" ht="14.25">
      <c r="A106" s="3294" t="s">
        <v>2803</v>
      </c>
      <c r="B106" s="3295"/>
      <c r="C106" s="2819" t="str">
        <f>B101</f>
        <v>总价（元）</v>
      </c>
      <c r="D106" s="2820">
        <f ca="1">H121</f>
        <v>4059200</v>
      </c>
      <c r="E106" s="1461"/>
      <c r="F106" s="3296" t="s">
        <v>2781</v>
      </c>
      <c r="G106" s="3297"/>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94"/>
      <c r="B107" s="3295"/>
      <c r="C107" s="2819" t="s">
        <v>2804</v>
      </c>
      <c r="D107" s="52">
        <f ca="1">I121</f>
        <v>34400</v>
      </c>
      <c r="E107" s="1461"/>
      <c r="F107" s="3296" t="s">
        <v>2782</v>
      </c>
      <c r="G107" s="3297"/>
      <c r="H107" s="2821" t="str">
        <f>C110</f>
        <v>总额（元）</v>
      </c>
      <c r="I107" s="52">
        <f>C37</f>
        <v>0</v>
      </c>
      <c r="J107" s="2846"/>
    </row>
    <row r="108" spans="1:36" ht="12.75">
      <c r="A108" s="3365" t="s">
        <v>2780</v>
      </c>
      <c r="B108" s="3366"/>
      <c r="C108" s="2821" t="str">
        <f>IF(H19="元","总额（元）","总额（万元）")</f>
        <v>总额（元）</v>
      </c>
      <c r="D108" s="2820">
        <f>IF(D36="正常操作",I106+I107+I108,I107+I108)</f>
        <v>0</v>
      </c>
      <c r="E108" s="1461"/>
      <c r="F108" s="3296" t="s">
        <v>2807</v>
      </c>
      <c r="G108" s="3297"/>
      <c r="H108" s="2821" t="str">
        <f>C111</f>
        <v>总额（元）</v>
      </c>
      <c r="I108" s="52">
        <f>C38</f>
        <v>0</v>
      </c>
      <c r="J108" s="2846"/>
    </row>
    <row r="109" spans="1:36" ht="12.75">
      <c r="A109" s="3296" t="s">
        <v>2781</v>
      </c>
      <c r="B109" s="3297"/>
      <c r="C109" s="2821" t="str">
        <f>C108</f>
        <v>总额（元）</v>
      </c>
      <c r="D109" s="52">
        <f>IF(D36="同一抵押权人同一抵押物续贷",C36&amp;"（未扣减，详见特别提示）",C36)</f>
        <v>0</v>
      </c>
      <c r="E109" s="1461"/>
      <c r="F109" s="3294"/>
      <c r="G109" s="3295"/>
      <c r="H109" s="3328"/>
      <c r="I109" s="3329"/>
      <c r="J109" s="2864"/>
    </row>
    <row r="110" spans="1:36" ht="28.5" customHeight="1">
      <c r="A110" s="3296" t="s">
        <v>2805</v>
      </c>
      <c r="B110" s="3297"/>
      <c r="C110" s="2821" t="str">
        <f>C108</f>
        <v>总额（元）</v>
      </c>
      <c r="D110" s="52">
        <f>C37</f>
        <v>0</v>
      </c>
      <c r="E110" s="1461"/>
      <c r="F110" s="3277" t="str">
        <f>IF(项目基本情况!F5="已注销","——","3.房地产抵押价值")</f>
        <v>3.房地产抵押价值</v>
      </c>
      <c r="G110" s="3278"/>
      <c r="H110" s="2807" t="str">
        <f>C112</f>
        <v>总价（元）</v>
      </c>
      <c r="I110" s="2820">
        <f ca="1">IF(F110="——","——",I102-I105)</f>
        <v>4059200</v>
      </c>
      <c r="J110" s="2862"/>
    </row>
    <row r="111" spans="1:36" ht="12.75">
      <c r="A111" s="3296" t="s">
        <v>2784</v>
      </c>
      <c r="B111" s="3297"/>
      <c r="C111" s="2821" t="str">
        <f>C108</f>
        <v>总额（元）</v>
      </c>
      <c r="D111" s="52">
        <f>C38</f>
        <v>0</v>
      </c>
      <c r="E111" s="1461"/>
      <c r="F111" s="3279"/>
      <c r="G111" s="3280"/>
      <c r="H111" s="2819" t="s">
        <v>2779</v>
      </c>
      <c r="I111" s="2823">
        <f ca="1">D113</f>
        <v>34400</v>
      </c>
      <c r="J111" s="2865"/>
    </row>
    <row r="112" spans="1:36" ht="26.25" customHeight="1">
      <c r="A112" s="3294" t="str">
        <f>IF(项目基本情况!F5="已注销","——","3.房地产抵押价值")</f>
        <v>3.房地产抵押价值</v>
      </c>
      <c r="B112" s="3295"/>
      <c r="C112" s="2819" t="str">
        <f>B101</f>
        <v>总价（元）</v>
      </c>
      <c r="D112" s="2820">
        <f ca="1">IF(A112="——","——",D106-D108)</f>
        <v>4059200</v>
      </c>
      <c r="E112" s="1461"/>
      <c r="F112" s="3277" t="str">
        <f>IF(项目基本情况!F5="已注销及未注销","4.抵押担保权已注销时的房地产抵押价值",IF(项目基本情况!F5="已注销","3.抵押担保权已注销时的房地产抵押价值","——"))</f>
        <v>——</v>
      </c>
      <c r="G112" s="3278"/>
      <c r="H112" s="2807" t="str">
        <f>C114</f>
        <v>总价（元）</v>
      </c>
      <c r="I112" s="2820" t="str">
        <f>IF(F112="——","——",I102-I107-I108)</f>
        <v>——</v>
      </c>
      <c r="J112" s="2862"/>
    </row>
    <row r="113" spans="1:16" ht="12.75">
      <c r="A113" s="3294"/>
      <c r="B113" s="3295"/>
      <c r="C113" s="2819" t="s">
        <v>2772</v>
      </c>
      <c r="D113" s="52">
        <f ca="1">ROUND(IF(D112=D106,D107,IF(H19="元",D112/项目基本情况!C12,D112*10000/项目基本情况!C12)),0)</f>
        <v>34400</v>
      </c>
      <c r="E113" s="1461"/>
      <c r="F113" s="3279"/>
      <c r="G113" s="3280"/>
      <c r="H113" s="2819" t="s">
        <v>2808</v>
      </c>
      <c r="I113" s="52" t="str">
        <f>D115</f>
        <v>——</v>
      </c>
      <c r="J113" s="2846"/>
    </row>
    <row r="114" spans="1:16" ht="12.75">
      <c r="A114" s="3294" t="str">
        <f>IF(项目基本情况!F5="已注销及未注销","4.抵押担保权已注销时的房地产抵押价值",IF(项目基本情况!F5="已注销","3.抵押担保权已注销时的房地产抵押价值","——"))</f>
        <v>——</v>
      </c>
      <c r="B114" s="3295"/>
      <c r="C114" s="2819" t="str">
        <f>B101</f>
        <v>总价（元）</v>
      </c>
      <c r="D114" s="2820" t="str">
        <f>IF(A114="——","——",D106-D110-D111)</f>
        <v>——</v>
      </c>
      <c r="E114" s="1461"/>
      <c r="F114" s="3277" t="str">
        <f>IF(项目基本情况!G5="抵押净值",IF(OR(项目基本情况!F5="已注销",项目基本情况!F5="房地产抵押价值"),"4.抵押净值","5.抵押净值"),"——")</f>
        <v>——</v>
      </c>
      <c r="G114" s="3278"/>
      <c r="H114" s="2819" t="str">
        <f>C116</f>
        <v>总价（元）</v>
      </c>
      <c r="I114" s="2820" t="str">
        <f>IF(F114="——","——",O59)</f>
        <v>——</v>
      </c>
      <c r="J114" s="2862"/>
    </row>
    <row r="115" spans="1:16" ht="13.5" thickBot="1">
      <c r="A115" s="3294"/>
      <c r="B115" s="3295"/>
      <c r="C115" s="2819" t="s">
        <v>2772</v>
      </c>
      <c r="D115" s="52" t="str">
        <f>IF(A114="——","——",ROUND(IF(D114=D106,D107,IF(H19="元",D114/项目基本情况!C12,D114*10000/项目基本情况!C12)),0))</f>
        <v>——</v>
      </c>
      <c r="E115" s="1461"/>
      <c r="F115" s="3357"/>
      <c r="G115" s="3358"/>
      <c r="H115" s="2824" t="s">
        <v>2772</v>
      </c>
      <c r="I115" s="2808" t="str">
        <f ca="1">D117</f>
        <v>——</v>
      </c>
      <c r="J115" s="2846"/>
    </row>
    <row r="116" spans="1:16" ht="15.75">
      <c r="A116" s="3294" t="str">
        <f>IF(项目基本情况!G5="抵押净值",IF(OR(项目基本情况!F5="已注销",项目基本情况!F5="房地产抵押价值"),"4.抵押净值","5.抵押净值"),"——")</f>
        <v>——</v>
      </c>
      <c r="B116" s="3295"/>
      <c r="C116" s="2819" t="str">
        <f>B101</f>
        <v>总价（元）</v>
      </c>
      <c r="D116" s="2820" t="str">
        <f>IF(A116="——","——",O59)</f>
        <v>——</v>
      </c>
      <c r="E116" s="1461"/>
      <c r="F116" s="3272"/>
      <c r="G116" s="3272"/>
      <c r="H116" s="3313"/>
      <c r="I116" s="3313"/>
      <c r="J116" s="2866"/>
      <c r="O116" s="32"/>
      <c r="P116" s="32"/>
    </row>
    <row r="117" spans="1:16" ht="13.5" thickBot="1">
      <c r="A117" s="3363"/>
      <c r="B117" s="3364"/>
      <c r="C117" s="2824" t="s">
        <v>2772</v>
      </c>
      <c r="D117" s="2808" t="str">
        <f ca="1">IF(D116=D112,D113,IF(A116="——","——",O61))</f>
        <v>——</v>
      </c>
      <c r="E117" s="1461"/>
      <c r="F117" s="3356" t="str">
        <f>IF(B32="总价","（以上估价结果中单价为总价除以建筑面积得出）","（以上估价结果中总价为楼面单价乘以建筑面积得出）")</f>
        <v>（以上估价结果中总价为楼面单价乘以建筑面积得出）</v>
      </c>
      <c r="G117" s="3356"/>
      <c r="H117" s="3356"/>
      <c r="I117" s="3356"/>
      <c r="J117" s="2867"/>
      <c r="O117" s="32"/>
      <c r="P117" s="32"/>
    </row>
    <row r="118" spans="1:16" ht="15">
      <c r="A118" s="3314" t="s">
        <v>1874</v>
      </c>
      <c r="B118" s="3315"/>
      <c r="C118" s="3315"/>
      <c r="D118" s="3315"/>
      <c r="E118" s="3315"/>
      <c r="F118" s="3315"/>
      <c r="G118" s="3315"/>
      <c r="H118" s="3315"/>
      <c r="I118" s="3315"/>
      <c r="J118" s="2868"/>
    </row>
    <row r="119" spans="1:16" ht="12.75">
      <c r="A119" s="3287" t="s">
        <v>2790</v>
      </c>
      <c r="B119" s="3285" t="s">
        <v>2800</v>
      </c>
      <c r="C119" s="3285" t="s">
        <v>2801</v>
      </c>
      <c r="D119" s="3292" t="s">
        <v>2792</v>
      </c>
      <c r="E119" s="3293"/>
      <c r="F119" s="3283" t="s">
        <v>2802</v>
      </c>
      <c r="G119" s="3283"/>
      <c r="H119" s="3283" t="s">
        <v>2793</v>
      </c>
      <c r="I119" s="3284"/>
      <c r="J119" s="2846"/>
    </row>
    <row r="120" spans="1:16" ht="12.75">
      <c r="A120" s="3287"/>
      <c r="B120" s="3286"/>
      <c r="C120" s="3286"/>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118</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4059200</v>
      </c>
      <c r="I121" s="52">
        <f ca="1">ROUND(IF(B32="楼面单价",C32,IF(H19="元",H121/B121,H121*10000/B121)),0)</f>
        <v>34400</v>
      </c>
      <c r="J121" s="2846"/>
    </row>
    <row r="122" spans="1:16" ht="12.75">
      <c r="A122" s="3287" t="s">
        <v>2796</v>
      </c>
      <c r="B122" s="3283"/>
      <c r="C122" s="3283"/>
      <c r="D122" s="3318" t="e">
        <f ca="1">IF(H19="元",NUMBERSTRING(INT(D121),2)&amp;"元整",NUMBERSTRING(INT(D121*10000),2)&amp;"元整")</f>
        <v>#DIV/0!</v>
      </c>
      <c r="E122" s="3319"/>
      <c r="F122" s="3318" t="e">
        <f ca="1">IF(H19="元",NUMBERSTRING(INT(F121),2)&amp;"元整",NUMBERSTRING(INT(F121*10000),2)&amp;"元整")</f>
        <v>#DIV/0!</v>
      </c>
      <c r="G122" s="3319"/>
      <c r="H122" s="3318" t="str">
        <f ca="1">IF(H19="元",NUMBERSTRING(INT(H121),2)&amp;"元整",NUMBERSTRING(INT(H121*10000),2)&amp;"元整")</f>
        <v>肆佰零伍万玖仟贰佰元整</v>
      </c>
      <c r="I122" s="3367"/>
      <c r="J122" s="2869"/>
    </row>
    <row r="123" spans="1:16" ht="12.75">
      <c r="A123" s="3307" t="str">
        <f>IF(项目基本情况!D5="房地产市场价值","——",MID(A108,3,LEN(A108)-2))</f>
        <v>估价师所知悉的法定优先受偿款</v>
      </c>
      <c r="B123" s="3320"/>
      <c r="C123" s="3309"/>
      <c r="D123" s="3311">
        <f>I105</f>
        <v>0</v>
      </c>
      <c r="E123" s="3320"/>
      <c r="F123" s="3320"/>
      <c r="G123" s="3320"/>
      <c r="H123" s="3320"/>
      <c r="I123" s="3308"/>
      <c r="J123" s="2862"/>
    </row>
    <row r="124" spans="1:16" ht="12.75">
      <c r="A124" s="3321" t="s">
        <v>2796</v>
      </c>
      <c r="B124" s="3322"/>
      <c r="C124" s="3323"/>
      <c r="D124" s="3359">
        <f>H109</f>
        <v>0</v>
      </c>
      <c r="E124" s="3360"/>
      <c r="F124" s="3360"/>
      <c r="G124" s="3360"/>
      <c r="H124" s="3360"/>
      <c r="I124" s="3361"/>
      <c r="J124" s="2870"/>
    </row>
    <row r="125" spans="1:16" ht="12.75">
      <c r="A125" s="3294" t="str">
        <f>IF(项目基本情况!D5="房地产市场价值","——",MID(A112,3,LEN(A112)-2))</f>
        <v>房地产抵押价值</v>
      </c>
      <c r="B125" s="3295"/>
      <c r="C125" s="3295"/>
      <c r="D125" s="3311">
        <f ca="1">I110</f>
        <v>4059200</v>
      </c>
      <c r="E125" s="3320"/>
      <c r="F125" s="3320"/>
      <c r="G125" s="3320"/>
      <c r="H125" s="3320"/>
      <c r="I125" s="3308"/>
      <c r="J125" s="2862"/>
    </row>
    <row r="126" spans="1:16" ht="12.75">
      <c r="A126" s="3287" t="s">
        <v>2796</v>
      </c>
      <c r="B126" s="3283"/>
      <c r="C126" s="3283"/>
      <c r="D126" s="3359">
        <f ca="1">I111</f>
        <v>34400</v>
      </c>
      <c r="E126" s="3360"/>
      <c r="F126" s="3360"/>
      <c r="G126" s="3360"/>
      <c r="H126" s="3360"/>
      <c r="I126" s="3361"/>
      <c r="J126" s="2870"/>
    </row>
    <row r="127" spans="1:16" ht="13.5" thickBot="1">
      <c r="A127" s="3294" t="str">
        <f>IF(项目基本情况!D5="房地产市场价值","——",MID(A114,3,LEN(A114)-2))</f>
        <v/>
      </c>
      <c r="B127" s="3295"/>
      <c r="C127" s="3295"/>
      <c r="D127" s="3267" t="str">
        <f>I112</f>
        <v>——</v>
      </c>
      <c r="E127" s="3268"/>
      <c r="F127" s="3268"/>
      <c r="G127" s="3268"/>
      <c r="H127" s="3268"/>
      <c r="I127" s="3269"/>
      <c r="J127" s="2862"/>
    </row>
    <row r="128" spans="1:16" ht="14.25" thickTop="1" thickBot="1">
      <c r="A128" s="3287" t="s">
        <v>2796</v>
      </c>
      <c r="B128" s="3283"/>
      <c r="C128" s="3334"/>
      <c r="D128" s="3312" t="str">
        <f>I113</f>
        <v>——</v>
      </c>
      <c r="E128" s="3312"/>
      <c r="F128" s="3312"/>
      <c r="G128" s="3312"/>
      <c r="H128" s="3312"/>
      <c r="I128" s="3312"/>
      <c r="J128" s="2870"/>
    </row>
    <row r="129" spans="1:10" ht="14.25" thickTop="1" thickBot="1">
      <c r="A129" s="3294" t="str">
        <f>IF(项目基本情况!D5="房地产市场价值","——",MID(F114,3,LEN(F114)-2))</f>
        <v/>
      </c>
      <c r="B129" s="3295"/>
      <c r="C129" s="3311"/>
      <c r="D129" s="3362" t="str">
        <f>I114</f>
        <v>——</v>
      </c>
      <c r="E129" s="3362"/>
      <c r="F129" s="3362"/>
      <c r="G129" s="3362"/>
      <c r="H129" s="3362"/>
      <c r="I129" s="3362"/>
      <c r="J129" s="2862"/>
    </row>
    <row r="130" spans="1:10" ht="14.25" thickTop="1" thickBot="1">
      <c r="A130" s="3350" t="s">
        <v>2796</v>
      </c>
      <c r="B130" s="3351"/>
      <c r="C130" s="3351"/>
      <c r="D130" s="3368">
        <f>H116</f>
        <v>0</v>
      </c>
      <c r="E130" s="3369"/>
      <c r="F130" s="3369"/>
      <c r="G130" s="3369"/>
      <c r="H130" s="3369"/>
      <c r="I130" s="3370"/>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55" t="str">
        <f>IF(B32="总价","（以上估价结果中楼面单价为总价除以建筑面积得出）","（以上估价结果中总价为楼面单价乘以建筑面积得出）")</f>
        <v>（以上估价结果中总价为楼面单价乘以建筑面积得出）</v>
      </c>
      <c r="B132" s="3355"/>
      <c r="C132" s="3355"/>
      <c r="D132" s="3355"/>
      <c r="E132" s="3355"/>
      <c r="F132" s="3355"/>
      <c r="G132" s="3355"/>
      <c r="H132" s="3355"/>
      <c r="I132" s="3355"/>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77" t="s">
        <v>1883</v>
      </c>
      <c r="B2" s="3377"/>
      <c r="C2" s="3377"/>
      <c r="D2" s="3377"/>
      <c r="E2" s="3377"/>
      <c r="F2" s="3377"/>
      <c r="G2" s="3377"/>
      <c r="H2" s="3377"/>
      <c r="I2" s="3377"/>
      <c r="J2" s="2875"/>
    </row>
    <row r="3" spans="1:15" ht="12.75">
      <c r="A3" s="3337" t="s">
        <v>1711</v>
      </c>
      <c r="B3" s="3338"/>
      <c r="C3" s="3338"/>
      <c r="D3" s="3338"/>
      <c r="E3" s="3338"/>
      <c r="F3" s="3338"/>
      <c r="G3" s="3338"/>
      <c r="H3" s="3338"/>
      <c r="I3" s="3338"/>
      <c r="J3" s="2845"/>
    </row>
    <row r="4" spans="1:15" ht="14.25">
      <c r="A4" s="2713" t="s">
        <v>1712</v>
      </c>
      <c r="B4" s="2713" t="s">
        <v>1713</v>
      </c>
      <c r="C4" s="2714"/>
      <c r="D4" s="2714"/>
      <c r="E4" s="3334" t="s">
        <v>1884</v>
      </c>
      <c r="F4" s="3322"/>
      <c r="G4" s="3322"/>
      <c r="H4" s="3322"/>
      <c r="I4" s="3323"/>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3" t="s">
        <v>1715</v>
      </c>
      <c r="B5" s="3333">
        <v>25</v>
      </c>
      <c r="C5" s="3339"/>
      <c r="D5" s="3336"/>
      <c r="E5" s="12" t="s">
        <v>1716</v>
      </c>
      <c r="F5" s="2089"/>
      <c r="G5" s="2089"/>
      <c r="H5" s="2089"/>
      <c r="I5" s="2084"/>
      <c r="J5" s="2846"/>
    </row>
    <row r="6" spans="1:15" ht="12.75">
      <c r="A6" s="3333"/>
      <c r="B6" s="3333"/>
      <c r="C6" s="3340"/>
      <c r="D6" s="3336"/>
      <c r="E6" s="12" t="s">
        <v>1717</v>
      </c>
      <c r="F6" s="2089"/>
      <c r="G6" s="2089"/>
      <c r="H6" s="2089"/>
      <c r="I6" s="2084"/>
      <c r="J6" s="2846"/>
    </row>
    <row r="7" spans="1:15" ht="12.75">
      <c r="A7" s="3333"/>
      <c r="B7" s="3333"/>
      <c r="C7" s="3341"/>
      <c r="D7" s="3336"/>
      <c r="E7" s="12" t="s">
        <v>1718</v>
      </c>
      <c r="F7" s="2089"/>
      <c r="G7" s="2089"/>
      <c r="H7" s="2089"/>
      <c r="I7" s="2084"/>
      <c r="J7" s="2846"/>
    </row>
    <row r="8" spans="1:15" ht="12.75">
      <c r="A8" s="3333" t="s">
        <v>1719</v>
      </c>
      <c r="B8" s="3333">
        <v>15</v>
      </c>
      <c r="C8" s="3339"/>
      <c r="D8" s="3336"/>
      <c r="E8" s="12" t="s">
        <v>1720</v>
      </c>
      <c r="F8" s="2089"/>
      <c r="G8" s="2089"/>
      <c r="H8" s="2089"/>
      <c r="I8" s="2084"/>
      <c r="J8" s="2846"/>
    </row>
    <row r="9" spans="1:15" ht="12.75">
      <c r="A9" s="3333"/>
      <c r="B9" s="3333"/>
      <c r="C9" s="3341"/>
      <c r="D9" s="3336"/>
      <c r="E9" s="12" t="s">
        <v>1721</v>
      </c>
      <c r="F9" s="2089"/>
      <c r="G9" s="2089"/>
      <c r="H9" s="2089"/>
      <c r="I9" s="2084"/>
      <c r="J9" s="2846"/>
    </row>
    <row r="10" spans="1:15" ht="12.75">
      <c r="A10" s="3333" t="s">
        <v>1722</v>
      </c>
      <c r="B10" s="3333">
        <v>15</v>
      </c>
      <c r="C10" s="3339"/>
      <c r="D10" s="3336"/>
      <c r="E10" s="12" t="s">
        <v>1723</v>
      </c>
      <c r="F10" s="2089"/>
      <c r="G10" s="2089"/>
      <c r="H10" s="2089"/>
      <c r="I10" s="2084"/>
      <c r="J10" s="2846"/>
    </row>
    <row r="11" spans="1:15" ht="12.75">
      <c r="A11" s="3333"/>
      <c r="B11" s="3333"/>
      <c r="C11" s="3341"/>
      <c r="D11" s="3336"/>
      <c r="E11" s="12" t="s">
        <v>1724</v>
      </c>
      <c r="F11" s="2089"/>
      <c r="G11" s="2089"/>
      <c r="H11" s="2089"/>
      <c r="I11" s="2084"/>
      <c r="J11" s="2846"/>
    </row>
    <row r="12" spans="1:15" ht="12.75">
      <c r="A12" s="3333" t="s">
        <v>1725</v>
      </c>
      <c r="B12" s="3333">
        <v>15</v>
      </c>
      <c r="C12" s="3339"/>
      <c r="D12" s="3336"/>
      <c r="E12" s="12" t="s">
        <v>1726</v>
      </c>
      <c r="F12" s="2089"/>
      <c r="G12" s="2089"/>
      <c r="H12" s="2089"/>
      <c r="I12" s="2084"/>
      <c r="J12" s="2846"/>
    </row>
    <row r="13" spans="1:15" ht="12.75">
      <c r="A13" s="3333"/>
      <c r="B13" s="3333"/>
      <c r="C13" s="3341"/>
      <c r="D13" s="3336"/>
      <c r="E13" s="12" t="s">
        <v>1727</v>
      </c>
      <c r="F13" s="2089"/>
      <c r="G13" s="2089"/>
      <c r="H13" s="2089"/>
      <c r="I13" s="2084"/>
      <c r="J13" s="2846"/>
    </row>
    <row r="14" spans="1:15" ht="12.75">
      <c r="A14" s="3333" t="s">
        <v>1728</v>
      </c>
      <c r="B14" s="3333">
        <v>30</v>
      </c>
      <c r="C14" s="3339"/>
      <c r="D14" s="3336"/>
      <c r="E14" s="12" t="s">
        <v>1729</v>
      </c>
      <c r="F14" s="2089"/>
      <c r="G14" s="2089"/>
      <c r="H14" s="2089"/>
      <c r="I14" s="2084"/>
      <c r="J14" s="2846"/>
    </row>
    <row r="15" spans="1:15" ht="12.75">
      <c r="A15" s="3333"/>
      <c r="B15" s="3333"/>
      <c r="C15" s="3340"/>
      <c r="D15" s="3336"/>
      <c r="E15" s="12" t="s">
        <v>1730</v>
      </c>
      <c r="F15" s="2089"/>
      <c r="G15" s="2089"/>
      <c r="H15" s="2089"/>
      <c r="I15" s="2084"/>
      <c r="J15" s="2846"/>
    </row>
    <row r="16" spans="1:15" ht="12.75">
      <c r="A16" s="3333"/>
      <c r="B16" s="3333"/>
      <c r="C16" s="3341"/>
      <c r="D16" s="3336"/>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353" t="s">
        <v>2815</v>
      </c>
      <c r="F18" s="3354"/>
      <c r="G18" s="3354"/>
      <c r="H18" s="3354"/>
      <c r="I18" s="3354"/>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2" t="s">
        <v>1740</v>
      </c>
      <c r="B24" s="2721" t="s">
        <v>1735</v>
      </c>
      <c r="C24" s="2724">
        <f>D30</f>
        <v>0</v>
      </c>
      <c r="D24" s="2676"/>
      <c r="E24" s="947"/>
      <c r="F24" s="947"/>
      <c r="G24" s="947"/>
      <c r="H24" s="947"/>
      <c r="I24" s="947"/>
      <c r="J24" s="2847"/>
    </row>
    <row r="25" spans="1:36" ht="21.75" customHeight="1">
      <c r="A25" s="3343"/>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9" t="s">
        <v>1887</v>
      </c>
      <c r="B32" s="3399"/>
      <c r="C32" s="3399"/>
      <c r="D32" s="3399"/>
      <c r="E32" s="3399"/>
      <c r="F32" s="3399"/>
      <c r="G32" s="3399"/>
      <c r="H32" s="3399"/>
      <c r="I32" s="3399"/>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342" t="s">
        <v>1896</v>
      </c>
      <c r="B38" s="1468" t="s">
        <v>1897</v>
      </c>
      <c r="C38" s="2757"/>
      <c r="D38" s="2758"/>
      <c r="E38" s="1680"/>
      <c r="F38" s="1680"/>
      <c r="G38" s="947"/>
      <c r="H38" s="947"/>
      <c r="I38" s="947"/>
      <c r="J38" s="2847"/>
    </row>
    <row r="39" spans="1:16" ht="15.75" thickBot="1">
      <c r="A39" s="3347"/>
      <c r="B39" s="2094" t="s">
        <v>1898</v>
      </c>
      <c r="C39" s="2759"/>
      <c r="D39" s="1311"/>
      <c r="E39" s="1311"/>
      <c r="F39" s="1680"/>
      <c r="G39" s="1311"/>
      <c r="H39" s="1311"/>
      <c r="I39" s="1311"/>
      <c r="J39" s="2851"/>
    </row>
    <row r="40" spans="1:16" ht="15.75" thickBot="1">
      <c r="A40" s="3348"/>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267" t="s">
        <v>1909</v>
      </c>
      <c r="B47" s="3268"/>
      <c r="C47" s="3278"/>
      <c r="D47" s="246">
        <f>ROUND(I104*F47,0)</f>
        <v>0</v>
      </c>
      <c r="E47" s="1542" t="s">
        <v>1910</v>
      </c>
      <c r="F47" s="2561">
        <v>1</v>
      </c>
      <c r="G47" s="2562" t="s">
        <v>1911</v>
      </c>
      <c r="H47" s="947"/>
      <c r="I47" s="947"/>
      <c r="J47" s="2847"/>
      <c r="K47" s="3372" t="s">
        <v>1767</v>
      </c>
      <c r="L47" s="3372"/>
      <c r="M47" s="3372"/>
      <c r="N47" s="3372"/>
      <c r="O47" s="3372"/>
      <c r="P47" s="3372"/>
    </row>
    <row r="48" spans="1:16" ht="14.25" customHeight="1">
      <c r="A48" s="3344" t="s">
        <v>1768</v>
      </c>
      <c r="B48" s="3345"/>
      <c r="C48" s="3345"/>
      <c r="D48" s="3345"/>
      <c r="E48" s="3345"/>
      <c r="F48" s="3345"/>
      <c r="G48" s="3346"/>
      <c r="H48" s="2979"/>
      <c r="I48" s="947"/>
      <c r="J48" s="2847"/>
      <c r="K48" s="2513">
        <v>1</v>
      </c>
      <c r="L48" s="3373" t="s">
        <v>1769</v>
      </c>
      <c r="M48" s="3373"/>
      <c r="N48" s="3374"/>
      <c r="O48" s="3374"/>
      <c r="P48" s="3374"/>
    </row>
    <row r="49" spans="1:17" ht="12" customHeight="1">
      <c r="A49" s="38" t="s">
        <v>1770</v>
      </c>
      <c r="B49" s="39"/>
      <c r="C49" s="40"/>
      <c r="D49" s="1099" t="s">
        <v>1771</v>
      </c>
      <c r="E49" s="235" t="s">
        <v>1772</v>
      </c>
      <c r="F49" s="41" t="s">
        <v>1773</v>
      </c>
      <c r="G49" s="2564" t="s">
        <v>1774</v>
      </c>
      <c r="H49" s="2979"/>
      <c r="I49" s="947"/>
      <c r="J49" s="2847"/>
      <c r="K49" s="2513">
        <v>2</v>
      </c>
      <c r="L49" s="3373" t="s">
        <v>1775</v>
      </c>
      <c r="M49" s="3373"/>
      <c r="N49" s="3376">
        <f>'数据-取费表'!B2</f>
        <v>41829</v>
      </c>
      <c r="O49" s="3376"/>
      <c r="P49" s="3376"/>
    </row>
    <row r="50" spans="1:17" ht="25.5">
      <c r="A50" s="3349" t="s">
        <v>1776</v>
      </c>
      <c r="B50" s="3283"/>
      <c r="C50" s="3283"/>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373" t="s">
        <v>1779</v>
      </c>
      <c r="M50" s="3373"/>
      <c r="N50" s="3378">
        <f>I104</f>
        <v>0</v>
      </c>
      <c r="O50" s="3378"/>
      <c r="P50" s="3378"/>
    </row>
    <row r="51" spans="1:17" ht="25.5" customHeight="1">
      <c r="A51" s="2091" t="s">
        <v>1780</v>
      </c>
      <c r="B51" s="3322" t="s">
        <v>1781</v>
      </c>
      <c r="C51" s="3322"/>
      <c r="D51" s="2568">
        <v>0</v>
      </c>
      <c r="E51" s="261" t="s">
        <v>1782</v>
      </c>
      <c r="F51" s="2569" t="s">
        <v>48</v>
      </c>
      <c r="G51" s="3264"/>
      <c r="H51" s="2570" t="s">
        <v>2739</v>
      </c>
      <c r="I51" s="2571"/>
      <c r="J51" s="2855"/>
      <c r="K51" s="2513">
        <v>4</v>
      </c>
      <c r="L51" s="3373" t="str">
        <f>IF(项目基本情况!F5="房地产抵押价值","房地产抵押价值","抵押担保权已注销时的房地产抵押价值")</f>
        <v>抵押担保权已注销时的房地产抵押价值</v>
      </c>
      <c r="M51" s="3373"/>
      <c r="N51" s="3378" t="str">
        <f>IF(项目基本情况!F5="房地产抵押价值",I112,I114)</f>
        <v>——</v>
      </c>
      <c r="O51" s="3378"/>
      <c r="P51" s="3378"/>
    </row>
    <row r="52" spans="1:17" ht="25.5" customHeight="1">
      <c r="A52" s="2081"/>
      <c r="B52" s="3322" t="s">
        <v>1783</v>
      </c>
      <c r="C52" s="3322"/>
      <c r="D52" s="2572"/>
      <c r="E52" s="269"/>
      <c r="F52" s="2569"/>
      <c r="G52" s="3265"/>
      <c r="H52" s="2573" t="s">
        <v>2740</v>
      </c>
      <c r="I52" s="2571"/>
      <c r="J52" s="2855"/>
      <c r="K52" s="3373" t="s">
        <v>1784</v>
      </c>
      <c r="L52" s="3373"/>
      <c r="M52" s="3373"/>
      <c r="N52" s="3373"/>
      <c r="O52" s="3373"/>
      <c r="P52" s="3373"/>
    </row>
    <row r="53" spans="1:17" ht="20.45" customHeight="1">
      <c r="A53" s="2574"/>
      <c r="B53" s="3322" t="s">
        <v>1785</v>
      </c>
      <c r="C53" s="3322"/>
      <c r="D53" s="1099"/>
      <c r="E53" s="264"/>
      <c r="F53" s="2569"/>
      <c r="G53" s="3266"/>
      <c r="H53" s="2573" t="s">
        <v>2741</v>
      </c>
      <c r="I53" s="2571"/>
      <c r="J53" s="2855"/>
      <c r="K53" s="2514" t="s">
        <v>1786</v>
      </c>
      <c r="L53" s="3373" t="s">
        <v>1787</v>
      </c>
      <c r="M53" s="3373"/>
      <c r="N53" s="2514" t="s">
        <v>1788</v>
      </c>
      <c r="O53" s="2514" t="s">
        <v>1789</v>
      </c>
      <c r="P53" s="2514" t="s">
        <v>1790</v>
      </c>
    </row>
    <row r="54" spans="1:17" ht="24" customHeight="1">
      <c r="A54" s="2082" t="s">
        <v>1791</v>
      </c>
      <c r="B54" s="3322" t="s">
        <v>1792</v>
      </c>
      <c r="C54" s="3322"/>
      <c r="D54" s="1099">
        <f>ROUND(D47*'数据-取费表'!E29/(1+'数据-取费表'!F30),0)</f>
        <v>0</v>
      </c>
      <c r="E54" s="2092" t="s">
        <v>1793</v>
      </c>
      <c r="F54" s="2575">
        <f>'数据-取费表'!E29</f>
        <v>5.6000000000000001E-2</v>
      </c>
      <c r="G54" s="2576"/>
      <c r="H54" s="947"/>
      <c r="I54" s="2980"/>
      <c r="J54" s="2855"/>
      <c r="K54" s="2513">
        <v>1</v>
      </c>
      <c r="L54" s="3375" t="s">
        <v>1794</v>
      </c>
      <c r="M54" s="3375"/>
      <c r="N54" s="2515">
        <f>D50</f>
        <v>0</v>
      </c>
      <c r="O54" s="2513" t="str">
        <f>E50</f>
        <v>销售额×税（费）率</v>
      </c>
      <c r="P54" s="2516">
        <f>F50</f>
        <v>5.6000000000000001E-2</v>
      </c>
    </row>
    <row r="55" spans="1:17" ht="12" customHeight="1">
      <c r="A55" s="2082" t="s">
        <v>1795</v>
      </c>
      <c r="B55" s="3334" t="s">
        <v>2833</v>
      </c>
      <c r="C55" s="3323"/>
      <c r="D55" s="1099">
        <f>ROUND(D47*'数据-取费表'!E29/(1+'数据-取费表'!F30),0)</f>
        <v>0</v>
      </c>
      <c r="E55" s="2092" t="s">
        <v>1793</v>
      </c>
      <c r="F55" s="2575">
        <f>'数据-取费表'!E29</f>
        <v>5.6000000000000001E-2</v>
      </c>
      <c r="G55" s="2576"/>
      <c r="H55" s="947"/>
      <c r="I55" s="2980"/>
      <c r="J55" s="2855"/>
      <c r="K55" s="2513">
        <v>2</v>
      </c>
      <c r="L55" s="3375" t="s">
        <v>1796</v>
      </c>
      <c r="M55" s="3375"/>
      <c r="N55" s="2515">
        <f t="shared" ref="N55:P56" si="1">D57</f>
        <v>0</v>
      </c>
      <c r="O55" s="2513" t="str">
        <f t="shared" si="1"/>
        <v>销售额×税（费）率</v>
      </c>
      <c r="P55" s="2516">
        <f t="shared" si="1"/>
        <v>5.0000000000000001E-4</v>
      </c>
    </row>
    <row r="56" spans="1:17" ht="12" customHeight="1">
      <c r="A56" s="2082" t="s">
        <v>1797</v>
      </c>
      <c r="B56" s="3334" t="s">
        <v>2834</v>
      </c>
      <c r="C56" s="3323"/>
      <c r="D56" s="1099">
        <f>C70</f>
        <v>0</v>
      </c>
      <c r="E56" s="264" t="s">
        <v>1798</v>
      </c>
      <c r="F56" s="2575">
        <f>'数据-取费表'!E29</f>
        <v>5.6000000000000001E-2</v>
      </c>
      <c r="G56" s="2576"/>
      <c r="H56" s="2981"/>
      <c r="I56" s="2980"/>
      <c r="J56" s="2855"/>
      <c r="K56" s="2513">
        <v>3</v>
      </c>
      <c r="L56" s="3375" t="s">
        <v>1799</v>
      </c>
      <c r="M56" s="3375"/>
      <c r="N56" s="2515">
        <f t="shared" si="1"/>
        <v>0</v>
      </c>
      <c r="O56" s="2513" t="str">
        <f t="shared" si="1"/>
        <v>增值额×税（费）率</v>
      </c>
      <c r="P56" s="2517" t="str">
        <f t="shared" si="1"/>
        <v>——</v>
      </c>
    </row>
    <row r="57" spans="1:17" ht="24" customHeight="1">
      <c r="A57" s="3287" t="s">
        <v>1800</v>
      </c>
      <c r="B57" s="3283"/>
      <c r="C57" s="3283"/>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75" t="str">
        <f>IF(H61="非个人房产","——","个人所得税")</f>
        <v>个人所得税</v>
      </c>
      <c r="M57" s="3375"/>
      <c r="N57" s="2518">
        <f>D61</f>
        <v>0</v>
      </c>
      <c r="O57" s="2519" t="str">
        <f>E61</f>
        <v>销售额×税（费）率</v>
      </c>
      <c r="P57" s="2520">
        <f>F61</f>
        <v>0.01</v>
      </c>
    </row>
    <row r="58" spans="1:17" ht="24.75">
      <c r="A58" s="3287" t="s">
        <v>1803</v>
      </c>
      <c r="B58" s="3283"/>
      <c r="C58" s="3283"/>
      <c r="D58" s="12">
        <f>IF(H58="个人住宅",D59,D60)</f>
        <v>0</v>
      </c>
      <c r="E58" s="2092" t="s">
        <v>1804</v>
      </c>
      <c r="F58" s="2575" t="str">
        <f>IF(H58="正常",F60,"免征")</f>
        <v>——</v>
      </c>
      <c r="G58" s="2577" t="s">
        <v>1805</v>
      </c>
      <c r="H58" s="2578" t="s">
        <v>1802</v>
      </c>
      <c r="I58" s="2982"/>
      <c r="J58" s="2855"/>
      <c r="K58" s="2513" t="str">
        <f>IF(项目基本情况!I6="上海银行",IF(K57="",4,K57+1),"")</f>
        <v/>
      </c>
      <c r="L58" s="3379" t="str">
        <f>IF(项目基本情况!I6="上海银行","其他处置费用","")</f>
        <v/>
      </c>
      <c r="M58" s="3384"/>
      <c r="N58" s="2515" t="str">
        <f>IF(项目基本情况!I6="上海银行",N71,"")</f>
        <v/>
      </c>
      <c r="O58" s="3379" t="str">
        <f>IF(项目基本情况!I6="上海银行","包含处置中涉及的律师、诉讼、拍卖、评估等费用","")</f>
        <v/>
      </c>
      <c r="P58" s="3380"/>
    </row>
    <row r="59" spans="1:17" ht="12.75">
      <c r="A59" s="2082" t="s">
        <v>1780</v>
      </c>
      <c r="B59" s="3334" t="s">
        <v>1806</v>
      </c>
      <c r="C59" s="3323"/>
      <c r="D59" s="2568">
        <v>0</v>
      </c>
      <c r="E59" s="261" t="s">
        <v>1782</v>
      </c>
      <c r="F59" s="235"/>
      <c r="G59" s="2576"/>
      <c r="H59" s="2982"/>
      <c r="I59" s="2982"/>
      <c r="J59" s="2855"/>
      <c r="K59" s="3375">
        <f>IF(AND(K57="",K58=""),4,IF(项目基本情况!I6="上海银行",K58+1,K57+1))</f>
        <v>5</v>
      </c>
      <c r="L59" s="3375" t="s">
        <v>1807</v>
      </c>
      <c r="M59" s="2521" t="s">
        <v>1808</v>
      </c>
      <c r="N59" s="2522"/>
      <c r="O59" s="2523">
        <f>SUMIF(N54:N58,"&lt;9e307")</f>
        <v>0</v>
      </c>
      <c r="P59" s="2524"/>
      <c r="Q59" s="1306" t="e">
        <f>O59/N51</f>
        <v>#VALUE!</v>
      </c>
    </row>
    <row r="60" spans="1:17" ht="24.75">
      <c r="A60" s="2082" t="s">
        <v>1791</v>
      </c>
      <c r="B60" s="3334" t="s">
        <v>1809</v>
      </c>
      <c r="C60" s="3322"/>
      <c r="D60" s="12">
        <f>IF(H60="转让取得",C83,C99)</f>
        <v>0</v>
      </c>
      <c r="E60" s="2092" t="s">
        <v>1804</v>
      </c>
      <c r="F60" s="235" t="s">
        <v>48</v>
      </c>
      <c r="G60" s="2576"/>
      <c r="H60" s="2578" t="s">
        <v>1810</v>
      </c>
      <c r="I60" s="2982"/>
      <c r="J60" s="2855"/>
      <c r="K60" s="3375"/>
      <c r="L60" s="3375"/>
      <c r="M60" s="2521" t="s">
        <v>1811</v>
      </c>
      <c r="N60" s="2525"/>
      <c r="O60" s="2526" t="str">
        <f>IF(H19="元",NUMBERSTRING(INT(O59),2)&amp;"元整",NUMBERSTRING(INT(O59*10000),2)&amp;"元整")</f>
        <v>零元整</v>
      </c>
      <c r="P60" s="2527"/>
    </row>
    <row r="61" spans="1:17" ht="26.25" thickBot="1">
      <c r="A61" s="3350" t="s">
        <v>1812</v>
      </c>
      <c r="B61" s="3351"/>
      <c r="C61" s="3351"/>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381">
        <f>K59+1</f>
        <v>6</v>
      </c>
      <c r="L61" s="3375" t="s">
        <v>1813</v>
      </c>
      <c r="M61" s="2513" t="s">
        <v>1808</v>
      </c>
      <c r="N61" s="2528"/>
      <c r="O61" s="2529" t="e">
        <f>N51-O59</f>
        <v>#VALUE!</v>
      </c>
      <c r="P61" s="2530"/>
    </row>
    <row r="62" spans="1:17" ht="12" customHeight="1">
      <c r="A62" s="1457"/>
      <c r="B62" s="2563"/>
      <c r="C62" s="2563"/>
      <c r="D62" s="2563"/>
      <c r="E62" s="1457"/>
      <c r="F62" s="2982"/>
      <c r="G62" s="2982"/>
      <c r="H62" s="2977"/>
      <c r="I62" s="947"/>
      <c r="J62" s="2855"/>
      <c r="K62" s="3382"/>
      <c r="L62" s="3375"/>
      <c r="M62" s="2521" t="s">
        <v>1811</v>
      </c>
      <c r="N62" s="2525"/>
      <c r="O62" s="2526" t="e">
        <f>IF(H19="元",NUMBERSTRING(INT(O61),2)&amp;"元整",NUMBERSTRING(INT(O61*10000),2)&amp;"元整")</f>
        <v>#VALUE!</v>
      </c>
      <c r="P62" s="2527"/>
    </row>
    <row r="63" spans="1:17" ht="13.5" thickBot="1">
      <c r="A63" s="3383" t="s">
        <v>1814</v>
      </c>
      <c r="B63" s="3383"/>
      <c r="C63" s="3383"/>
      <c r="D63" s="3383"/>
      <c r="E63" s="3383"/>
      <c r="F63" s="2982"/>
      <c r="G63" s="2982"/>
      <c r="H63" s="2977"/>
      <c r="I63" s="947"/>
      <c r="J63" s="2847"/>
      <c r="K63" s="2513">
        <f>K61+1</f>
        <v>7</v>
      </c>
      <c r="L63" s="3375" t="s">
        <v>1815</v>
      </c>
      <c r="M63" s="3375"/>
      <c r="N63" s="2531"/>
      <c r="O63" s="2532" t="e">
        <f>IF(H19="元",ROUND(O61/项目基本情况!C12,0),ROUND(O61*10000/项目基本情况!C12,0))</f>
        <v>#VALUE!</v>
      </c>
      <c r="P63" s="2533"/>
    </row>
    <row r="64" spans="1:17" ht="12.75">
      <c r="A64" s="3301" t="s">
        <v>1816</v>
      </c>
      <c r="B64" s="3302"/>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71"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371"/>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371"/>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371"/>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371"/>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371"/>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71"/>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8" t="s">
        <v>1836</v>
      </c>
      <c r="B72" s="3389"/>
      <c r="C72" s="3389"/>
      <c r="D72" s="3389"/>
      <c r="E72" s="3389"/>
      <c r="F72" s="3389"/>
      <c r="G72" s="3389"/>
      <c r="H72" s="3389"/>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1" t="s">
        <v>1816</v>
      </c>
      <c r="B73" s="3302"/>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334" t="s">
        <v>1846</v>
      </c>
      <c r="F78" s="3322"/>
      <c r="G78" s="3322"/>
      <c r="H78" s="3335"/>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270" t="s">
        <v>1851</v>
      </c>
      <c r="F80" s="3271"/>
      <c r="G80" s="3271"/>
      <c r="H80" s="3291"/>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8" t="s">
        <v>1855</v>
      </c>
      <c r="B85" s="3389"/>
      <c r="C85" s="3389"/>
      <c r="D85" s="3389"/>
      <c r="E85" s="3389"/>
      <c r="F85" s="3389"/>
      <c r="G85" s="3389"/>
      <c r="H85" s="3389"/>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1" t="s">
        <v>1816</v>
      </c>
      <c r="B86" s="3302"/>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10" t="s">
        <v>2733</v>
      </c>
      <c r="H92" s="3390"/>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70" t="s">
        <v>1863</v>
      </c>
      <c r="F93" s="3271"/>
      <c r="G93" s="3271"/>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70" t="s">
        <v>1866</v>
      </c>
      <c r="F94" s="3271"/>
      <c r="G94" s="3271"/>
      <c r="H94" s="3291"/>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270" t="s">
        <v>1851</v>
      </c>
      <c r="F95" s="3271"/>
      <c r="G95" s="3271"/>
      <c r="H95" s="3291"/>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70" t="s">
        <v>1868</v>
      </c>
      <c r="F96" s="3271"/>
      <c r="G96" s="3271"/>
      <c r="H96" s="3291"/>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288" t="s">
        <v>1870</v>
      </c>
      <c r="B101" s="3289"/>
      <c r="C101" s="3289"/>
      <c r="D101" s="3290"/>
      <c r="E101" s="1461"/>
      <c r="F101" s="3385" t="s">
        <v>2775</v>
      </c>
      <c r="G101" s="3386"/>
      <c r="H101" s="3386"/>
      <c r="I101" s="3387"/>
      <c r="J101" s="2882"/>
    </row>
    <row r="102" spans="1:36" ht="15">
      <c r="A102" s="3305" t="s">
        <v>1872</v>
      </c>
      <c r="B102" s="3306"/>
      <c r="C102" s="2805">
        <f>C4</f>
        <v>0</v>
      </c>
      <c r="D102" s="2806">
        <f>D4</f>
        <v>0</v>
      </c>
      <c r="E102" s="1461"/>
      <c r="F102" s="3307" t="s">
        <v>2776</v>
      </c>
      <c r="G102" s="3309"/>
      <c r="H102" s="3320" t="s">
        <v>2777</v>
      </c>
      <c r="I102" s="3308"/>
      <c r="J102" s="2862"/>
    </row>
    <row r="103" spans="1:36" ht="12.75">
      <c r="A103" s="3391" t="s">
        <v>2771</v>
      </c>
      <c r="B103" s="2307" t="str">
        <f>IF(H19="元","总价（元）","总价（万元）")</f>
        <v>总价（元）</v>
      </c>
      <c r="C103" s="1307" t="e">
        <f ca="1">C19</f>
        <v>#REF!</v>
      </c>
      <c r="D103" s="2809" t="e">
        <f ca="1">D19</f>
        <v>#REF!</v>
      </c>
      <c r="E103" s="1461"/>
      <c r="F103" s="3392"/>
      <c r="G103" s="3393"/>
      <c r="H103" s="3311">
        <f>典型户型修正!B25</f>
        <v>0</v>
      </c>
      <c r="I103" s="3308"/>
      <c r="J103" s="2862"/>
    </row>
    <row r="104" spans="1:36" ht="12.75">
      <c r="A104" s="3391"/>
      <c r="B104" s="2307" t="s">
        <v>2772</v>
      </c>
      <c r="C104" s="2810" t="e">
        <f ca="1">C20</f>
        <v>#REF!</v>
      </c>
      <c r="D104" s="2811" t="e">
        <f ca="1">D20</f>
        <v>#REF!</v>
      </c>
      <c r="E104" s="1461"/>
      <c r="F104" s="3294" t="s">
        <v>2778</v>
      </c>
      <c r="G104" s="3295"/>
      <c r="H104" s="2819" t="str">
        <f>C110</f>
        <v>总价（元）</v>
      </c>
      <c r="I104" s="2820">
        <f>H125</f>
        <v>0</v>
      </c>
      <c r="J104" s="2862"/>
    </row>
    <row r="105" spans="1:36" ht="12.75">
      <c r="A105" s="3391" t="s">
        <v>2773</v>
      </c>
      <c r="B105" s="2245" t="str">
        <f>B103</f>
        <v>总价（元）</v>
      </c>
      <c r="C105" s="12" t="e">
        <f ca="1">ROUND(IF('数据-取费表'!B4="总价",G19,IF(H19="元",G20*'数据-取费表'!E5,G20*'数据-取费表'!E5/10000)),0)</f>
        <v>#REF!</v>
      </c>
      <c r="D105" s="2812"/>
      <c r="E105" s="1461"/>
      <c r="F105" s="3294"/>
      <c r="G105" s="3295"/>
      <c r="H105" s="2819" t="s">
        <v>2779</v>
      </c>
      <c r="I105" s="52" t="e">
        <f>I125</f>
        <v>#DIV/0!</v>
      </c>
      <c r="J105" s="2846"/>
    </row>
    <row r="106" spans="1:36" ht="12.75">
      <c r="A106" s="3391"/>
      <c r="B106" s="2307" t="s">
        <v>2772</v>
      </c>
      <c r="C106" s="1481" t="e">
        <f ca="1">ROUND(IF('数据-取费表'!B4="楼面单价",G20,IF(H19="元",G19/'数据-取费表'!E5,G19*10000/'数据-取费表'!E5)),0)</f>
        <v>#REF!</v>
      </c>
      <c r="D106" s="2812"/>
      <c r="E106" s="1461"/>
      <c r="F106" s="3294"/>
      <c r="G106" s="3295"/>
      <c r="H106" s="3326"/>
      <c r="I106" s="3327"/>
      <c r="J106" s="2863"/>
    </row>
    <row r="107" spans="1:36" ht="12.75">
      <c r="A107" s="3398" t="s">
        <v>2774</v>
      </c>
      <c r="B107" s="2813" t="str">
        <f>B103</f>
        <v>总价（元）</v>
      </c>
      <c r="C107" s="2814">
        <f>H125</f>
        <v>0</v>
      </c>
      <c r="D107" s="2815"/>
      <c r="E107" s="1461"/>
      <c r="F107" s="3330" t="s">
        <v>2780</v>
      </c>
      <c r="G107" s="3331"/>
      <c r="H107" s="2821" t="str">
        <f>C112</f>
        <v>总额（元）</v>
      </c>
      <c r="I107" s="2820">
        <f>SUMIF(I108:I110,"&lt;9E307")</f>
        <v>0</v>
      </c>
      <c r="J107" s="2862"/>
    </row>
    <row r="108" spans="1:36" ht="15" thickBot="1">
      <c r="A108" s="3325"/>
      <c r="B108" s="2816" t="s">
        <v>2772</v>
      </c>
      <c r="C108" s="2817" t="e">
        <f>I125</f>
        <v>#DIV/0!</v>
      </c>
      <c r="D108" s="2818"/>
      <c r="E108" s="1461"/>
      <c r="F108" s="3296" t="s">
        <v>2781</v>
      </c>
      <c r="G108" s="3297"/>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94" t="s">
        <v>1873</v>
      </c>
      <c r="B109" s="3395"/>
      <c r="C109" s="3395"/>
      <c r="D109" s="3396"/>
      <c r="E109" s="1461"/>
      <c r="F109" s="3296" t="s">
        <v>2782</v>
      </c>
      <c r="G109" s="3297"/>
      <c r="H109" s="2821" t="str">
        <f>C114</f>
        <v>总额（元）</v>
      </c>
      <c r="I109" s="52">
        <f>C39</f>
        <v>0</v>
      </c>
      <c r="J109" s="2846"/>
    </row>
    <row r="110" spans="1:36" ht="12.75">
      <c r="A110" s="3294" t="s">
        <v>2785</v>
      </c>
      <c r="B110" s="3295"/>
      <c r="C110" s="2819" t="str">
        <f>B103</f>
        <v>总价（元）</v>
      </c>
      <c r="D110" s="2820">
        <f>H125</f>
        <v>0</v>
      </c>
      <c r="E110" s="1461"/>
      <c r="F110" s="3296" t="s">
        <v>2783</v>
      </c>
      <c r="G110" s="3297"/>
      <c r="H110" s="2821" t="str">
        <f>C115</f>
        <v>总额（元）</v>
      </c>
      <c r="I110" s="52">
        <f>C40</f>
        <v>0</v>
      </c>
      <c r="J110" s="2846"/>
    </row>
    <row r="111" spans="1:36" ht="12.75">
      <c r="A111" s="3294"/>
      <c r="B111" s="3295"/>
      <c r="C111" s="2819" t="s">
        <v>2786</v>
      </c>
      <c r="D111" s="52" t="e">
        <f>I125</f>
        <v>#DIV/0!</v>
      </c>
      <c r="E111" s="1461"/>
      <c r="F111" s="3294"/>
      <c r="G111" s="3295"/>
      <c r="H111" s="3328"/>
      <c r="I111" s="3329"/>
      <c r="J111" s="2864"/>
    </row>
    <row r="112" spans="1:36" ht="28.5" customHeight="1">
      <c r="A112" s="3365" t="s">
        <v>2780</v>
      </c>
      <c r="B112" s="3366"/>
      <c r="C112" s="2821" t="str">
        <f>IF(H19="元","总额（元）","总额（万元）")</f>
        <v>总额（元）</v>
      </c>
      <c r="D112" s="2820">
        <f>IF(D38="正常操作",I108+I109+I110,I109+I110)</f>
        <v>0</v>
      </c>
      <c r="E112" s="1461"/>
      <c r="F112" s="3277" t="str">
        <f>IF(项目基本情况!F5="已注销","——","3.房地产抵押价值")</f>
        <v>3.房地产抵押价值</v>
      </c>
      <c r="G112" s="3278"/>
      <c r="H112" s="1481" t="str">
        <f>C116</f>
        <v>总价（元）</v>
      </c>
      <c r="I112" s="2820">
        <f>IF(F112="——","——",I104-I107)</f>
        <v>0</v>
      </c>
      <c r="J112" s="2862"/>
    </row>
    <row r="113" spans="1:27" ht="12.75">
      <c r="A113" s="3296" t="s">
        <v>2787</v>
      </c>
      <c r="B113" s="3297"/>
      <c r="C113" s="2821" t="str">
        <f>C112</f>
        <v>总额（元）</v>
      </c>
      <c r="D113" s="52">
        <f>IF(D38="同一抵押权人同一抵押物续贷",C38&amp;"（未扣减，详见特别提示）",C38)</f>
        <v>0</v>
      </c>
      <c r="E113" s="1461"/>
      <c r="F113" s="3279"/>
      <c r="G113" s="3280"/>
      <c r="H113" s="2819" t="s">
        <v>2779</v>
      </c>
      <c r="I113" s="2823" t="e">
        <f>D117</f>
        <v>#DIV/0!</v>
      </c>
      <c r="J113" s="2865"/>
    </row>
    <row r="114" spans="1:27" ht="12.75">
      <c r="A114" s="3296" t="s">
        <v>2788</v>
      </c>
      <c r="B114" s="3297"/>
      <c r="C114" s="2821" t="str">
        <f>C112</f>
        <v>总额（元）</v>
      </c>
      <c r="D114" s="52">
        <f>C39</f>
        <v>0</v>
      </c>
      <c r="E114" s="1461"/>
      <c r="F114" s="3277" t="str">
        <f>IF(项目基本情况!F5="已注销及未注销","4.抵押担保权已注销时的房地产抵押价值",IF(项目基本情况!F5="已注销","3.抵押担保权已注销时的房地产抵押价值","——"))</f>
        <v>——</v>
      </c>
      <c r="G114" s="3278"/>
      <c r="H114" s="1481" t="str">
        <f>C118</f>
        <v>总价（元）</v>
      </c>
      <c r="I114" s="2820" t="str">
        <f>IF(F114="——","——",I104-I109-I110)</f>
        <v>——</v>
      </c>
      <c r="J114" s="2862"/>
    </row>
    <row r="115" spans="1:27" ht="12.75">
      <c r="A115" s="3296" t="s">
        <v>2789</v>
      </c>
      <c r="B115" s="3297"/>
      <c r="C115" s="2821" t="str">
        <f>C112</f>
        <v>总额（元）</v>
      </c>
      <c r="D115" s="52">
        <f>C40</f>
        <v>0</v>
      </c>
      <c r="E115" s="1461"/>
      <c r="F115" s="3279"/>
      <c r="G115" s="3280"/>
      <c r="H115" s="2819" t="s">
        <v>2779</v>
      </c>
      <c r="I115" s="52" t="str">
        <f>D119</f>
        <v>——</v>
      </c>
      <c r="J115" s="2846"/>
    </row>
    <row r="116" spans="1:27" ht="12.75">
      <c r="A116" s="3294" t="str">
        <f>IF(项目基本情况!F5="已注销","——","3.房地产抵押价值")</f>
        <v>3.房地产抵押价值</v>
      </c>
      <c r="B116" s="3295"/>
      <c r="C116" s="2819" t="str">
        <f>B103</f>
        <v>总价（元）</v>
      </c>
      <c r="D116" s="2820">
        <f>IF(A116="——","——",D110-D112)</f>
        <v>0</v>
      </c>
      <c r="E116" s="1461"/>
      <c r="F116" s="3277" t="str">
        <f>IF(项目基本情况!G5="抵押净值",IF(OR(项目基本情况!F5="已注销",项目基本情况!F5="房地产抵押价值"),"4.抵押净值","5.抵押净值"),"——")</f>
        <v>——</v>
      </c>
      <c r="G116" s="3278"/>
      <c r="H116" s="2819" t="str">
        <f>C120</f>
        <v>总价（元）</v>
      </c>
      <c r="I116" s="2820" t="str">
        <f>IF(F116="——","——",O61)</f>
        <v>——</v>
      </c>
      <c r="J116" s="2862"/>
    </row>
    <row r="117" spans="1:27" ht="13.5" thickBot="1">
      <c r="A117" s="3294"/>
      <c r="B117" s="3295"/>
      <c r="C117" s="2819" t="s">
        <v>2786</v>
      </c>
      <c r="D117" s="52" t="e">
        <f>ROUND(IF(D116=D110,D111,IF(H19="元",D116/B125,D116*10000/B125)),0)</f>
        <v>#DIV/0!</v>
      </c>
      <c r="E117" s="1461"/>
      <c r="F117" s="3357"/>
      <c r="G117" s="3358"/>
      <c r="H117" s="2824" t="s">
        <v>2779</v>
      </c>
      <c r="I117" s="2808" t="str">
        <f>D121</f>
        <v>——</v>
      </c>
      <c r="J117" s="2846"/>
    </row>
    <row r="118" spans="1:27" ht="15.75">
      <c r="A118" s="3294" t="str">
        <f>IF(项目基本情况!F5="已注销及未注销","4.抵押担保权已注销时的房地产抵押价值",IF(项目基本情况!F5="已注销","3.抵押担保权已注销时的房地产抵押价值","——"))</f>
        <v>——</v>
      </c>
      <c r="B118" s="3295"/>
      <c r="C118" s="2819" t="str">
        <f>B103</f>
        <v>总价（元）</v>
      </c>
      <c r="D118" s="2820" t="str">
        <f>IF(A118="——","——",D110-D114-D115)</f>
        <v>——</v>
      </c>
      <c r="E118" s="1461"/>
      <c r="F118" s="3272"/>
      <c r="G118" s="3272"/>
      <c r="H118" s="3313"/>
      <c r="I118" s="3313"/>
      <c r="J118" s="2866"/>
      <c r="O118" s="32"/>
      <c r="P118" s="32"/>
    </row>
    <row r="119" spans="1:27" s="1308" customFormat="1" ht="12.75">
      <c r="A119" s="3294"/>
      <c r="B119" s="3295"/>
      <c r="C119" s="2819" t="s">
        <v>2786</v>
      </c>
      <c r="D119" s="52" t="str">
        <f>IF(A118="——","——",IF(H19="元",ROUND(D118/B125,0),ROUND(D118*10000/B125,0)))</f>
        <v>——</v>
      </c>
      <c r="E119" s="1461"/>
      <c r="F119" s="3397" t="str">
        <f>IF(B33="总价","（以上估价结果中楼面单价为总价除以建筑面积得出）","（以上估价结果中总价为楼面单价乘以建筑面积得出）")</f>
        <v>（以上估价结果中总价为楼面单价乘以建筑面积得出）</v>
      </c>
      <c r="G119" s="3397"/>
      <c r="H119" s="3397"/>
      <c r="I119" s="3397"/>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4" t="str">
        <f>IF(项目基本情况!G5="抵押净值",IF(OR(项目基本情况!F5="已注销",项目基本情况!F5="房地产抵押价值"),"4.抵押净值","5.抵押净值"),"——")</f>
        <v>——</v>
      </c>
      <c r="B120" s="3295"/>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3"/>
      <c r="B121" s="3364"/>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4" t="s">
        <v>1912</v>
      </c>
      <c r="B122" s="3315"/>
      <c r="C122" s="3315"/>
      <c r="D122" s="3315"/>
      <c r="E122" s="3315"/>
      <c r="F122" s="3315"/>
      <c r="G122" s="3315"/>
      <c r="H122" s="3315"/>
      <c r="I122" s="3315"/>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7" t="s">
        <v>2790</v>
      </c>
      <c r="B123" s="3285" t="s">
        <v>2791</v>
      </c>
      <c r="C123" s="3285" t="s">
        <v>2797</v>
      </c>
      <c r="D123" s="3292" t="s">
        <v>2792</v>
      </c>
      <c r="E123" s="3293"/>
      <c r="F123" s="3283" t="s">
        <v>2798</v>
      </c>
      <c r="G123" s="3283"/>
      <c r="H123" s="3283" t="s">
        <v>2793</v>
      </c>
      <c r="I123" s="3284"/>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7"/>
      <c r="B124" s="3286"/>
      <c r="C124" s="3286"/>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7" t="s">
        <v>2796</v>
      </c>
      <c r="B126" s="3283"/>
      <c r="C126" s="3283"/>
      <c r="D126" s="3318" t="str">
        <f>IF(H19="元",NUMBERSTRING(INT(D125),2)&amp;"元整",NUMBERSTRING(INT(D125*10000),2)&amp;"元整")</f>
        <v>零元整</v>
      </c>
      <c r="E126" s="3319"/>
      <c r="F126" s="3318" t="str">
        <f>IF(H19="元",NUMBERSTRING(INT(F125),2)&amp;"元整",NUMBERSTRING(INT(F125*10000),2)&amp;"元整")</f>
        <v>零元整</v>
      </c>
      <c r="G126" s="3319"/>
      <c r="H126" s="3318" t="str">
        <f>IF(H19="元",NUMBERSTRING(INT(H125),2)&amp;"元整",NUMBERSTRING(INT(H125*10000),2)&amp;"元整")</f>
        <v>零元整</v>
      </c>
      <c r="I126" s="3367"/>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7" t="str">
        <f>IF(项目基本情况!D5="房地产市场价值","——",MID(A112,3,LEN(A112)-2))</f>
        <v>估价师所知悉的法定优先受偿款</v>
      </c>
      <c r="B127" s="3320"/>
      <c r="C127" s="3309"/>
      <c r="D127" s="3311">
        <f>I107</f>
        <v>0</v>
      </c>
      <c r="E127" s="3320"/>
      <c r="F127" s="3320"/>
      <c r="G127" s="3320"/>
      <c r="H127" s="3320"/>
      <c r="I127" s="3308"/>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1" t="s">
        <v>2796</v>
      </c>
      <c r="B128" s="3322"/>
      <c r="C128" s="3323"/>
      <c r="D128" s="3359">
        <f>H111</f>
        <v>0</v>
      </c>
      <c r="E128" s="3360"/>
      <c r="F128" s="3360"/>
      <c r="G128" s="3360"/>
      <c r="H128" s="3360"/>
      <c r="I128" s="3361"/>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4" t="str">
        <f>IF(项目基本情况!D5="房地产市场价值","——",MID(A116,3,LEN(A116)-2))</f>
        <v>房地产抵押价值</v>
      </c>
      <c r="B129" s="3295"/>
      <c r="C129" s="3295"/>
      <c r="D129" s="3311">
        <f>I112</f>
        <v>0</v>
      </c>
      <c r="E129" s="3320"/>
      <c r="F129" s="3320"/>
      <c r="G129" s="3320"/>
      <c r="H129" s="3320"/>
      <c r="I129" s="3308"/>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7" t="s">
        <v>2796</v>
      </c>
      <c r="B130" s="3283"/>
      <c r="C130" s="3283"/>
      <c r="D130" s="3359" t="e">
        <f>I113</f>
        <v>#DIV/0!</v>
      </c>
      <c r="E130" s="3360"/>
      <c r="F130" s="3360"/>
      <c r="G130" s="3360"/>
      <c r="H130" s="3360"/>
      <c r="I130" s="3361"/>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4" t="str">
        <f>IF(项目基本情况!D5="房地产市场价值","——",MID(A118,3,LEN(A118)-2))</f>
        <v/>
      </c>
      <c r="B131" s="3295"/>
      <c r="C131" s="3295"/>
      <c r="D131" s="3267" t="str">
        <f>I114</f>
        <v>——</v>
      </c>
      <c r="E131" s="3268"/>
      <c r="F131" s="3268"/>
      <c r="G131" s="3268"/>
      <c r="H131" s="3268"/>
      <c r="I131" s="3269"/>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7" t="s">
        <v>2796</v>
      </c>
      <c r="B132" s="3283"/>
      <c r="C132" s="3334"/>
      <c r="D132" s="3312" t="str">
        <f>I115</f>
        <v>——</v>
      </c>
      <c r="E132" s="3312"/>
      <c r="F132" s="3312"/>
      <c r="G132" s="3312"/>
      <c r="H132" s="3312"/>
      <c r="I132" s="3312"/>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4" t="str">
        <f>IF(项目基本情况!D5="房地产市场价值","——",MID(F116,3,LEN(F116)-2))</f>
        <v/>
      </c>
      <c r="B133" s="3295"/>
      <c r="C133" s="3311"/>
      <c r="D133" s="3362" t="str">
        <f>I116</f>
        <v>——</v>
      </c>
      <c r="E133" s="3362"/>
      <c r="F133" s="3362"/>
      <c r="G133" s="3362"/>
      <c r="H133" s="3362"/>
      <c r="I133" s="3362"/>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0" t="s">
        <v>2796</v>
      </c>
      <c r="B134" s="3351"/>
      <c r="C134" s="3351"/>
      <c r="D134" s="3368">
        <f>H118</f>
        <v>0</v>
      </c>
      <c r="E134" s="3369"/>
      <c r="F134" s="3369"/>
      <c r="G134" s="3369"/>
      <c r="H134" s="3369"/>
      <c r="I134" s="3370"/>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5" t="str">
        <f>IF(B33="总价","（以上估价结果中楼面单价为总价除以建筑面积得出）","（以上估价结果中总价为楼面单价乘以建筑面积得出）")</f>
        <v>（以上估价结果中总价为楼面单价乘以建筑面积得出）</v>
      </c>
      <c r="B136" s="3355"/>
      <c r="C136" s="3355"/>
      <c r="D136" s="3355"/>
      <c r="E136" s="3355"/>
      <c r="F136" s="3355"/>
      <c r="G136" s="3355"/>
      <c r="H136" s="3355"/>
      <c r="I136" s="3355"/>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2857462</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24216</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1899652</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基准地价修正!E29</f>
        <v>1825106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55666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18880</v>
      </c>
      <c r="D8" s="1170"/>
      <c r="E8" s="115"/>
      <c r="F8" s="1169"/>
      <c r="G8" s="1518" t="s">
        <v>2900</v>
      </c>
    </row>
    <row r="9" spans="1:123" s="91" customFormat="1" ht="13.5" customHeight="1">
      <c r="A9" s="993" t="s">
        <v>945</v>
      </c>
      <c r="B9" s="97" t="s">
        <v>1929</v>
      </c>
      <c r="C9" s="1171">
        <f>ROUND(D9*E9,0)</f>
        <v>18880</v>
      </c>
      <c r="D9" s="1172">
        <f>IF('数据-取费表'!B10="住宅",IF(B1="仅计算典型户型",'数据-取费表'!E5,'数据-取费表'!B5),0)</f>
        <v>118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118</v>
      </c>
      <c r="E19" s="111">
        <f>'数据-取费表'!E15</f>
        <v>0</v>
      </c>
      <c r="F19" s="112"/>
      <c r="G19" s="1518" t="s">
        <v>2901</v>
      </c>
    </row>
    <row r="20" spans="1:123" s="91" customFormat="1" ht="13.5" customHeight="1">
      <c r="A20" s="120" t="s">
        <v>1942</v>
      </c>
      <c r="B20" s="89" t="s">
        <v>1943</v>
      </c>
      <c r="C20" s="99">
        <f>ROUND((C5+C19)*F20,0)</f>
        <v>18997</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242010</v>
      </c>
      <c r="D22" s="101">
        <f ca="1">C26</f>
        <v>5.9999999999999995E-4</v>
      </c>
      <c r="E22" s="102" t="s">
        <v>1947</v>
      </c>
      <c r="F22" s="103">
        <f ca="1">'数据-取费表'!E27</f>
        <v>6.1500000000000006E-2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240842</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1168</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191865</v>
      </c>
      <c r="D27" s="101">
        <f>C29</f>
        <v>1E-3</v>
      </c>
      <c r="E27" s="102" t="s">
        <v>1947</v>
      </c>
      <c r="F27" s="112">
        <f>'数据-取费表'!E28</f>
        <v>0.1</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191865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2523085</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340725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295000</v>
      </c>
      <c r="D34" s="1167"/>
      <c r="E34" s="115"/>
      <c r="F34" s="1178" t="str">
        <f>IF('数据-取费表'!B26=0,"",'数据-取费表'!E20)</f>
        <v/>
      </c>
      <c r="G34" s="95"/>
    </row>
    <row r="35" spans="1:123" ht="13.5" customHeight="1">
      <c r="A35" s="92" t="s">
        <v>1925</v>
      </c>
      <c r="B35" s="93" t="s">
        <v>1974</v>
      </c>
      <c r="C35" s="115">
        <f>ROUND(C34*F35,0)</f>
        <v>8850</v>
      </c>
      <c r="D35" s="115"/>
      <c r="E35" s="115"/>
      <c r="F35" s="1179">
        <f>'数据-取费表'!E21</f>
        <v>0.03</v>
      </c>
      <c r="G35" s="95" t="s">
        <v>1975</v>
      </c>
    </row>
    <row r="36" spans="1:123" ht="24">
      <c r="A36" s="92" t="s">
        <v>1927</v>
      </c>
      <c r="B36" s="93" t="s">
        <v>1976</v>
      </c>
      <c r="C36" s="115">
        <f>ROUND(IF('数据-取费表'!B10="住宅",C34*F36,0),0)</f>
        <v>8850</v>
      </c>
      <c r="D36" s="115"/>
      <c r="E36" s="115"/>
      <c r="F36" s="1179">
        <f>'数据-取费表'!E22</f>
        <v>0.03</v>
      </c>
      <c r="G36" s="123" t="s">
        <v>1977</v>
      </c>
    </row>
    <row r="37" spans="1:123" s="122" customFormat="1" ht="13.5" customHeight="1">
      <c r="A37" s="92" t="s">
        <v>1958</v>
      </c>
      <c r="B37" s="93" t="s">
        <v>1978</v>
      </c>
      <c r="C37" s="115">
        <f>ROUND(E37*D37,0)</f>
        <v>23600</v>
      </c>
      <c r="D37" s="1167">
        <f>IF(B1="仅计算典型户型",'数据-取费表'!E5,'数据-取费表'!B5)</f>
        <v>118</v>
      </c>
      <c r="E37" s="115">
        <f>'数据-取费表'!E23</f>
        <v>200</v>
      </c>
      <c r="F37" s="1179"/>
      <c r="G37" s="124" t="s">
        <v>1979</v>
      </c>
    </row>
    <row r="38" spans="1:123" ht="13.5" customHeight="1">
      <c r="A38" s="92" t="s">
        <v>1980</v>
      </c>
      <c r="B38" s="93" t="s">
        <v>1981</v>
      </c>
      <c r="C38" s="115">
        <f>ROUND(C34*F38,0)</f>
        <v>4425</v>
      </c>
      <c r="D38" s="115"/>
      <c r="E38" s="115"/>
      <c r="F38" s="1179">
        <f>'数据-取费表'!E24</f>
        <v>1.4999999999999999E-2</v>
      </c>
      <c r="G38" s="95" t="s">
        <v>1975</v>
      </c>
    </row>
    <row r="39" spans="1:123" s="91" customFormat="1" ht="13.5" customHeight="1">
      <c r="A39" s="120" t="s">
        <v>1940</v>
      </c>
      <c r="B39" s="89" t="s">
        <v>1943</v>
      </c>
      <c r="C39" s="99">
        <f>ROUND(C33*F20,0)</f>
        <v>3407</v>
      </c>
      <c r="D39" s="99"/>
      <c r="E39" s="99"/>
      <c r="F39" s="2888">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0.01</v>
      </c>
      <c r="D40" s="102" t="s">
        <v>1983</v>
      </c>
      <c r="E40" s="99"/>
      <c r="F40" s="2888">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21165</v>
      </c>
      <c r="D41" s="101">
        <f ca="1">C44</f>
        <v>5.9999999999999995E-4</v>
      </c>
      <c r="E41" s="102" t="s">
        <v>1983</v>
      </c>
      <c r="F41" s="2888">
        <f ca="1">F22</f>
        <v>6.1500000000000006E-2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20955</v>
      </c>
      <c r="D42" s="104"/>
      <c r="E42" s="104"/>
      <c r="F42" s="105"/>
      <c r="G42" s="3400" t="s">
        <v>1985</v>
      </c>
    </row>
    <row r="43" spans="1:123" ht="13.5" customHeight="1">
      <c r="A43" s="92" t="s">
        <v>1925</v>
      </c>
      <c r="B43" s="93" t="s">
        <v>1954</v>
      </c>
      <c r="C43" s="104">
        <f ca="1">ROUND(IF('数据-取费表'!B24&lt;=1,C39*F22*'数据-取费表'!B23/2,C39*(POWER((1+F22),'数据-取费表'!B23/2)-1)),0)</f>
        <v>210</v>
      </c>
      <c r="D43" s="104"/>
      <c r="E43" s="104"/>
      <c r="F43" s="105"/>
      <c r="G43" s="3401"/>
    </row>
    <row r="44" spans="1:123" ht="13.5" customHeight="1">
      <c r="A44" s="92" t="s">
        <v>1927</v>
      </c>
      <c r="B44" s="93" t="s">
        <v>1956</v>
      </c>
      <c r="C44" s="104">
        <f ca="1">ROUND(IF('数据-取费表'!B24&lt;=1,C40*F22*'数据-取费表'!B23/2,C40*(POWER((1+F22),'数据-取费表'!B23/2)-1)),4)</f>
        <v>5.9999999999999995E-4</v>
      </c>
      <c r="D44" s="104"/>
      <c r="E44" s="104"/>
      <c r="F44" s="105"/>
      <c r="G44" s="3402"/>
    </row>
    <row r="45" spans="1:123" s="91" customFormat="1" ht="13.5" customHeight="1">
      <c r="A45" s="120" t="s">
        <v>1949</v>
      </c>
      <c r="B45" s="110" t="s">
        <v>1961</v>
      </c>
      <c r="C45" s="111">
        <f>C46</f>
        <v>34413</v>
      </c>
      <c r="D45" s="101">
        <f>C47</f>
        <v>1E-3</v>
      </c>
      <c r="E45" s="102" t="s">
        <v>1983</v>
      </c>
      <c r="F45" s="2889">
        <f>F27</f>
        <v>0.1</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34413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428689</v>
      </c>
      <c r="D49" s="99"/>
      <c r="E49" s="99"/>
      <c r="F49" s="126"/>
      <c r="G49" s="100" t="s">
        <v>1993</v>
      </c>
    </row>
    <row r="50" spans="1:123" s="122" customFormat="1" ht="24">
      <c r="A50" s="994" t="s">
        <v>1994</v>
      </c>
      <c r="B50" s="89" t="s">
        <v>1995</v>
      </c>
      <c r="C50" s="99"/>
      <c r="D50" s="99"/>
      <c r="E50" s="99"/>
      <c r="F50" s="126">
        <f>IF('数据-取费表'!B26=0,'数据-取费表'!E20,1)</f>
        <v>0.78</v>
      </c>
      <c r="G50" s="113" t="s">
        <v>1996</v>
      </c>
    </row>
    <row r="51" spans="1:123" ht="16.5" customHeight="1">
      <c r="A51" s="994" t="s">
        <v>1997</v>
      </c>
      <c r="B51" s="89" t="s">
        <v>1998</v>
      </c>
      <c r="C51" s="99">
        <f ca="1">ROUND(C49*F50,0)</f>
        <v>334377</v>
      </c>
      <c r="D51" s="99"/>
      <c r="E51" s="99"/>
      <c r="F51" s="126"/>
      <c r="G51" s="100" t="s">
        <v>1999</v>
      </c>
    </row>
    <row r="52" spans="1:123" s="88" customFormat="1" ht="16.5" thickBot="1">
      <c r="A52" s="127" t="s">
        <v>2000</v>
      </c>
      <c r="B52" s="128"/>
      <c r="C52" s="129">
        <f ca="1">C31+C51</f>
        <v>2857462</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0.11700000000000001</v>
      </c>
    </row>
    <row r="57" spans="1:123">
      <c r="B57" s="135" t="s">
        <v>2003</v>
      </c>
      <c r="C57" s="137">
        <f ca="1">1-C56</f>
        <v>0.88300000000000001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18504</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0.03</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-18880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-18880</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-189</v>
      </c>
      <c r="D22" s="180"/>
      <c r="E22" s="180"/>
      <c r="F22" s="181">
        <f>'数据-取费表'!E25</f>
        <v>0.01</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0.01</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6.1500000000000006E-2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-1907</v>
      </c>
      <c r="D28" s="183">
        <f>C29</f>
        <v>0.1031</v>
      </c>
      <c r="E28" s="189" t="s">
        <v>12</v>
      </c>
      <c r="F28" s="200">
        <f>'数据-取费表'!E28</f>
        <v>0.1</v>
      </c>
      <c r="G28" s="185"/>
      <c r="H28" s="186"/>
      <c r="I28" s="186"/>
      <c r="J28" s="186"/>
      <c r="K28" s="187"/>
    </row>
    <row r="29" spans="1:33" s="204" customFormat="1" ht="13.5" customHeight="1">
      <c r="A29" s="996" t="s">
        <v>1342</v>
      </c>
      <c r="B29" s="202" t="s">
        <v>1343</v>
      </c>
      <c r="C29" s="193">
        <f>ROUND((1+C24)*F28,4)</f>
        <v>0.1031</v>
      </c>
      <c r="D29" s="193"/>
      <c r="E29" s="194"/>
      <c r="F29" s="203"/>
      <c r="G29" s="147" t="s">
        <v>1344</v>
      </c>
      <c r="H29" s="170"/>
      <c r="I29" s="170"/>
      <c r="J29" s="170"/>
      <c r="K29" s="171"/>
    </row>
    <row r="30" spans="1:33" s="204" customFormat="1" ht="13.5" customHeight="1">
      <c r="A30" s="996" t="s">
        <v>1345</v>
      </c>
      <c r="B30" s="202" t="s">
        <v>1346</v>
      </c>
      <c r="C30" s="205">
        <f>ROUND((C21+C22+C23)*F28,0)</f>
        <v>-1907</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18504</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118</v>
      </c>
      <c r="G7" s="951"/>
      <c r="H7" s="237"/>
      <c r="I7" s="238"/>
      <c r="J7" s="239"/>
      <c r="K7" s="240"/>
      <c r="L7" s="235" t="s">
        <v>2017</v>
      </c>
      <c r="M7" s="236">
        <f>IF('数据-取费表'!B42="",IF(D1="仅计算典型户型",'数据-取费表'!E5,'数据-取费表'!B5),'数据-取费表'!B42)</f>
        <v>118</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0.03</v>
      </c>
      <c r="G11" s="952"/>
      <c r="H11" s="241"/>
      <c r="I11" s="1524" t="s">
        <v>2027</v>
      </c>
      <c r="J11" s="1091"/>
      <c r="K11" s="240"/>
      <c r="L11" s="246" t="s">
        <v>2026</v>
      </c>
      <c r="M11" s="247">
        <f ca="1">'数据-取费表'!B31</f>
        <v>0.03</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334377</v>
      </c>
      <c r="D13" s="1094" t="s">
        <v>2031</v>
      </c>
      <c r="E13" s="1094" t="s">
        <v>2032</v>
      </c>
      <c r="F13" s="1095">
        <f>'数据-取费表'!E20</f>
        <v>0.78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295000</v>
      </c>
      <c r="D14" s="1328" t="s">
        <v>2035</v>
      </c>
      <c r="E14" s="1329"/>
      <c r="F14" s="799"/>
      <c r="G14" s="952"/>
      <c r="H14" s="253" t="s">
        <v>2014</v>
      </c>
      <c r="I14" s="235" t="s">
        <v>2036</v>
      </c>
      <c r="J14" s="13">
        <f ca="1">C29</f>
        <v>428689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8850</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8850</v>
      </c>
      <c r="D16" s="235" t="s">
        <v>2039</v>
      </c>
      <c r="E16" s="235" t="s">
        <v>2040</v>
      </c>
      <c r="F16" s="258">
        <f>IF('数据-取费表'!B10="住宅",'数据-取费表'!E22,0)</f>
        <v>0.03</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23600</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4425</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340725</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3407</v>
      </c>
      <c r="D20" s="259" t="s">
        <v>2064</v>
      </c>
      <c r="E20" s="235" t="s">
        <v>2065</v>
      </c>
      <c r="F20" s="258">
        <f>'数据-取费表'!E25</f>
        <v>0.01</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0.01</v>
      </c>
      <c r="D21" s="259" t="s">
        <v>2071</v>
      </c>
      <c r="E21" s="235" t="s">
        <v>2072</v>
      </c>
      <c r="F21" s="258">
        <f>'数据-取费表'!E26</f>
        <v>0.01</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21165</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5.9999999999999995E-4</v>
      </c>
      <c r="D24" s="1432" t="str">
        <f>IF(F23&lt;=1,"销售费用×利率×(建设周期÷2)","销售费用×((1+利率)^(建设周期÷2)-1)")</f>
        <v>销售费用×((1+利率)^(建设周期÷2)-1)</v>
      </c>
      <c r="E24" s="235" t="s">
        <v>2085</v>
      </c>
      <c r="F24" s="267">
        <f ca="1">'数据-取费表'!E27</f>
        <v>6.1500000000000006E-2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34413</v>
      </c>
      <c r="D26" s="259" t="s">
        <v>2093</v>
      </c>
      <c r="E26" s="246" t="s">
        <v>2094</v>
      </c>
      <c r="F26" s="245">
        <f>'数据-取费表'!E28</f>
        <v>0.1</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428689</v>
      </c>
      <c r="D29" s="1105"/>
      <c r="E29" s="1103"/>
      <c r="F29" s="1106"/>
      <c r="G29" s="652"/>
      <c r="H29" s="271" t="s">
        <v>24</v>
      </c>
      <c r="I29" s="272" t="s">
        <v>2109</v>
      </c>
      <c r="J29" s="273">
        <f ca="1">ROUND(J26/(1+F40)^F41,0)</f>
        <v>0</v>
      </c>
      <c r="K29" s="274" t="s">
        <v>2110</v>
      </c>
      <c r="L29" s="275"/>
      <c r="M29" s="276">
        <f>IF(D1="仅计算典型户型",'数据-取费表'!E5,'数据-取费表'!B5)</f>
        <v>118</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118</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428689</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2005</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118</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-9</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403" t="s">
        <v>2697</v>
      </c>
      <c r="L54" s="3404"/>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334377</v>
      </c>
      <c r="D57" s="983"/>
      <c r="E57" s="984"/>
      <c r="F57" s="991"/>
      <c r="I57" s="1547" t="s">
        <v>2176</v>
      </c>
      <c r="J57" s="1035"/>
      <c r="K57" s="1533" t="s">
        <v>2177</v>
      </c>
      <c r="L57" s="863">
        <f>IF(L49&lt;J52,"——",L49-J52)</f>
        <v>79</v>
      </c>
      <c r="O57" s="1051" t="s">
        <v>952</v>
      </c>
      <c r="P57" s="1048" t="s">
        <v>2178</v>
      </c>
      <c r="Q57" s="1052">
        <f>L53</f>
        <v>0</v>
      </c>
      <c r="R57" s="1050"/>
    </row>
    <row r="58" spans="1:18" s="652" customFormat="1" ht="29.25" thickBot="1">
      <c r="A58" s="990"/>
      <c r="B58" s="235" t="s">
        <v>2108</v>
      </c>
      <c r="C58" s="104">
        <f ca="1">C29</f>
        <v>428689</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334377</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118</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5" t="s">
        <v>1013</v>
      </c>
      <c r="B1" s="3406"/>
      <c r="C1" s="3407"/>
      <c r="D1" s="3408">
        <f>SUM(I10,I15,I20,I21,I23)</f>
        <v>0</v>
      </c>
      <c r="E1" s="3408"/>
      <c r="F1" s="3408"/>
      <c r="G1" s="3408"/>
      <c r="H1" s="3408"/>
      <c r="I1" s="3409"/>
    </row>
    <row r="2" spans="1:9">
      <c r="A2" s="3410" t="s">
        <v>1014</v>
      </c>
      <c r="B2" s="3411" t="s">
        <v>963</v>
      </c>
      <c r="C2" s="3411"/>
      <c r="D2" s="1062" t="s">
        <v>964</v>
      </c>
      <c r="E2" s="1062" t="s">
        <v>965</v>
      </c>
      <c r="F2" s="1062" t="s">
        <v>966</v>
      </c>
      <c r="G2" s="1062" t="s">
        <v>967</v>
      </c>
      <c r="H2" s="1062" t="s">
        <v>968</v>
      </c>
      <c r="I2" s="1063" t="s">
        <v>969</v>
      </c>
    </row>
    <row r="3" spans="1:9">
      <c r="A3" s="3410"/>
      <c r="B3" s="3411" t="s">
        <v>970</v>
      </c>
      <c r="C3" s="3411"/>
      <c r="D3" s="1064"/>
      <c r="E3" s="1062"/>
      <c r="F3" s="1065"/>
      <c r="G3" s="1065"/>
      <c r="H3" s="1066"/>
      <c r="I3" s="1067">
        <f>ROUND(D3*E3*F3*G3*H3/10000,0)</f>
        <v>0</v>
      </c>
    </row>
    <row r="4" spans="1:9">
      <c r="A4" s="3410"/>
      <c r="B4" s="3411" t="s">
        <v>971</v>
      </c>
      <c r="C4" s="3411"/>
      <c r="D4" s="1064"/>
      <c r="E4" s="1062"/>
      <c r="F4" s="1065"/>
      <c r="G4" s="1065"/>
      <c r="H4" s="1066"/>
      <c r="I4" s="1067">
        <f t="shared" ref="I4:I9" si="0">ROUND(D4*E4*F4*G4*H4/10000,0)</f>
        <v>0</v>
      </c>
    </row>
    <row r="5" spans="1:9">
      <c r="A5" s="3410"/>
      <c r="B5" s="3411" t="s">
        <v>972</v>
      </c>
      <c r="C5" s="3411"/>
      <c r="D5" s="1064"/>
      <c r="E5" s="1062"/>
      <c r="F5" s="1065"/>
      <c r="G5" s="1065"/>
      <c r="H5" s="1066"/>
      <c r="I5" s="1067">
        <f t="shared" si="0"/>
        <v>0</v>
      </c>
    </row>
    <row r="6" spans="1:9">
      <c r="A6" s="3410"/>
      <c r="B6" s="3411" t="s">
        <v>973</v>
      </c>
      <c r="C6" s="3411"/>
      <c r="D6" s="1064"/>
      <c r="E6" s="1062"/>
      <c r="F6" s="1065"/>
      <c r="G6" s="1065"/>
      <c r="H6" s="1066"/>
      <c r="I6" s="1067">
        <f t="shared" si="0"/>
        <v>0</v>
      </c>
    </row>
    <row r="7" spans="1:9">
      <c r="A7" s="3410"/>
      <c r="B7" s="3411" t="s">
        <v>974</v>
      </c>
      <c r="C7" s="3411"/>
      <c r="D7" s="1064"/>
      <c r="E7" s="1062"/>
      <c r="F7" s="1065"/>
      <c r="G7" s="1065"/>
      <c r="H7" s="1066"/>
      <c r="I7" s="1067">
        <f t="shared" si="0"/>
        <v>0</v>
      </c>
    </row>
    <row r="8" spans="1:9">
      <c r="A8" s="3410"/>
      <c r="B8" s="3411" t="s">
        <v>975</v>
      </c>
      <c r="C8" s="3411"/>
      <c r="D8" s="1064"/>
      <c r="E8" s="1062"/>
      <c r="F8" s="1065"/>
      <c r="G8" s="1065"/>
      <c r="H8" s="1066"/>
      <c r="I8" s="1067">
        <f t="shared" si="0"/>
        <v>0</v>
      </c>
    </row>
    <row r="9" spans="1:9">
      <c r="A9" s="3410"/>
      <c r="B9" s="3411" t="s">
        <v>976</v>
      </c>
      <c r="C9" s="3411"/>
      <c r="D9" s="1064"/>
      <c r="E9" s="1062"/>
      <c r="F9" s="1065"/>
      <c r="G9" s="1065"/>
      <c r="H9" s="1066"/>
      <c r="I9" s="1067">
        <f t="shared" si="0"/>
        <v>0</v>
      </c>
    </row>
    <row r="10" spans="1:9">
      <c r="A10" s="3410"/>
      <c r="B10" s="3412" t="s">
        <v>977</v>
      </c>
      <c r="C10" s="3412"/>
      <c r="D10" s="1068">
        <v>527</v>
      </c>
      <c r="E10" s="1068" t="e">
        <f>ROUND(D1*10000/D10/H9,0)</f>
        <v>#DIV/0!</v>
      </c>
      <c r="F10" s="1069"/>
      <c r="G10" s="1069"/>
      <c r="H10" s="1070"/>
      <c r="I10" s="1071">
        <f>SUM(I3:I9)</f>
        <v>0</v>
      </c>
    </row>
    <row r="11" spans="1:9" ht="14.25">
      <c r="A11" s="3410" t="s">
        <v>1015</v>
      </c>
      <c r="B11" s="3411" t="s">
        <v>978</v>
      </c>
      <c r="C11" s="3411"/>
      <c r="D11" s="1064" t="s">
        <v>979</v>
      </c>
      <c r="E11" s="1064" t="s">
        <v>980</v>
      </c>
      <c r="F11" s="1065" t="s">
        <v>981</v>
      </c>
      <c r="G11" s="1065" t="s">
        <v>968</v>
      </c>
      <c r="H11" s="1072" t="s">
        <v>982</v>
      </c>
      <c r="I11" s="1063" t="s">
        <v>969</v>
      </c>
    </row>
    <row r="12" spans="1:9">
      <c r="A12" s="3410"/>
      <c r="B12" s="3411" t="s">
        <v>983</v>
      </c>
      <c r="C12" s="3411"/>
      <c r="D12" s="1064"/>
      <c r="E12" s="1064"/>
      <c r="F12" s="1065"/>
      <c r="G12" s="1066"/>
      <c r="H12" s="1073"/>
      <c r="I12" s="1063">
        <f>ROUND(D12*E12*F12*G12/10000,0)</f>
        <v>0</v>
      </c>
    </row>
    <row r="13" spans="1:9">
      <c r="A13" s="3410"/>
      <c r="B13" s="3411" t="s">
        <v>984</v>
      </c>
      <c r="C13" s="3411"/>
      <c r="D13" s="1064"/>
      <c r="E13" s="1064"/>
      <c r="F13" s="1065"/>
      <c r="G13" s="1066"/>
      <c r="H13" s="1073"/>
      <c r="I13" s="1063">
        <f>ROUND(D13*E13*F13*G13/10000,0)</f>
        <v>0</v>
      </c>
    </row>
    <row r="14" spans="1:9">
      <c r="A14" s="3410"/>
      <c r="B14" s="3411" t="s">
        <v>985</v>
      </c>
      <c r="C14" s="3411"/>
      <c r="D14" s="1064"/>
      <c r="E14" s="1064"/>
      <c r="F14" s="1065"/>
      <c r="G14" s="1066"/>
      <c r="H14" s="1073"/>
      <c r="I14" s="1063">
        <f>ROUND(D14*E14*F14*G14/10000,0)</f>
        <v>0</v>
      </c>
    </row>
    <row r="15" spans="1:9">
      <c r="A15" s="3410"/>
      <c r="B15" s="3412" t="s">
        <v>977</v>
      </c>
      <c r="C15" s="3412"/>
      <c r="D15" s="1068"/>
      <c r="E15" s="1068">
        <f>SUM(E12:E14)</f>
        <v>0</v>
      </c>
      <c r="F15" s="1069"/>
      <c r="G15" s="1066"/>
      <c r="H15" s="1073"/>
      <c r="I15" s="1074">
        <f>SUM(I12:I14)</f>
        <v>0</v>
      </c>
    </row>
    <row r="16" spans="1:9" ht="24">
      <c r="A16" s="3410" t="s">
        <v>1016</v>
      </c>
      <c r="B16" s="3411" t="s">
        <v>986</v>
      </c>
      <c r="C16" s="3411"/>
      <c r="D16" s="1064" t="s">
        <v>964</v>
      </c>
      <c r="E16" s="1075" t="s">
        <v>987</v>
      </c>
      <c r="F16" s="1065" t="s">
        <v>988</v>
      </c>
      <c r="G16" s="1066" t="s">
        <v>968</v>
      </c>
      <c r="H16" s="1072" t="s">
        <v>982</v>
      </c>
      <c r="I16" s="1063" t="s">
        <v>969</v>
      </c>
    </row>
    <row r="17" spans="1:9" ht="14.25">
      <c r="A17" s="3410"/>
      <c r="B17" s="3411" t="s">
        <v>989</v>
      </c>
      <c r="C17" s="3411"/>
      <c r="D17" s="1064"/>
      <c r="E17" s="1064"/>
      <c r="F17" s="1065"/>
      <c r="G17" s="1066"/>
      <c r="H17" s="1076"/>
      <c r="I17" s="1077">
        <f>ROUND(D17*E17*F17*G17/10000,0)</f>
        <v>0</v>
      </c>
    </row>
    <row r="18" spans="1:9" ht="14.25">
      <c r="A18" s="3410"/>
      <c r="B18" s="3411" t="s">
        <v>990</v>
      </c>
      <c r="C18" s="3411"/>
      <c r="D18" s="1064"/>
      <c r="E18" s="1064"/>
      <c r="F18" s="1065"/>
      <c r="G18" s="1066"/>
      <c r="H18" s="1076"/>
      <c r="I18" s="1077">
        <f>ROUND(D18*E18*F18*G18/10000,0)</f>
        <v>0</v>
      </c>
    </row>
    <row r="19" spans="1:9" ht="14.25">
      <c r="A19" s="3410"/>
      <c r="B19" s="3411" t="s">
        <v>991</v>
      </c>
      <c r="C19" s="3411"/>
      <c r="D19" s="1064"/>
      <c r="E19" s="1064"/>
      <c r="F19" s="1065"/>
      <c r="G19" s="1066"/>
      <c r="H19" s="1076"/>
      <c r="I19" s="1077">
        <f>ROUND(D19*E19*F19*G19/10000,0)</f>
        <v>0</v>
      </c>
    </row>
    <row r="20" spans="1:9">
      <c r="A20" s="3410"/>
      <c r="B20" s="3412" t="s">
        <v>977</v>
      </c>
      <c r="C20" s="3412"/>
      <c r="D20" s="1068">
        <f>SUM(D17:D19)</f>
        <v>0</v>
      </c>
      <c r="E20" s="1068"/>
      <c r="F20" s="1069"/>
      <c r="G20" s="1066"/>
      <c r="H20" s="1073"/>
      <c r="I20" s="1074">
        <f>SUM(I17:I19)</f>
        <v>0</v>
      </c>
    </row>
    <row r="21" spans="1:9">
      <c r="A21" s="3410" t="s">
        <v>1017</v>
      </c>
      <c r="B21" s="3414"/>
      <c r="C21" s="3414"/>
      <c r="D21" s="3414"/>
      <c r="E21" s="3414"/>
      <c r="F21" s="3414"/>
      <c r="G21" s="3414"/>
      <c r="H21" s="1078">
        <v>0.1</v>
      </c>
      <c r="I21" s="1071">
        <f>ROUND(I10*H21,0)</f>
        <v>0</v>
      </c>
    </row>
    <row r="22" spans="1:9" ht="14.25">
      <c r="A22" s="3415" t="s">
        <v>1018</v>
      </c>
      <c r="B22" s="3416"/>
      <c r="C22" s="3417"/>
      <c r="D22" s="1079" t="s">
        <v>992</v>
      </c>
      <c r="E22" s="1079" t="s">
        <v>993</v>
      </c>
      <c r="F22" s="1080" t="s">
        <v>968</v>
      </c>
      <c r="G22" s="1080" t="s">
        <v>994</v>
      </c>
      <c r="H22" s="1072" t="s">
        <v>982</v>
      </c>
      <c r="I22" s="1063" t="s">
        <v>969</v>
      </c>
    </row>
    <row r="23" spans="1:9" ht="14.25" thickBot="1">
      <c r="A23" s="3418"/>
      <c r="B23" s="3419"/>
      <c r="C23" s="3420"/>
      <c r="D23" s="1081"/>
      <c r="E23" s="1081"/>
      <c r="F23" s="1081"/>
      <c r="G23" s="1082"/>
      <c r="H23" s="1083"/>
      <c r="I23" s="1084">
        <f>ROUND(E23*D23*F23*(1-G23)/10000,0)</f>
        <v>0</v>
      </c>
    </row>
    <row r="26" spans="1:9">
      <c r="A26" s="1085" t="s">
        <v>995</v>
      </c>
      <c r="B26" s="1085"/>
      <c r="C26" s="1085"/>
      <c r="D26" s="1085"/>
      <c r="E26" s="3421">
        <f>C27-C30-C31-C32</f>
        <v>0</v>
      </c>
      <c r="F26" s="3421"/>
      <c r="G26" s="3421"/>
      <c r="H26" s="1304" t="s">
        <v>1206</v>
      </c>
    </row>
    <row r="27" spans="1:9">
      <c r="A27" s="1086">
        <v>1</v>
      </c>
      <c r="B27" s="1087" t="s">
        <v>996</v>
      </c>
      <c r="C27" s="1087">
        <f>C28+C29</f>
        <v>0</v>
      </c>
      <c r="D27" s="1087"/>
      <c r="E27" s="3422"/>
      <c r="F27" s="3422"/>
      <c r="G27" s="3422"/>
    </row>
    <row r="28" spans="1:9">
      <c r="A28" s="1088" t="s">
        <v>997</v>
      </c>
      <c r="B28" s="1087" t="s">
        <v>998</v>
      </c>
      <c r="C28" s="1087"/>
      <c r="D28" s="1087"/>
      <c r="E28" s="3422"/>
      <c r="F28" s="3422"/>
      <c r="G28" s="342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3"/>
      <c r="F32" s="3413"/>
      <c r="G32" s="3413"/>
    </row>
    <row r="33" spans="1:7" hidden="1">
      <c r="A33" s="3423" t="s">
        <v>1007</v>
      </c>
      <c r="B33" s="3424"/>
      <c r="C33" s="3424"/>
      <c r="D33" s="3425"/>
      <c r="E33" s="3421"/>
      <c r="F33" s="3421"/>
      <c r="G33" s="3421"/>
    </row>
    <row r="34" spans="1:7" hidden="1">
      <c r="A34" s="1090">
        <v>1</v>
      </c>
      <c r="B34" s="1087" t="s">
        <v>1008</v>
      </c>
      <c r="C34" s="1087"/>
      <c r="D34" s="1087"/>
      <c r="E34" s="3422"/>
      <c r="F34" s="3422"/>
      <c r="G34" s="3422"/>
    </row>
    <row r="35" spans="1:7" hidden="1">
      <c r="A35" s="1090">
        <v>2</v>
      </c>
      <c r="B35" s="1087" t="s">
        <v>1009</v>
      </c>
      <c r="C35" s="1087"/>
      <c r="D35" s="1087"/>
      <c r="E35" s="3422"/>
      <c r="F35" s="3422"/>
      <c r="G35" s="3422"/>
    </row>
    <row r="36" spans="1:7" hidden="1">
      <c r="A36" s="1090">
        <v>3</v>
      </c>
      <c r="B36" s="1087" t="s">
        <v>1010</v>
      </c>
      <c r="C36" s="1087"/>
      <c r="D36" s="1087"/>
      <c r="E36" s="3422"/>
      <c r="F36" s="3422"/>
      <c r="G36" s="3422"/>
    </row>
    <row r="37" spans="1:7" hidden="1">
      <c r="A37" s="1090">
        <v>4</v>
      </c>
      <c r="B37" s="1087" t="s">
        <v>1011</v>
      </c>
      <c r="C37" s="1087"/>
      <c r="D37" s="1087"/>
      <c r="E37" s="3422"/>
      <c r="F37" s="3422"/>
      <c r="G37" s="3422"/>
    </row>
    <row r="38" spans="1:7" hidden="1">
      <c r="A38" s="3423" t="s">
        <v>1012</v>
      </c>
      <c r="B38" s="3424"/>
      <c r="C38" s="3424"/>
      <c r="D38" s="3425"/>
      <c r="E38" s="3421"/>
      <c r="F38" s="3421"/>
      <c r="G38" s="342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29" t="s">
        <v>2213</v>
      </c>
      <c r="D4" s="3430"/>
      <c r="E4" s="3430"/>
      <c r="F4" s="3430"/>
      <c r="G4" s="3430"/>
      <c r="H4" s="3430"/>
      <c r="I4" s="3430"/>
      <c r="J4" s="3430"/>
      <c r="K4" s="3430"/>
      <c r="L4" s="3430"/>
      <c r="M4" s="3430"/>
      <c r="N4" s="3430"/>
      <c r="O4" s="3430"/>
      <c r="P4" s="3430"/>
      <c r="Q4" s="3430"/>
      <c r="R4" s="3430"/>
      <c r="S4" s="3431"/>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26" t="s">
        <v>45</v>
      </c>
      <c r="D25" s="3427"/>
      <c r="E25" s="3427"/>
      <c r="F25" s="3427"/>
      <c r="G25" s="3427"/>
      <c r="H25" s="3427"/>
      <c r="I25" s="3427"/>
      <c r="J25" s="3427"/>
      <c r="K25" s="3427"/>
      <c r="L25" s="3427"/>
      <c r="M25" s="3427"/>
      <c r="N25" s="3427"/>
      <c r="O25" s="3427"/>
      <c r="P25" s="3427"/>
      <c r="Q25" s="3428"/>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70" zoomScaleSheetLayoutView="90" workbookViewId="0">
      <selection activeCell="I105" sqref="I105"/>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4574270</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38765</v>
      </c>
      <c r="C3" s="1660" t="s">
        <v>2245</v>
      </c>
      <c r="D3" s="1660">
        <f>IF(C1="仅计算典型户型",'数据-取费表'!E5,'数据-取费表'!B5)</f>
        <v>118</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35" t="s">
        <v>2247</v>
      </c>
      <c r="D4" s="3436"/>
      <c r="E4" s="3437" t="s">
        <v>2248</v>
      </c>
      <c r="F4" s="3438"/>
      <c r="G4" s="3435" t="s">
        <v>2249</v>
      </c>
      <c r="H4" s="3436"/>
      <c r="I4" s="3435" t="s">
        <v>2250</v>
      </c>
      <c r="J4" s="3436"/>
      <c r="K4" s="1665" t="s">
        <v>2251</v>
      </c>
      <c r="L4" s="2997"/>
      <c r="M4" s="2998"/>
      <c r="N4" s="2998"/>
      <c r="O4" s="2998"/>
      <c r="P4" s="3439" t="s">
        <v>2252</v>
      </c>
      <c r="Q4" s="3440"/>
      <c r="R4" s="3445" t="s">
        <v>2248</v>
      </c>
      <c r="S4" s="3446"/>
      <c r="T4" s="3445" t="s">
        <v>2249</v>
      </c>
      <c r="U4" s="3446"/>
      <c r="V4" s="3451" t="s">
        <v>2250</v>
      </c>
      <c r="W4" s="3451"/>
      <c r="X4" s="1666"/>
      <c r="Y4" s="3445" t="s">
        <v>2252</v>
      </c>
      <c r="Z4" s="3446"/>
      <c r="AA4" s="3432" t="s">
        <v>2248</v>
      </c>
      <c r="AB4" s="3432" t="s">
        <v>2249</v>
      </c>
      <c r="AC4" s="3432" t="s">
        <v>2250</v>
      </c>
    </row>
    <row r="5" spans="1:29" ht="15">
      <c r="A5" s="1668"/>
      <c r="B5" s="1669"/>
      <c r="C5" s="3454" t="s">
        <v>2253</v>
      </c>
      <c r="D5" s="3455"/>
      <c r="E5" s="3452" t="s">
        <v>2254</v>
      </c>
      <c r="F5" s="3453"/>
      <c r="G5" s="3454" t="s">
        <v>2255</v>
      </c>
      <c r="H5" s="3455"/>
      <c r="I5" s="3454" t="s">
        <v>2256</v>
      </c>
      <c r="J5" s="3455"/>
      <c r="K5" s="1670"/>
      <c r="L5" s="2997"/>
      <c r="M5" s="2998"/>
      <c r="N5" s="2998"/>
      <c r="O5" s="2998"/>
      <c r="P5" s="3441"/>
      <c r="Q5" s="3442"/>
      <c r="R5" s="3447"/>
      <c r="S5" s="3448"/>
      <c r="T5" s="3447"/>
      <c r="U5" s="3448"/>
      <c r="V5" s="3451"/>
      <c r="W5" s="3451"/>
      <c r="X5" s="1666"/>
      <c r="Y5" s="3447"/>
      <c r="Z5" s="3448"/>
      <c r="AA5" s="3433"/>
      <c r="AB5" s="3433"/>
      <c r="AC5" s="3433"/>
    </row>
    <row r="6" spans="1:29" ht="33" customHeight="1" thickBot="1">
      <c r="A6" s="1671"/>
      <c r="B6" s="1672"/>
      <c r="C6" s="3456" t="s">
        <v>2933</v>
      </c>
      <c r="D6" s="3457"/>
      <c r="E6" s="3456" t="s">
        <v>2939</v>
      </c>
      <c r="F6" s="3457"/>
      <c r="G6" s="3456" t="s">
        <v>2940</v>
      </c>
      <c r="H6" s="3457"/>
      <c r="I6" s="3456" t="s">
        <v>2943</v>
      </c>
      <c r="J6" s="3457"/>
      <c r="K6" s="1670" t="s">
        <v>2258</v>
      </c>
      <c r="L6" s="2997"/>
      <c r="M6" s="2998"/>
      <c r="N6" s="2998"/>
      <c r="O6" s="2998"/>
      <c r="P6" s="3443"/>
      <c r="Q6" s="3444"/>
      <c r="R6" s="3447"/>
      <c r="S6" s="3448"/>
      <c r="T6" s="3449"/>
      <c r="U6" s="3450"/>
      <c r="V6" s="3451"/>
      <c r="W6" s="3451"/>
      <c r="X6" s="1666"/>
      <c r="Y6" s="3449"/>
      <c r="Z6" s="3450"/>
      <c r="AA6" s="3434"/>
      <c r="AB6" s="3434"/>
      <c r="AC6" s="3434"/>
    </row>
    <row r="7" spans="1:29" s="1685" customFormat="1" ht="15.75" thickBot="1">
      <c r="A7" s="1673" t="s">
        <v>2259</v>
      </c>
      <c r="B7" s="1674"/>
      <c r="C7" s="1675">
        <f>'数据-取费表'!B2</f>
        <v>41829</v>
      </c>
      <c r="D7" s="1676">
        <v>100</v>
      </c>
      <c r="E7" s="1677">
        <v>41810</v>
      </c>
      <c r="F7" s="1678">
        <f>SUMIF(58:58,YEAR(E7)&amp;"-"&amp;MONTH(E7),59:59)</f>
        <v>100</v>
      </c>
      <c r="G7" s="1677">
        <v>41746</v>
      </c>
      <c r="H7" s="1676">
        <f>SUMIF(58:58,YEAR(G7)&amp;"-"&amp;MONTH(G7),59:59)</f>
        <v>100</v>
      </c>
      <c r="I7" s="1677">
        <v>41737</v>
      </c>
      <c r="J7" s="1676">
        <f>SUMIF(58:58,YEAR(I7)&amp;"-"&amp;MONTH(I7),59:59)</f>
        <v>100</v>
      </c>
      <c r="K7" s="1679"/>
      <c r="L7" s="2997"/>
      <c r="M7" s="2970"/>
      <c r="N7" s="2970"/>
      <c r="O7" s="2970"/>
      <c r="P7" s="3465" t="s">
        <v>2260</v>
      </c>
      <c r="Q7" s="3467"/>
      <c r="R7" s="1681" t="s">
        <v>34</v>
      </c>
      <c r="S7" s="1682">
        <f t="shared" ref="S7:S15" si="0">F7</f>
        <v>100</v>
      </c>
      <c r="T7" s="1681" t="s">
        <v>34</v>
      </c>
      <c r="U7" s="1682">
        <f t="shared" ref="U7:U15" si="1">H7</f>
        <v>100</v>
      </c>
      <c r="V7" s="1681" t="s">
        <v>34</v>
      </c>
      <c r="W7" s="1682">
        <f t="shared" ref="W7:W15" si="2">J7</f>
        <v>100</v>
      </c>
      <c r="X7" s="1683"/>
      <c r="Y7" s="3465" t="s">
        <v>2260</v>
      </c>
      <c r="Z7" s="3466"/>
      <c r="AA7" s="1684">
        <f>D7/F7</f>
        <v>1</v>
      </c>
      <c r="AB7" s="1684">
        <f>D7/H7</f>
        <v>1</v>
      </c>
      <c r="AC7" s="1684">
        <f>D7/J7</f>
        <v>1</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465" t="s">
        <v>2263</v>
      </c>
      <c r="Q8" s="3466"/>
      <c r="R8" s="1681" t="s">
        <v>34</v>
      </c>
      <c r="S8" s="1682">
        <f t="shared" si="0"/>
        <v>100</v>
      </c>
      <c r="T8" s="1681" t="s">
        <v>34</v>
      </c>
      <c r="U8" s="1682">
        <f t="shared" si="1"/>
        <v>100</v>
      </c>
      <c r="V8" s="1681" t="s">
        <v>34</v>
      </c>
      <c r="W8" s="1682">
        <f t="shared" si="2"/>
        <v>100</v>
      </c>
      <c r="X8" s="1683"/>
      <c r="Y8" s="3465" t="s">
        <v>2263</v>
      </c>
      <c r="Z8" s="3466"/>
      <c r="AA8" s="1684">
        <f t="shared" ref="AA8:AA46" si="3">D8/F8</f>
        <v>1</v>
      </c>
      <c r="AB8" s="1684">
        <f t="shared" ref="AB8:AB46" si="4">D8/H8</f>
        <v>1</v>
      </c>
      <c r="AC8" s="1684">
        <f t="shared" ref="AC8:AC46" si="5">D8/J8</f>
        <v>1</v>
      </c>
    </row>
    <row r="9" spans="1:29" s="1685" customFormat="1">
      <c r="A9" s="1636" t="s">
        <v>2264</v>
      </c>
      <c r="B9" s="1688" t="s">
        <v>2265</v>
      </c>
      <c r="C9" s="3162" t="s">
        <v>2904</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468" t="s">
        <v>2266</v>
      </c>
      <c r="Q9" s="1635" t="str">
        <f t="shared" ref="Q9:Q15" si="6">B9</f>
        <v>用途</v>
      </c>
      <c r="R9" s="1681" t="s">
        <v>25</v>
      </c>
      <c r="S9" s="1682">
        <f t="shared" si="0"/>
        <v>100</v>
      </c>
      <c r="T9" s="1681" t="s">
        <v>25</v>
      </c>
      <c r="U9" s="1682">
        <f t="shared" si="1"/>
        <v>100</v>
      </c>
      <c r="V9" s="1681" t="s">
        <v>25</v>
      </c>
      <c r="W9" s="1682">
        <f t="shared" si="2"/>
        <v>100</v>
      </c>
      <c r="X9" s="1683"/>
      <c r="Y9" s="3333" t="s">
        <v>2267</v>
      </c>
      <c r="Z9" s="1694" t="str">
        <f t="shared" ref="Z9:Z15" si="7">Q9</f>
        <v>用途</v>
      </c>
      <c r="AA9" s="1684">
        <f t="shared" si="3"/>
        <v>1</v>
      </c>
      <c r="AB9" s="1684">
        <f t="shared" si="4"/>
        <v>1</v>
      </c>
      <c r="AC9" s="1684">
        <f t="shared" si="5"/>
        <v>1</v>
      </c>
    </row>
    <row r="10" spans="1:29" s="1702" customFormat="1" ht="27">
      <c r="A10" s="1695"/>
      <c r="B10" s="1696" t="s">
        <v>2268</v>
      </c>
      <c r="C10" s="1697" t="s">
        <v>2905</v>
      </c>
      <c r="D10" s="1698">
        <v>100</v>
      </c>
      <c r="E10" s="1699" t="s">
        <v>2905</v>
      </c>
      <c r="F10" s="1700">
        <f>SUMIF(65:65,E10,66:66)-SUMIF(65:65,C10,66:66)+100</f>
        <v>100</v>
      </c>
      <c r="G10" s="1697" t="s">
        <v>2905</v>
      </c>
      <c r="H10" s="1698">
        <f>SUMIF(65:65,G10,66:66)-SUMIF(65:65,C10,66:66)+100</f>
        <v>100</v>
      </c>
      <c r="I10" s="1697" t="s">
        <v>2905</v>
      </c>
      <c r="J10" s="1698">
        <f>SUMIF(65:65,I10,66:66)-SUMIF(65:65,C10,66:66)+100</f>
        <v>100</v>
      </c>
      <c r="K10" s="1701"/>
      <c r="L10" s="2999"/>
      <c r="M10" s="3000"/>
      <c r="N10" s="3000"/>
      <c r="O10" s="3000"/>
      <c r="P10" s="3468"/>
      <c r="Q10" s="1635" t="str">
        <f t="shared" si="6"/>
        <v>土地使用年限（年）</v>
      </c>
      <c r="R10" s="1681" t="s">
        <v>25</v>
      </c>
      <c r="S10" s="1682">
        <f t="shared" si="0"/>
        <v>100</v>
      </c>
      <c r="T10" s="1681" t="s">
        <v>25</v>
      </c>
      <c r="U10" s="1682">
        <f t="shared" si="1"/>
        <v>100</v>
      </c>
      <c r="V10" s="1681" t="s">
        <v>25</v>
      </c>
      <c r="W10" s="1682">
        <f t="shared" si="2"/>
        <v>100</v>
      </c>
      <c r="X10" s="1683"/>
      <c r="Y10" s="3333"/>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468"/>
      <c r="Q11" s="1635" t="str">
        <f t="shared" si="6"/>
        <v>容积率</v>
      </c>
      <c r="R11" s="1681" t="s">
        <v>28</v>
      </c>
      <c r="S11" s="1682">
        <f t="shared" si="0"/>
        <v>100</v>
      </c>
      <c r="T11" s="1681" t="s">
        <v>28</v>
      </c>
      <c r="U11" s="1682">
        <f t="shared" si="1"/>
        <v>100</v>
      </c>
      <c r="V11" s="1681" t="s">
        <v>28</v>
      </c>
      <c r="W11" s="1682">
        <f t="shared" si="2"/>
        <v>100</v>
      </c>
      <c r="X11" s="1683"/>
      <c r="Y11" s="3333"/>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8"/>
      <c r="Q12" s="1635">
        <f t="shared" si="6"/>
        <v>111</v>
      </c>
      <c r="R12" s="1681" t="s">
        <v>28</v>
      </c>
      <c r="S12" s="1682">
        <f t="shared" si="0"/>
        <v>100</v>
      </c>
      <c r="T12" s="1681" t="s">
        <v>28</v>
      </c>
      <c r="U12" s="1682">
        <f t="shared" si="1"/>
        <v>100</v>
      </c>
      <c r="V12" s="1681" t="s">
        <v>28</v>
      </c>
      <c r="W12" s="1682">
        <f t="shared" si="2"/>
        <v>100</v>
      </c>
      <c r="X12" s="1683"/>
      <c r="Y12" s="333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8"/>
      <c r="Q13" s="1635">
        <f t="shared" si="6"/>
        <v>111</v>
      </c>
      <c r="R13" s="1681" t="s">
        <v>28</v>
      </c>
      <c r="S13" s="1682">
        <f t="shared" si="0"/>
        <v>100</v>
      </c>
      <c r="T13" s="1681" t="s">
        <v>28</v>
      </c>
      <c r="U13" s="1682">
        <f t="shared" si="1"/>
        <v>100</v>
      </c>
      <c r="V13" s="1681" t="s">
        <v>28</v>
      </c>
      <c r="W13" s="1682">
        <f t="shared" si="2"/>
        <v>100</v>
      </c>
      <c r="X13" s="1683"/>
      <c r="Y13" s="3333"/>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8"/>
      <c r="Q14" s="1635">
        <f t="shared" si="6"/>
        <v>111</v>
      </c>
      <c r="R14" s="1681" t="s">
        <v>28</v>
      </c>
      <c r="S14" s="1682">
        <f t="shared" si="0"/>
        <v>100</v>
      </c>
      <c r="T14" s="1681" t="s">
        <v>28</v>
      </c>
      <c r="U14" s="1682">
        <f t="shared" si="1"/>
        <v>100</v>
      </c>
      <c r="V14" s="1681" t="s">
        <v>28</v>
      </c>
      <c r="W14" s="1682">
        <f t="shared" si="2"/>
        <v>100</v>
      </c>
      <c r="X14" s="1683"/>
      <c r="Y14" s="3333"/>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71" t="s">
        <v>2271</v>
      </c>
      <c r="Q15" s="1616" t="str">
        <f t="shared" si="6"/>
        <v>居住社区成熟度</v>
      </c>
      <c r="R15" s="1726" t="s">
        <v>28</v>
      </c>
      <c r="S15" s="1727">
        <f t="shared" si="0"/>
        <v>100</v>
      </c>
      <c r="T15" s="1726" t="s">
        <v>28</v>
      </c>
      <c r="U15" s="1727">
        <f t="shared" si="1"/>
        <v>100</v>
      </c>
      <c r="V15" s="1726" t="s">
        <v>28</v>
      </c>
      <c r="W15" s="1727">
        <f t="shared" si="2"/>
        <v>100</v>
      </c>
      <c r="X15" s="1666"/>
      <c r="Y15" s="3458" t="s">
        <v>2271</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472"/>
      <c r="Q16" s="1616"/>
      <c r="R16" s="1726"/>
      <c r="S16" s="1727"/>
      <c r="T16" s="1726"/>
      <c r="U16" s="1727"/>
      <c r="V16" s="1726"/>
      <c r="W16" s="1727"/>
      <c r="X16" s="1666"/>
      <c r="Y16" s="3459"/>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102</v>
      </c>
      <c r="I17" s="1740"/>
      <c r="J17" s="1743">
        <f>SUMIF(78:78,I18,79:79)-SUMIF(78:78,C18,79:79)+100</f>
        <v>102</v>
      </c>
      <c r="K17" s="1725">
        <v>2</v>
      </c>
      <c r="L17" s="3002"/>
      <c r="M17" s="2998"/>
      <c r="N17" s="2998"/>
      <c r="O17" s="2998"/>
      <c r="P17" s="3472"/>
      <c r="Q17" s="1616" t="str">
        <f>B17</f>
        <v>交通便捷度</v>
      </c>
      <c r="R17" s="1726" t="s">
        <v>28</v>
      </c>
      <c r="S17" s="1727">
        <f>F17</f>
        <v>100</v>
      </c>
      <c r="T17" s="1726" t="s">
        <v>28</v>
      </c>
      <c r="U17" s="1727">
        <f>H17</f>
        <v>102</v>
      </c>
      <c r="V17" s="1726" t="s">
        <v>28</v>
      </c>
      <c r="W17" s="1727">
        <f>J17</f>
        <v>102</v>
      </c>
      <c r="X17" s="1666"/>
      <c r="Y17" s="3459"/>
      <c r="Z17" s="1728" t="str">
        <f>Q17</f>
        <v>交通便捷度</v>
      </c>
      <c r="AA17" s="1729">
        <f t="shared" si="3"/>
        <v>1</v>
      </c>
      <c r="AB17" s="1729">
        <f t="shared" si="4"/>
        <v>0.98039215686274506</v>
      </c>
      <c r="AC17" s="1729">
        <f t="shared" si="5"/>
        <v>0.98039215686274506</v>
      </c>
    </row>
    <row r="18" spans="1:29" ht="15">
      <c r="A18" s="1703"/>
      <c r="B18" s="1744"/>
      <c r="C18" s="1745" t="s">
        <v>32</v>
      </c>
      <c r="D18" s="1736"/>
      <c r="E18" s="1746" t="s">
        <v>32</v>
      </c>
      <c r="F18" s="1741"/>
      <c r="G18" s="1747" t="s">
        <v>31</v>
      </c>
      <c r="H18" s="1732"/>
      <c r="I18" s="1746" t="s">
        <v>31</v>
      </c>
      <c r="J18" s="1732"/>
      <c r="K18" s="1737"/>
      <c r="L18" s="3002"/>
      <c r="M18" s="2998"/>
      <c r="N18" s="2998"/>
      <c r="O18" s="2998"/>
      <c r="P18" s="3472"/>
      <c r="Q18" s="1616"/>
      <c r="R18" s="1726"/>
      <c r="S18" s="1727"/>
      <c r="T18" s="1726"/>
      <c r="U18" s="1727"/>
      <c r="V18" s="1726"/>
      <c r="W18" s="1727"/>
      <c r="X18" s="1666"/>
      <c r="Y18" s="3459"/>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72"/>
      <c r="Q19" s="1616" t="str">
        <f>B19</f>
        <v>公共配套设施</v>
      </c>
      <c r="R19" s="1726" t="s">
        <v>28</v>
      </c>
      <c r="S19" s="1727">
        <f>F19</f>
        <v>100</v>
      </c>
      <c r="T19" s="1726" t="s">
        <v>28</v>
      </c>
      <c r="U19" s="1727">
        <f>H19</f>
        <v>100</v>
      </c>
      <c r="V19" s="1726" t="s">
        <v>28</v>
      </c>
      <c r="W19" s="1727">
        <f>J19</f>
        <v>100</v>
      </c>
      <c r="X19" s="1666"/>
      <c r="Y19" s="3459"/>
      <c r="Z19" s="1728" t="str">
        <f>Q19</f>
        <v>公共配套设施</v>
      </c>
      <c r="AA19" s="1729">
        <f t="shared" si="3"/>
        <v>1</v>
      </c>
      <c r="AB19" s="1729">
        <f t="shared" si="4"/>
        <v>1</v>
      </c>
      <c r="AC19" s="1729">
        <f t="shared" si="5"/>
        <v>1</v>
      </c>
    </row>
    <row r="20" spans="1:29" ht="15">
      <c r="A20" s="1703"/>
      <c r="B20" s="1744"/>
      <c r="C20" s="1731" t="s">
        <v>31</v>
      </c>
      <c r="D20" s="1732"/>
      <c r="E20" s="1733" t="s">
        <v>31</v>
      </c>
      <c r="F20" s="1734"/>
      <c r="G20" s="1735" t="s">
        <v>31</v>
      </c>
      <c r="H20" s="1732"/>
      <c r="I20" s="1733" t="s">
        <v>31</v>
      </c>
      <c r="J20" s="1732"/>
      <c r="K20" s="1737"/>
      <c r="L20" s="3002"/>
      <c r="M20" s="2998"/>
      <c r="N20" s="2998"/>
      <c r="O20" s="2998"/>
      <c r="P20" s="3472"/>
      <c r="Q20" s="1616"/>
      <c r="R20" s="1726"/>
      <c r="S20" s="1727"/>
      <c r="T20" s="1726"/>
      <c r="U20" s="1727"/>
      <c r="V20" s="1726"/>
      <c r="W20" s="1727"/>
      <c r="X20" s="1666"/>
      <c r="Y20" s="3459"/>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72"/>
      <c r="Q21" s="1616" t="str">
        <f>B21</f>
        <v>基础设施水平</v>
      </c>
      <c r="R21" s="1726" t="s">
        <v>28</v>
      </c>
      <c r="S21" s="1727">
        <f>F21</f>
        <v>100</v>
      </c>
      <c r="T21" s="1726" t="s">
        <v>28</v>
      </c>
      <c r="U21" s="1727">
        <f>H21</f>
        <v>100</v>
      </c>
      <c r="V21" s="1726" t="s">
        <v>28</v>
      </c>
      <c r="W21" s="1727">
        <f>J21</f>
        <v>100</v>
      </c>
      <c r="X21" s="1666"/>
      <c r="Y21" s="3459"/>
      <c r="Z21" s="1728" t="str">
        <f>Q21</f>
        <v>基础设施水平</v>
      </c>
      <c r="AA21" s="1729">
        <f t="shared" ref="AA21" si="8">D21/F21</f>
        <v>1</v>
      </c>
      <c r="AB21" s="1729">
        <f t="shared" ref="AB21" si="9">D21/H21</f>
        <v>1</v>
      </c>
      <c r="AC21" s="1729">
        <f t="shared" ref="AC21" si="10">D21/J21</f>
        <v>1</v>
      </c>
    </row>
    <row r="22" spans="1:29" ht="15">
      <c r="A22" s="1703"/>
      <c r="B22" s="1751"/>
      <c r="C22" s="1745" t="s">
        <v>2906</v>
      </c>
      <c r="D22" s="1732"/>
      <c r="E22" s="1731" t="s">
        <v>2906</v>
      </c>
      <c r="F22" s="1734"/>
      <c r="G22" s="1731" t="s">
        <v>2906</v>
      </c>
      <c r="H22" s="1732"/>
      <c r="I22" s="1731" t="s">
        <v>2906</v>
      </c>
      <c r="J22" s="1732"/>
      <c r="K22" s="1752"/>
      <c r="L22" s="3002"/>
      <c r="M22" s="2998"/>
      <c r="N22" s="2998"/>
      <c r="O22" s="2998"/>
      <c r="P22" s="3472"/>
      <c r="Q22" s="1616"/>
      <c r="R22" s="1726"/>
      <c r="S22" s="1727"/>
      <c r="T22" s="1726"/>
      <c r="U22" s="1727"/>
      <c r="V22" s="1726"/>
      <c r="W22" s="1727"/>
      <c r="X22" s="1666"/>
      <c r="Y22" s="3459"/>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72"/>
      <c r="Q23" s="1616" t="str">
        <f>B23</f>
        <v>自然及人文环境</v>
      </c>
      <c r="R23" s="1726" t="s">
        <v>28</v>
      </c>
      <c r="S23" s="1727">
        <f>F23</f>
        <v>100</v>
      </c>
      <c r="T23" s="1726" t="s">
        <v>28</v>
      </c>
      <c r="U23" s="1727">
        <f>H23</f>
        <v>100</v>
      </c>
      <c r="V23" s="1726" t="s">
        <v>28</v>
      </c>
      <c r="W23" s="1727">
        <f>J23</f>
        <v>100</v>
      </c>
      <c r="X23" s="1666"/>
      <c r="Y23" s="3459"/>
      <c r="Z23" s="1728" t="str">
        <f>Q23</f>
        <v>自然及人文环境</v>
      </c>
      <c r="AA23" s="1729">
        <f t="shared" si="3"/>
        <v>1</v>
      </c>
      <c r="AB23" s="1729">
        <f t="shared" si="4"/>
        <v>1</v>
      </c>
      <c r="AC23" s="1729">
        <f t="shared" si="5"/>
        <v>1</v>
      </c>
    </row>
    <row r="24" spans="1:29" ht="15">
      <c r="A24" s="1703"/>
      <c r="B24" s="1744"/>
      <c r="C24" s="1731" t="s">
        <v>31</v>
      </c>
      <c r="D24" s="1732"/>
      <c r="E24" s="1733" t="s">
        <v>31</v>
      </c>
      <c r="F24" s="1734"/>
      <c r="G24" s="1735" t="s">
        <v>31</v>
      </c>
      <c r="H24" s="1732"/>
      <c r="I24" s="1733" t="s">
        <v>31</v>
      </c>
      <c r="J24" s="1732"/>
      <c r="K24" s="1737"/>
      <c r="L24" s="3002"/>
      <c r="M24" s="2998"/>
      <c r="N24" s="2998"/>
      <c r="O24" s="2998"/>
      <c r="P24" s="3472"/>
      <c r="Q24" s="1616"/>
      <c r="R24" s="1726"/>
      <c r="S24" s="1727"/>
      <c r="T24" s="1726"/>
      <c r="U24" s="1727"/>
      <c r="V24" s="1726"/>
      <c r="W24" s="1727"/>
      <c r="X24" s="1666"/>
      <c r="Y24" s="3459"/>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72"/>
      <c r="Q25" s="1616" t="str">
        <f t="shared" ref="Q25:Q46" si="11">B25</f>
        <v>楼层-1</v>
      </c>
      <c r="R25" s="1726" t="s">
        <v>28</v>
      </c>
      <c r="S25" s="1727">
        <f>F25</f>
        <v>100</v>
      </c>
      <c r="T25" s="1726" t="s">
        <v>28</v>
      </c>
      <c r="U25" s="1727">
        <f>H25</f>
        <v>100</v>
      </c>
      <c r="V25" s="1726" t="s">
        <v>28</v>
      </c>
      <c r="W25" s="1727">
        <f>J25</f>
        <v>100</v>
      </c>
      <c r="X25" s="1666"/>
      <c r="Y25" s="3459"/>
      <c r="Z25" s="1728" t="str">
        <f>Q25</f>
        <v>楼层-1</v>
      </c>
      <c r="AA25" s="1729">
        <f t="shared" si="3"/>
        <v>1</v>
      </c>
      <c r="AB25" s="1729">
        <f t="shared" si="4"/>
        <v>1</v>
      </c>
      <c r="AC25" s="1729">
        <f t="shared" si="5"/>
        <v>1</v>
      </c>
    </row>
    <row r="26" spans="1:29" ht="15">
      <c r="A26" s="1703"/>
      <c r="B26" s="3164" t="s">
        <v>2908</v>
      </c>
      <c r="C26" s="1753" t="s">
        <v>2944</v>
      </c>
      <c r="D26" s="1712">
        <v>100</v>
      </c>
      <c r="E26" s="3169" t="s">
        <v>2946</v>
      </c>
      <c r="F26" s="1755">
        <f>SUMIF(88:88,E26,89:89)-SUMIF(88:88,C26,89:89)+100</f>
        <v>95</v>
      </c>
      <c r="G26" s="3170" t="s">
        <v>2945</v>
      </c>
      <c r="H26" s="1712">
        <f>SUMIF(88:88,G26,89:89)-SUMIF(88:88,C26,89:89)+100</f>
        <v>100</v>
      </c>
      <c r="I26" s="3169" t="s">
        <v>2945</v>
      </c>
      <c r="J26" s="1712">
        <f>SUMIF(88:88,I26,89:89)-SUMIF(88:88,C26,89:89)+100</f>
        <v>100</v>
      </c>
      <c r="K26" s="1701">
        <v>5</v>
      </c>
      <c r="L26" s="3002"/>
      <c r="M26" s="2998"/>
      <c r="N26" s="2998"/>
      <c r="O26" s="2998"/>
      <c r="P26" s="3472"/>
      <c r="Q26" s="1616" t="str">
        <f t="shared" si="11"/>
        <v>朝向</v>
      </c>
      <c r="R26" s="1726" t="s">
        <v>28</v>
      </c>
      <c r="S26" s="1727">
        <f>F26</f>
        <v>95</v>
      </c>
      <c r="T26" s="1726" t="s">
        <v>28</v>
      </c>
      <c r="U26" s="1727">
        <f>H26</f>
        <v>100</v>
      </c>
      <c r="V26" s="1726" t="s">
        <v>28</v>
      </c>
      <c r="W26" s="1727">
        <f>J26</f>
        <v>100</v>
      </c>
      <c r="X26" s="1666"/>
      <c r="Y26" s="3459"/>
      <c r="Z26" s="1728" t="str">
        <f>Q26</f>
        <v>朝向</v>
      </c>
      <c r="AA26" s="1729">
        <f t="shared" si="3"/>
        <v>1.0526315789473684</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72"/>
      <c r="Q27" s="1635" t="str">
        <f t="shared" si="11"/>
        <v>道路级别</v>
      </c>
      <c r="R27" s="1681" t="s">
        <v>28</v>
      </c>
      <c r="S27" s="1682">
        <f>F27</f>
        <v>100</v>
      </c>
      <c r="T27" s="1681" t="s">
        <v>28</v>
      </c>
      <c r="U27" s="1682">
        <f>H27</f>
        <v>100</v>
      </c>
      <c r="V27" s="1681" t="s">
        <v>28</v>
      </c>
      <c r="W27" s="1682">
        <f>J27</f>
        <v>100</v>
      </c>
      <c r="X27" s="1683"/>
      <c r="Y27" s="3459"/>
      <c r="Z27" s="1694" t="str">
        <f>Q27</f>
        <v>道路级别</v>
      </c>
      <c r="AA27" s="1729">
        <f>D27/F27</f>
        <v>1</v>
      </c>
      <c r="AB27" s="1729">
        <f>D27/H27</f>
        <v>1</v>
      </c>
      <c r="AC27" s="1729">
        <f>D27/J27</f>
        <v>1</v>
      </c>
    </row>
    <row r="28" spans="1:29" ht="15">
      <c r="A28" s="1703"/>
      <c r="B28" s="3163" t="s">
        <v>2907</v>
      </c>
      <c r="C28" s="1711" t="s">
        <v>2934</v>
      </c>
      <c r="D28" s="1712">
        <v>100</v>
      </c>
      <c r="E28" s="1711" t="s">
        <v>2937</v>
      </c>
      <c r="F28" s="1755">
        <f>SUMIF(92:92,E28,93:93)-SUMIF(92:92,C28,93:93)+100</f>
        <v>104</v>
      </c>
      <c r="G28" s="1711" t="s">
        <v>2941</v>
      </c>
      <c r="H28" s="1712">
        <f>SUMIF(92:92,G28,93:93)-SUMIF(92:92,C28,93:93)+100</f>
        <v>102</v>
      </c>
      <c r="I28" s="1711" t="s">
        <v>2942</v>
      </c>
      <c r="J28" s="1712">
        <f>SUMIF(92:92,I28,93:93)-SUMIF(92:92,C28,93:93)+100</f>
        <v>100</v>
      </c>
      <c r="K28" s="1710"/>
      <c r="L28" s="3002"/>
      <c r="M28" s="2998"/>
      <c r="N28" s="2998"/>
      <c r="O28" s="2998"/>
      <c r="P28" s="3472"/>
      <c r="Q28" s="1616" t="str">
        <f t="shared" si="11"/>
        <v>楼层</v>
      </c>
      <c r="R28" s="1726" t="s">
        <v>28</v>
      </c>
      <c r="S28" s="1727">
        <f t="shared" ref="S28:S46" si="12">F28</f>
        <v>104</v>
      </c>
      <c r="T28" s="1726" t="s">
        <v>28</v>
      </c>
      <c r="U28" s="1727">
        <f t="shared" ref="U28:U46" si="13">H28</f>
        <v>102</v>
      </c>
      <c r="V28" s="1726" t="s">
        <v>28</v>
      </c>
      <c r="W28" s="1727">
        <f t="shared" ref="W28:W46" si="14">J28</f>
        <v>100</v>
      </c>
      <c r="X28" s="1666"/>
      <c r="Y28" s="3459"/>
      <c r="Z28" s="1728" t="str">
        <f t="shared" ref="Z28:Z46" si="15">Q28</f>
        <v>楼层</v>
      </c>
      <c r="AA28" s="1729">
        <f t="shared" si="3"/>
        <v>0.96153846153846156</v>
      </c>
      <c r="AB28" s="1729">
        <f t="shared" si="4"/>
        <v>0.98039215686274506</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72"/>
      <c r="Q29" s="1616">
        <f t="shared" si="11"/>
        <v>111</v>
      </c>
      <c r="R29" s="1726" t="s">
        <v>28</v>
      </c>
      <c r="S29" s="1727">
        <f t="shared" si="12"/>
        <v>100</v>
      </c>
      <c r="T29" s="1726" t="s">
        <v>28</v>
      </c>
      <c r="U29" s="1727">
        <f t="shared" si="13"/>
        <v>100</v>
      </c>
      <c r="V29" s="1726" t="s">
        <v>28</v>
      </c>
      <c r="W29" s="1727">
        <f t="shared" si="14"/>
        <v>100</v>
      </c>
      <c r="X29" s="1666"/>
      <c r="Y29" s="3459"/>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72"/>
      <c r="Q30" s="1616">
        <f t="shared" si="11"/>
        <v>111</v>
      </c>
      <c r="R30" s="1726" t="s">
        <v>28</v>
      </c>
      <c r="S30" s="1727">
        <f t="shared" si="12"/>
        <v>100</v>
      </c>
      <c r="T30" s="1726" t="s">
        <v>28</v>
      </c>
      <c r="U30" s="1727">
        <f t="shared" si="13"/>
        <v>100</v>
      </c>
      <c r="V30" s="1726" t="s">
        <v>28</v>
      </c>
      <c r="W30" s="1727">
        <f t="shared" si="14"/>
        <v>100</v>
      </c>
      <c r="X30" s="1666"/>
      <c r="Y30" s="3459"/>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72"/>
      <c r="Q31" s="1616">
        <f t="shared" si="11"/>
        <v>111</v>
      </c>
      <c r="R31" s="1726" t="s">
        <v>28</v>
      </c>
      <c r="S31" s="1727">
        <f t="shared" si="12"/>
        <v>100</v>
      </c>
      <c r="T31" s="1726" t="s">
        <v>28</v>
      </c>
      <c r="U31" s="1727">
        <f t="shared" si="13"/>
        <v>100</v>
      </c>
      <c r="V31" s="1726" t="s">
        <v>28</v>
      </c>
      <c r="W31" s="1727">
        <f t="shared" si="14"/>
        <v>100</v>
      </c>
      <c r="X31" s="1666"/>
      <c r="Y31" s="3459"/>
      <c r="Z31" s="1728">
        <f t="shared" si="15"/>
        <v>111</v>
      </c>
      <c r="AA31" s="1729">
        <f t="shared" si="3"/>
        <v>1</v>
      </c>
      <c r="AB31" s="1729">
        <f t="shared" si="4"/>
        <v>1</v>
      </c>
      <c r="AC31" s="1729">
        <f t="shared" si="5"/>
        <v>1</v>
      </c>
    </row>
    <row r="32" spans="1:29" ht="15">
      <c r="A32" s="1718" t="s">
        <v>2274</v>
      </c>
      <c r="B32" s="3166" t="s">
        <v>2916</v>
      </c>
      <c r="C32" s="1762" t="s">
        <v>2936</v>
      </c>
      <c r="D32" s="1763">
        <v>100</v>
      </c>
      <c r="E32" s="1764" t="s">
        <v>2936</v>
      </c>
      <c r="F32" s="1755">
        <f>SUMIF(100:100,E32,101:101)-SUMIF(100:100,C32,101:101)+100</f>
        <v>100</v>
      </c>
      <c r="G32" s="1762" t="s">
        <v>2936</v>
      </c>
      <c r="H32" s="1763">
        <f>SUMIF(100:100,G32,101:101)-SUMIF(100:100,C32,101:101)+100</f>
        <v>100</v>
      </c>
      <c r="I32" s="1764" t="s">
        <v>2936</v>
      </c>
      <c r="J32" s="1712">
        <f>SUMIF(100:100,I32,101:101)-SUMIF(100:100,C32,101:101)+100</f>
        <v>100</v>
      </c>
      <c r="K32" s="1701">
        <v>0.25</v>
      </c>
      <c r="L32" s="3002"/>
      <c r="M32" s="2998"/>
      <c r="N32" s="2998"/>
      <c r="O32" s="2998"/>
      <c r="P32" s="3460" t="s">
        <v>2275</v>
      </c>
      <c r="Q32" s="1616" t="str">
        <f t="shared" si="11"/>
        <v>建筑类型</v>
      </c>
      <c r="R32" s="1726" t="s">
        <v>28</v>
      </c>
      <c r="S32" s="1727">
        <f t="shared" si="12"/>
        <v>100</v>
      </c>
      <c r="T32" s="1726" t="s">
        <v>28</v>
      </c>
      <c r="U32" s="1727">
        <f t="shared" si="13"/>
        <v>100</v>
      </c>
      <c r="V32" s="1726" t="s">
        <v>28</v>
      </c>
      <c r="W32" s="1727">
        <f t="shared" si="14"/>
        <v>100</v>
      </c>
      <c r="X32" s="1666"/>
      <c r="Y32" s="3463" t="s">
        <v>2275</v>
      </c>
      <c r="Z32" s="1728" t="str">
        <f t="shared" si="15"/>
        <v>建筑类型</v>
      </c>
      <c r="AA32" s="1729">
        <f t="shared" si="3"/>
        <v>1</v>
      </c>
      <c r="AB32" s="1729">
        <f t="shared" si="4"/>
        <v>1</v>
      </c>
      <c r="AC32" s="1729">
        <f t="shared" si="5"/>
        <v>1</v>
      </c>
    </row>
    <row r="33" spans="1:29" s="1772" customFormat="1" ht="15">
      <c r="A33" s="1765"/>
      <c r="B33" s="1696" t="s">
        <v>2276</v>
      </c>
      <c r="C33" s="1766">
        <f>'数据-取费表'!B5</f>
        <v>118</v>
      </c>
      <c r="D33" s="1698">
        <v>100</v>
      </c>
      <c r="E33" s="1705">
        <v>41.42</v>
      </c>
      <c r="F33" s="1700">
        <f>LOOKUP(E33,103:103,104:104)-LOOKUP(C33,103:103,104:104)+100</f>
        <v>104</v>
      </c>
      <c r="G33" s="1704">
        <v>126.59</v>
      </c>
      <c r="H33" s="1698">
        <f>LOOKUP(G33,103:103,104:104)-LOOKUP(C33,103:103,104:104)+100</f>
        <v>99</v>
      </c>
      <c r="I33" s="1705">
        <v>125.98</v>
      </c>
      <c r="J33" s="1698">
        <f>LOOKUP(I33,103:103,104:104)-LOOKUP(C33,103:103,104:104)+100</f>
        <v>99</v>
      </c>
      <c r="K33" s="1710"/>
      <c r="L33" s="3001"/>
      <c r="M33" s="2060"/>
      <c r="N33" s="2060"/>
      <c r="O33" s="2060"/>
      <c r="P33" s="3461"/>
      <c r="Q33" s="1767" t="str">
        <f t="shared" si="11"/>
        <v>项目建筑规模</v>
      </c>
      <c r="R33" s="1768" t="s">
        <v>28</v>
      </c>
      <c r="S33" s="1769">
        <f t="shared" si="12"/>
        <v>104</v>
      </c>
      <c r="T33" s="1768" t="s">
        <v>28</v>
      </c>
      <c r="U33" s="1769">
        <f t="shared" si="13"/>
        <v>99</v>
      </c>
      <c r="V33" s="1768" t="s">
        <v>28</v>
      </c>
      <c r="W33" s="1769">
        <f t="shared" si="14"/>
        <v>99</v>
      </c>
      <c r="X33" s="1770"/>
      <c r="Y33" s="3463"/>
      <c r="Z33" s="1771" t="str">
        <f t="shared" si="15"/>
        <v>项目建筑规模</v>
      </c>
      <c r="AA33" s="1729">
        <f t="shared" si="3"/>
        <v>0.96153846153846156</v>
      </c>
      <c r="AB33" s="1729">
        <f t="shared" si="4"/>
        <v>1.0101010101010102</v>
      </c>
      <c r="AC33" s="1729">
        <f t="shared" si="5"/>
        <v>1.0101010101010102</v>
      </c>
    </row>
    <row r="34" spans="1:29" ht="15">
      <c r="A34" s="1773"/>
      <c r="B34" s="1696" t="s">
        <v>2277</v>
      </c>
      <c r="C34" s="1774" t="s">
        <v>2909</v>
      </c>
      <c r="D34" s="1712">
        <v>100</v>
      </c>
      <c r="E34" s="1775" t="s">
        <v>2909</v>
      </c>
      <c r="F34" s="1755">
        <f>SUMIF(105:105,E34,106:106)-SUMIF(105:105,C34,106:106)+100</f>
        <v>100</v>
      </c>
      <c r="G34" s="1774" t="s">
        <v>2909</v>
      </c>
      <c r="H34" s="1712">
        <f>SUMIF(105:105,G34,106:106)-SUMIF(105:105,C34,106:106)+100</f>
        <v>100</v>
      </c>
      <c r="I34" s="1775" t="s">
        <v>2909</v>
      </c>
      <c r="J34" s="1712">
        <f>SUMIF(105:105,I34,106:106)-SUMIF(105:105,C34,106:106)+100</f>
        <v>100</v>
      </c>
      <c r="K34" s="1701">
        <v>2</v>
      </c>
      <c r="L34" s="3002"/>
      <c r="M34" s="2998"/>
      <c r="N34" s="2998"/>
      <c r="O34" s="2998"/>
      <c r="P34" s="3461"/>
      <c r="Q34" s="1616" t="str">
        <f t="shared" si="11"/>
        <v>建筑结构</v>
      </c>
      <c r="R34" s="1726" t="s">
        <v>28</v>
      </c>
      <c r="S34" s="1727">
        <f t="shared" si="12"/>
        <v>100</v>
      </c>
      <c r="T34" s="1726" t="s">
        <v>28</v>
      </c>
      <c r="U34" s="1727">
        <f t="shared" si="13"/>
        <v>100</v>
      </c>
      <c r="V34" s="1726" t="s">
        <v>28</v>
      </c>
      <c r="W34" s="1727">
        <f t="shared" si="14"/>
        <v>100</v>
      </c>
      <c r="X34" s="1666"/>
      <c r="Y34" s="3463"/>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461"/>
      <c r="Q35" s="1616" t="str">
        <f t="shared" si="11"/>
        <v>建筑品质</v>
      </c>
      <c r="R35" s="1726" t="s">
        <v>28</v>
      </c>
      <c r="S35" s="1727">
        <f t="shared" si="12"/>
        <v>100</v>
      </c>
      <c r="T35" s="1726" t="s">
        <v>28</v>
      </c>
      <c r="U35" s="1727">
        <f t="shared" si="13"/>
        <v>100</v>
      </c>
      <c r="V35" s="1726" t="s">
        <v>28</v>
      </c>
      <c r="W35" s="1727">
        <f t="shared" si="14"/>
        <v>100</v>
      </c>
      <c r="X35" s="1666"/>
      <c r="Y35" s="3463"/>
      <c r="Z35" s="1728" t="str">
        <f t="shared" si="15"/>
        <v>建筑品质</v>
      </c>
      <c r="AA35" s="1729">
        <f t="shared" si="3"/>
        <v>1</v>
      </c>
      <c r="AB35" s="1729">
        <f t="shared" si="4"/>
        <v>1</v>
      </c>
      <c r="AC35" s="1729">
        <f t="shared" si="5"/>
        <v>1</v>
      </c>
    </row>
    <row r="36" spans="1:29" ht="15">
      <c r="A36" s="1773"/>
      <c r="B36" s="1696" t="s">
        <v>2279</v>
      </c>
      <c r="C36" s="1756" t="s">
        <v>2919</v>
      </c>
      <c r="D36" s="1712">
        <v>100</v>
      </c>
      <c r="E36" s="1754" t="s">
        <v>2919</v>
      </c>
      <c r="F36" s="1755">
        <f>SUMIF(109:109,E36,110:110)-SUMIF(109:109,C36,110:110)+100</f>
        <v>100</v>
      </c>
      <c r="G36" s="1756" t="s">
        <v>2919</v>
      </c>
      <c r="H36" s="1712">
        <f>SUMIF(109:109,G36,110:110)-SUMIF(109:109,C36,110:110)+100</f>
        <v>100</v>
      </c>
      <c r="I36" s="1754" t="s">
        <v>2919</v>
      </c>
      <c r="J36" s="1712">
        <f>SUMIF(109:109,I36,110:110)-SUMIF(109:109,C36,110:110)+100</f>
        <v>100</v>
      </c>
      <c r="K36" s="1701">
        <v>2</v>
      </c>
      <c r="L36" s="3002"/>
      <c r="M36" s="2998"/>
      <c r="N36" s="2998"/>
      <c r="O36" s="2998"/>
      <c r="P36" s="3461"/>
      <c r="Q36" s="1616" t="str">
        <f t="shared" si="11"/>
        <v>公共部分装修</v>
      </c>
      <c r="R36" s="1726" t="s">
        <v>28</v>
      </c>
      <c r="S36" s="1727">
        <f t="shared" si="12"/>
        <v>100</v>
      </c>
      <c r="T36" s="1726" t="s">
        <v>28</v>
      </c>
      <c r="U36" s="1727">
        <f t="shared" si="13"/>
        <v>100</v>
      </c>
      <c r="V36" s="1726" t="s">
        <v>28</v>
      </c>
      <c r="W36" s="1727">
        <f t="shared" si="14"/>
        <v>100</v>
      </c>
      <c r="X36" s="1666"/>
      <c r="Y36" s="3463"/>
      <c r="Z36" s="1728" t="str">
        <f t="shared" si="15"/>
        <v>公共部分装修</v>
      </c>
      <c r="AA36" s="1729">
        <f t="shared" si="3"/>
        <v>1</v>
      </c>
      <c r="AB36" s="1729">
        <f t="shared" si="4"/>
        <v>1</v>
      </c>
      <c r="AC36" s="1729">
        <f t="shared" si="5"/>
        <v>1</v>
      </c>
    </row>
    <row r="37" spans="1:29" s="1685" customFormat="1" ht="15">
      <c r="A37" s="1776"/>
      <c r="B37" s="1696" t="s">
        <v>2280</v>
      </c>
      <c r="C37" s="1777">
        <f>'数据-取费表'!E20</f>
        <v>0.78</v>
      </c>
      <c r="D37" s="1698">
        <v>100</v>
      </c>
      <c r="E37" s="1777">
        <f>C37</f>
        <v>0.78</v>
      </c>
      <c r="F37" s="1700">
        <f>LOOKUP(E37,112:112,113:113)-LOOKUP(C37,112:112,113:113)+100</f>
        <v>100</v>
      </c>
      <c r="G37" s="1779">
        <v>0.78</v>
      </c>
      <c r="H37" s="1698">
        <f>LOOKUP(G37,112:112,113:113)-LOOKUP(C37,112:112,113:113)+100</f>
        <v>100</v>
      </c>
      <c r="I37" s="1778">
        <v>0.78</v>
      </c>
      <c r="J37" s="1698">
        <f>LOOKUP(I37,112:112,113:113)-LOOKUP(C37,112:112,113:113)+100</f>
        <v>100</v>
      </c>
      <c r="K37" s="1701"/>
      <c r="L37" s="2997"/>
      <c r="M37" s="2970"/>
      <c r="N37" s="2970"/>
      <c r="O37" s="2970"/>
      <c r="P37" s="3461"/>
      <c r="Q37" s="1635" t="str">
        <f t="shared" si="11"/>
        <v>成新度</v>
      </c>
      <c r="R37" s="1681" t="s">
        <v>28</v>
      </c>
      <c r="S37" s="1682">
        <f t="shared" si="12"/>
        <v>100</v>
      </c>
      <c r="T37" s="1681" t="s">
        <v>28</v>
      </c>
      <c r="U37" s="1682">
        <f t="shared" si="13"/>
        <v>100</v>
      </c>
      <c r="V37" s="1681" t="s">
        <v>28</v>
      </c>
      <c r="W37" s="1682">
        <f t="shared" si="14"/>
        <v>100</v>
      </c>
      <c r="X37" s="1683"/>
      <c r="Y37" s="3463"/>
      <c r="Z37" s="1694" t="str">
        <f t="shared" si="15"/>
        <v>成新度</v>
      </c>
      <c r="AA37" s="1684">
        <f t="shared" si="3"/>
        <v>1</v>
      </c>
      <c r="AB37" s="1684">
        <f t="shared" si="4"/>
        <v>1</v>
      </c>
      <c r="AC37" s="1684">
        <f t="shared" si="5"/>
        <v>1</v>
      </c>
    </row>
    <row r="38" spans="1:29" ht="15">
      <c r="A38" s="1773"/>
      <c r="B38" s="1696" t="s">
        <v>2281</v>
      </c>
      <c r="C38" s="1756" t="s">
        <v>2921</v>
      </c>
      <c r="D38" s="1712">
        <v>100</v>
      </c>
      <c r="E38" s="1754" t="s">
        <v>2921</v>
      </c>
      <c r="F38" s="1755">
        <f>SUMIF(114:114,E38,115:115)-SUMIF(114:114,C38,115:115)+100</f>
        <v>100</v>
      </c>
      <c r="G38" s="1756" t="s">
        <v>2921</v>
      </c>
      <c r="H38" s="1712">
        <f>SUMIF(114:114,G38,115:115)-SUMIF(114:114,C38,115:115)+100</f>
        <v>100</v>
      </c>
      <c r="I38" s="1754" t="s">
        <v>2921</v>
      </c>
      <c r="J38" s="1712">
        <f>SUMIF(114:114,I38,115:115)-SUMIF(114:114,C38,115:115)+100</f>
        <v>100</v>
      </c>
      <c r="K38" s="1701">
        <v>2</v>
      </c>
      <c r="L38" s="3002"/>
      <c r="M38" s="2998"/>
      <c r="N38" s="2998"/>
      <c r="O38" s="2998"/>
      <c r="P38" s="3461" t="s">
        <v>2275</v>
      </c>
      <c r="Q38" s="1616" t="str">
        <f t="shared" si="11"/>
        <v>物业管理</v>
      </c>
      <c r="R38" s="1726" t="s">
        <v>28</v>
      </c>
      <c r="S38" s="1727">
        <f t="shared" si="12"/>
        <v>100</v>
      </c>
      <c r="T38" s="1726" t="s">
        <v>28</v>
      </c>
      <c r="U38" s="1727">
        <f t="shared" si="13"/>
        <v>100</v>
      </c>
      <c r="V38" s="1726" t="s">
        <v>28</v>
      </c>
      <c r="W38" s="1727">
        <f t="shared" si="14"/>
        <v>100</v>
      </c>
      <c r="X38" s="1666"/>
      <c r="Y38" s="3463" t="s">
        <v>2275</v>
      </c>
      <c r="Z38" s="1728" t="str">
        <f t="shared" si="15"/>
        <v>物业管理</v>
      </c>
      <c r="AA38" s="1729">
        <f t="shared" si="3"/>
        <v>1</v>
      </c>
      <c r="AB38" s="1729">
        <f t="shared" si="4"/>
        <v>1</v>
      </c>
      <c r="AC38" s="1729">
        <f t="shared" si="5"/>
        <v>1</v>
      </c>
    </row>
    <row r="39" spans="1:29" ht="15">
      <c r="A39" s="1773"/>
      <c r="B39" s="1696" t="s">
        <v>2282</v>
      </c>
      <c r="C39" s="1756" t="s">
        <v>2906</v>
      </c>
      <c r="D39" s="1712">
        <v>100</v>
      </c>
      <c r="E39" s="1754" t="s">
        <v>2906</v>
      </c>
      <c r="F39" s="1755">
        <f>SUMIF(116:116,E39,117:117)-SUMIF(116:116,C39,117:117)+100</f>
        <v>100</v>
      </c>
      <c r="G39" s="1756" t="s">
        <v>2906</v>
      </c>
      <c r="H39" s="1712">
        <f>SUMIF(116:116,G39,117:117)-SUMIF(116:116,C39,117:117)+100</f>
        <v>100</v>
      </c>
      <c r="I39" s="1754" t="s">
        <v>2906</v>
      </c>
      <c r="J39" s="1712">
        <f>SUMIF(116:116,I39,117:117)-SUMIF(116:116,C39,117:117)+100</f>
        <v>100</v>
      </c>
      <c r="K39" s="1701">
        <v>2</v>
      </c>
      <c r="L39" s="3002"/>
      <c r="M39" s="2998"/>
      <c r="N39" s="2998"/>
      <c r="O39" s="2998"/>
      <c r="P39" s="3461"/>
      <c r="Q39" s="1616" t="str">
        <f t="shared" si="11"/>
        <v>市政基础设施</v>
      </c>
      <c r="R39" s="1726" t="s">
        <v>28</v>
      </c>
      <c r="S39" s="1727">
        <f t="shared" si="12"/>
        <v>100</v>
      </c>
      <c r="T39" s="1726" t="s">
        <v>28</v>
      </c>
      <c r="U39" s="1727">
        <f t="shared" si="13"/>
        <v>100</v>
      </c>
      <c r="V39" s="1726" t="s">
        <v>28</v>
      </c>
      <c r="W39" s="1727">
        <f t="shared" si="14"/>
        <v>100</v>
      </c>
      <c r="X39" s="1666"/>
      <c r="Y39" s="3463"/>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461"/>
      <c r="Q40" s="1616" t="str">
        <f t="shared" si="11"/>
        <v>房型</v>
      </c>
      <c r="R40" s="1726" t="s">
        <v>28</v>
      </c>
      <c r="S40" s="1727">
        <f t="shared" si="12"/>
        <v>100</v>
      </c>
      <c r="T40" s="1726" t="s">
        <v>28</v>
      </c>
      <c r="U40" s="1727">
        <f t="shared" si="13"/>
        <v>100</v>
      </c>
      <c r="V40" s="1726" t="s">
        <v>28</v>
      </c>
      <c r="W40" s="1727">
        <f t="shared" si="14"/>
        <v>100</v>
      </c>
      <c r="X40" s="1666"/>
      <c r="Y40" s="3463"/>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61"/>
      <c r="Q41" s="1767" t="str">
        <f t="shared" si="11"/>
        <v>单套/主力户型建筑面积</v>
      </c>
      <c r="R41" s="1768" t="s">
        <v>28</v>
      </c>
      <c r="S41" s="1769">
        <f t="shared" si="12"/>
        <v>100</v>
      </c>
      <c r="T41" s="1768" t="s">
        <v>28</v>
      </c>
      <c r="U41" s="1769">
        <f t="shared" si="13"/>
        <v>100</v>
      </c>
      <c r="V41" s="1768" t="s">
        <v>28</v>
      </c>
      <c r="W41" s="1769">
        <f t="shared" si="14"/>
        <v>100</v>
      </c>
      <c r="X41" s="1770"/>
      <c r="Y41" s="3463"/>
      <c r="Z41" s="1771" t="str">
        <f t="shared" si="15"/>
        <v>单套/主力户型建筑面积</v>
      </c>
      <c r="AA41" s="1729">
        <f t="shared" si="3"/>
        <v>1</v>
      </c>
      <c r="AB41" s="1729">
        <f t="shared" si="4"/>
        <v>1</v>
      </c>
      <c r="AC41" s="1729">
        <f t="shared" si="5"/>
        <v>1</v>
      </c>
    </row>
    <row r="42" spans="1:29" ht="15">
      <c r="A42" s="1773"/>
      <c r="B42" s="1696" t="s">
        <v>2285</v>
      </c>
      <c r="C42" s="1756" t="s">
        <v>2919</v>
      </c>
      <c r="D42" s="1712">
        <v>100</v>
      </c>
      <c r="E42" s="1754" t="s">
        <v>2919</v>
      </c>
      <c r="F42" s="1755">
        <f>SUMIF(122:122,E42,123:123)-SUMIF(122:122,C42,123:123)+100</f>
        <v>100</v>
      </c>
      <c r="G42" s="1756" t="s">
        <v>2919</v>
      </c>
      <c r="H42" s="1712">
        <f>SUMIF(122:122,G42,123:123)-SUMIF(122:122,C42,123:123)+100</f>
        <v>100</v>
      </c>
      <c r="I42" s="1754" t="s">
        <v>2928</v>
      </c>
      <c r="J42" s="1712">
        <f>SUMIF(122:122,I42,123:123)-SUMIF(122:122,C42,123:123)+100</f>
        <v>105</v>
      </c>
      <c r="K42" s="1701">
        <v>5</v>
      </c>
      <c r="L42" s="3002"/>
      <c r="M42" s="2998"/>
      <c r="N42" s="2998"/>
      <c r="O42" s="2998"/>
      <c r="P42" s="3461"/>
      <c r="Q42" s="1616" t="str">
        <f t="shared" si="11"/>
        <v>内部装修</v>
      </c>
      <c r="R42" s="1726" t="s">
        <v>28</v>
      </c>
      <c r="S42" s="1727">
        <f t="shared" si="12"/>
        <v>100</v>
      </c>
      <c r="T42" s="1726" t="s">
        <v>28</v>
      </c>
      <c r="U42" s="1727">
        <f t="shared" si="13"/>
        <v>100</v>
      </c>
      <c r="V42" s="1726" t="s">
        <v>28</v>
      </c>
      <c r="W42" s="1727">
        <f t="shared" si="14"/>
        <v>105</v>
      </c>
      <c r="X42" s="1666"/>
      <c r="Y42" s="3463"/>
      <c r="Z42" s="1728" t="str">
        <f t="shared" si="15"/>
        <v>内部装修</v>
      </c>
      <c r="AA42" s="1729">
        <f t="shared" si="3"/>
        <v>1</v>
      </c>
      <c r="AB42" s="1729">
        <f t="shared" si="4"/>
        <v>1</v>
      </c>
      <c r="AC42" s="1729">
        <f t="shared" si="5"/>
        <v>0.95238095238095233</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461"/>
      <c r="Q43" s="1616" t="str">
        <f t="shared" si="11"/>
        <v>内部装修维护情况</v>
      </c>
      <c r="R43" s="1726" t="s">
        <v>28</v>
      </c>
      <c r="S43" s="1727">
        <f t="shared" si="12"/>
        <v>100</v>
      </c>
      <c r="T43" s="1726" t="s">
        <v>28</v>
      </c>
      <c r="U43" s="1727">
        <f t="shared" si="13"/>
        <v>100</v>
      </c>
      <c r="V43" s="1726" t="s">
        <v>28</v>
      </c>
      <c r="W43" s="1727">
        <f t="shared" si="14"/>
        <v>100</v>
      </c>
      <c r="X43" s="1666"/>
      <c r="Y43" s="3463"/>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61"/>
      <c r="Q44" s="1635">
        <f t="shared" si="11"/>
        <v>111</v>
      </c>
      <c r="R44" s="1681" t="s">
        <v>28</v>
      </c>
      <c r="S44" s="1682">
        <f t="shared" si="12"/>
        <v>100</v>
      </c>
      <c r="T44" s="1681" t="s">
        <v>28</v>
      </c>
      <c r="U44" s="1682">
        <f t="shared" si="13"/>
        <v>100</v>
      </c>
      <c r="V44" s="1681" t="s">
        <v>28</v>
      </c>
      <c r="W44" s="1682">
        <f t="shared" si="14"/>
        <v>100</v>
      </c>
      <c r="X44" s="1683"/>
      <c r="Y44" s="346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61"/>
      <c r="Q45" s="1616">
        <f t="shared" si="11"/>
        <v>111</v>
      </c>
      <c r="R45" s="1726" t="s">
        <v>28</v>
      </c>
      <c r="S45" s="1727">
        <f t="shared" si="12"/>
        <v>100</v>
      </c>
      <c r="T45" s="1726" t="s">
        <v>28</v>
      </c>
      <c r="U45" s="1727">
        <f t="shared" si="13"/>
        <v>100</v>
      </c>
      <c r="V45" s="1726" t="s">
        <v>28</v>
      </c>
      <c r="W45" s="1727">
        <f t="shared" si="14"/>
        <v>100</v>
      </c>
      <c r="X45" s="1666"/>
      <c r="Y45" s="3463"/>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62"/>
      <c r="Q46" s="1616">
        <f t="shared" si="11"/>
        <v>111</v>
      </c>
      <c r="R46" s="1726" t="s">
        <v>27</v>
      </c>
      <c r="S46" s="1727">
        <f t="shared" si="12"/>
        <v>100</v>
      </c>
      <c r="T46" s="1726" t="s">
        <v>27</v>
      </c>
      <c r="U46" s="1727">
        <f t="shared" si="13"/>
        <v>100</v>
      </c>
      <c r="V46" s="1726" t="s">
        <v>27</v>
      </c>
      <c r="W46" s="1727">
        <f t="shared" si="14"/>
        <v>100</v>
      </c>
      <c r="X46" s="1666"/>
      <c r="Y46" s="3464"/>
      <c r="Z46" s="1728">
        <f t="shared" si="15"/>
        <v>111</v>
      </c>
      <c r="AA46" s="1729">
        <f t="shared" si="3"/>
        <v>1</v>
      </c>
      <c r="AB46" s="1729">
        <f t="shared" si="4"/>
        <v>1</v>
      </c>
      <c r="AC46" s="1729">
        <f t="shared" si="5"/>
        <v>1</v>
      </c>
    </row>
    <row r="47" spans="1:29" ht="15">
      <c r="A47" s="1782" t="s">
        <v>2287</v>
      </c>
      <c r="B47" s="1783"/>
      <c r="C47" s="1784" t="s">
        <v>26</v>
      </c>
      <c r="D47" s="1785"/>
      <c r="E47" s="1786">
        <v>41043</v>
      </c>
      <c r="F47" s="1787"/>
      <c r="G47" s="1788">
        <v>39103</v>
      </c>
      <c r="H47" s="1789"/>
      <c r="I47" s="1786">
        <v>40700</v>
      </c>
      <c r="J47" s="1789"/>
      <c r="K47" s="1790"/>
      <c r="L47" s="3003"/>
      <c r="N47" s="2998"/>
      <c r="P47" s="3469" t="str">
        <f>A47</f>
        <v>成交单价（元/平方米）</v>
      </c>
      <c r="Q47" s="3469"/>
      <c r="R47" s="3470">
        <f>E47</f>
        <v>41043</v>
      </c>
      <c r="S47" s="3470"/>
      <c r="T47" s="3470">
        <f>G47</f>
        <v>39103</v>
      </c>
      <c r="U47" s="3470"/>
      <c r="V47" s="3470">
        <f>I47</f>
        <v>40700</v>
      </c>
      <c r="W47" s="3470"/>
      <c r="X47" s="1792"/>
      <c r="Y47" s="1793"/>
      <c r="Z47" s="1792"/>
      <c r="AA47" s="1792"/>
      <c r="AB47" s="1792"/>
      <c r="AC47" s="1792"/>
    </row>
    <row r="48" spans="1:29" ht="15.75" thickBot="1">
      <c r="A48" s="1794" t="s">
        <v>2288</v>
      </c>
      <c r="B48" s="1795"/>
      <c r="C48" s="1796">
        <f>R49</f>
        <v>38765</v>
      </c>
      <c r="D48" s="1797" t="s">
        <v>2742</v>
      </c>
      <c r="E48" s="1798">
        <f>R48</f>
        <v>39944</v>
      </c>
      <c r="F48" s="1799"/>
      <c r="G48" s="1796">
        <f>T48</f>
        <v>37964</v>
      </c>
      <c r="H48" s="1799"/>
      <c r="I48" s="1798">
        <f>V48</f>
        <v>38386</v>
      </c>
      <c r="J48" s="1799"/>
      <c r="K48" s="2512">
        <f>F48+H48+J48</f>
        <v>0</v>
      </c>
      <c r="L48" s="3003"/>
      <c r="P48" s="3469" t="str">
        <f>A48</f>
        <v>比较价值（元/平方米）</v>
      </c>
      <c r="Q48" s="3469"/>
      <c r="R48" s="3470">
        <f>IF(E1="售价",ROUND(PRODUCT(R47,AA7:AA46),0),ROUND(PRODUCT(R47,AA7:AA46),1))</f>
        <v>39944</v>
      </c>
      <c r="S48" s="3470"/>
      <c r="T48" s="3473">
        <f>IF(E1="售价",ROUND(PRODUCT(T47,AB7:AB46),0),ROUND(PRODUCT(T47,AB7:AB46),1))</f>
        <v>37964</v>
      </c>
      <c r="U48" s="3474"/>
      <c r="V48" s="3470">
        <f>IF(E1="售价",ROUND(PRODUCT(V47,AC7:AC46),0),ROUND(PRODUCT(V47,AC7:AC46),1))</f>
        <v>38386</v>
      </c>
      <c r="W48" s="3470"/>
      <c r="X48" s="1792"/>
      <c r="Y48" s="1792"/>
      <c r="Z48" s="1792"/>
      <c r="AA48" s="1792"/>
      <c r="AB48" s="1792"/>
      <c r="AC48" s="1792"/>
    </row>
    <row r="49" spans="1:29" ht="15.75" thickBot="1">
      <c r="A49" s="1800" t="s">
        <v>2289</v>
      </c>
      <c r="B49" s="1801"/>
      <c r="C49" s="1802">
        <f>R49</f>
        <v>38765</v>
      </c>
      <c r="D49" s="1803"/>
      <c r="E49" s="1803"/>
      <c r="F49" s="1803"/>
      <c r="G49" s="1803"/>
      <c r="H49" s="1803"/>
      <c r="I49" s="1803"/>
      <c r="J49" s="1803"/>
      <c r="K49" s="1804"/>
      <c r="L49" s="3003"/>
      <c r="P49" s="3475" t="str">
        <f>A49</f>
        <v>估价对象XX用房的比较价值（楼面单价，元/平方米）</v>
      </c>
      <c r="Q49" s="3476"/>
      <c r="R49" s="3477">
        <f>IF(E1="售价",ROUND(IF(D48="简单平均",AVERAGE(R48:V48),R48*F48+T48*H48+V48*J48),0),ROUND(IF(D48="简单平均",AVERAGE(R48:V48),R48*F48+T48*H48+V48*J48),1))</f>
        <v>38765</v>
      </c>
      <c r="S49" s="3477"/>
      <c r="T49" s="3477"/>
      <c r="U49" s="3477"/>
      <c r="V49" s="3477"/>
      <c r="W49" s="3477"/>
      <c r="X49" s="1792"/>
      <c r="Y49" s="1792"/>
      <c r="Z49" s="1792"/>
      <c r="AA49" s="1792"/>
      <c r="AB49" s="1792"/>
      <c r="AC49" s="1792"/>
    </row>
    <row r="50" spans="1:29">
      <c r="G50" s="3007"/>
    </row>
    <row r="52" spans="1:29" ht="13.5" customHeight="1">
      <c r="C52" s="383" t="s">
        <v>2290</v>
      </c>
      <c r="D52" s="1808"/>
      <c r="E52" s="1809">
        <f>IF(E47&lt;E48,E48/E47-1,E47/E48-1)</f>
        <v>2.7513518926497005E-2</v>
      </c>
      <c r="F52" s="1810" t="str">
        <f>IF(OR(E52&gt;=0.3,E52&lt;=-0.3),"超过30%","")</f>
        <v/>
      </c>
      <c r="G52" s="1809">
        <f>IF(G47&lt;G48,G48/G47-1,G47/G48-1)</f>
        <v>3.0002107259508914E-2</v>
      </c>
      <c r="H52" s="1810" t="str">
        <f>IF(OR(G52&gt;=0.3,G52&lt;=-0.3),"超过30%","")</f>
        <v/>
      </c>
      <c r="I52" s="1809">
        <f>IF(I47&lt;I48,I48/I47-1,I47/I48-1)</f>
        <v>6.0282394623039748E-2</v>
      </c>
      <c r="J52" s="1810" t="str">
        <f>IF(OR(I52&gt;=0.3,I52&lt;=-0.3),"超过30%","")</f>
        <v/>
      </c>
    </row>
    <row r="53" spans="1:29" ht="13.5" customHeight="1">
      <c r="C53" s="383" t="s">
        <v>2291</v>
      </c>
      <c r="D53" s="1811"/>
      <c r="E53" s="1809">
        <f>IF(E48&lt;G48,G48/E48-1,E48/G48-1)</f>
        <v>5.2154672847961159E-2</v>
      </c>
      <c r="F53" s="1810" t="str">
        <f>IF(OR(E53&gt;=0.2,E53&lt;=-0.2),"超过20%","")</f>
        <v/>
      </c>
      <c r="G53" s="1809">
        <f>IF(G48&lt;I48,I48/G48-1,G48/I48-1)</f>
        <v>1.1115793910019933E-2</v>
      </c>
      <c r="H53" s="1810" t="str">
        <f>IF(OR(G53&gt;=0.2,G53&lt;=-0.2),"超过20%","")</f>
        <v/>
      </c>
      <c r="I53" s="1809">
        <f>IF(I48&lt;E48,E48/I48-1,I48/E48-1)</f>
        <v>4.0587714270827968E-2</v>
      </c>
      <c r="J53" s="1810" t="str">
        <f>IF(OR(I53&gt;=0.2,I53&lt;=-0.2),"超过20%","")</f>
        <v/>
      </c>
    </row>
    <row r="54" spans="1:29" s="1814" customFormat="1" ht="13.5" customHeight="1">
      <c r="C54" s="383" t="s">
        <v>2292</v>
      </c>
      <c r="D54" s="1811"/>
      <c r="E54" s="1809">
        <f>IF(E47&lt;G47,G47/E47-1,E47/G47-1)</f>
        <v>4.9612561696033453E-2</v>
      </c>
      <c r="F54" s="1810" t="str">
        <f>IF(OR(E54&gt;=0.3,E54&lt;=-0.3),"超过30%","")</f>
        <v/>
      </c>
      <c r="G54" s="1809">
        <f>IF(G47&lt;I47,I47/G47-1,G47/I47-1)</f>
        <v>4.0840856200291542E-2</v>
      </c>
      <c r="H54" s="1810" t="str">
        <f>IF(OR(G54&gt;=0.3,G54&lt;=-0.3),"超过30%","")</f>
        <v/>
      </c>
      <c r="I54" s="1809">
        <f>IF(I47&lt;E47,E47/I47-1,I47/E47-1)</f>
        <v>8.4275184275184323E-3</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2014-7</v>
      </c>
      <c r="D58" s="1826">
        <f>EDATE(C58,-1)</f>
        <v>41791</v>
      </c>
      <c r="E58" s="1826">
        <f t="shared" ref="E58:O58" si="16">EDATE(D58,-1)</f>
        <v>41760</v>
      </c>
      <c r="F58" s="1826">
        <f t="shared" si="16"/>
        <v>41730</v>
      </c>
      <c r="G58" s="1826">
        <f t="shared" si="16"/>
        <v>41699</v>
      </c>
      <c r="H58" s="1826">
        <f t="shared" si="16"/>
        <v>41671</v>
      </c>
      <c r="I58" s="1826">
        <f t="shared" si="16"/>
        <v>41640</v>
      </c>
      <c r="J58" s="1826">
        <f t="shared" si="16"/>
        <v>41609</v>
      </c>
      <c r="K58" s="1826">
        <f t="shared" si="16"/>
        <v>41579</v>
      </c>
      <c r="L58" s="1826">
        <f t="shared" si="16"/>
        <v>41548</v>
      </c>
      <c r="M58" s="1826">
        <f t="shared" si="16"/>
        <v>41518</v>
      </c>
      <c r="N58" s="1826">
        <f t="shared" si="16"/>
        <v>41487</v>
      </c>
      <c r="O58" s="1826">
        <f t="shared" si="16"/>
        <v>41456</v>
      </c>
      <c r="P58" s="1827"/>
    </row>
    <row r="59" spans="1:29" s="1685" customFormat="1" ht="15">
      <c r="A59" s="1829"/>
      <c r="B59" s="1830"/>
      <c r="C59" s="1831">
        <v>100</v>
      </c>
      <c r="D59" s="1832">
        <v>100</v>
      </c>
      <c r="E59" s="1832">
        <v>100</v>
      </c>
      <c r="F59" s="1832">
        <v>100</v>
      </c>
      <c r="G59" s="1832">
        <v>99.9</v>
      </c>
      <c r="H59" s="1832">
        <v>99.9</v>
      </c>
      <c r="I59" s="1832">
        <v>99.9</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3167" t="s">
        <v>2945</v>
      </c>
      <c r="D88" s="3167" t="s">
        <v>2946</v>
      </c>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95</v>
      </c>
      <c r="E89" s="1863">
        <f t="shared" si="21"/>
        <v>90</v>
      </c>
      <c r="F89" s="1863">
        <f t="shared" si="21"/>
        <v>85</v>
      </c>
      <c r="G89" s="1863">
        <f t="shared" si="21"/>
        <v>80</v>
      </c>
      <c r="H89" s="1863">
        <f t="shared" si="21"/>
        <v>75</v>
      </c>
      <c r="I89" s="1863">
        <f t="shared" si="21"/>
        <v>70</v>
      </c>
      <c r="J89" s="1863">
        <f t="shared" si="21"/>
        <v>65</v>
      </c>
      <c r="K89" s="1863">
        <f t="shared" si="21"/>
        <v>60</v>
      </c>
      <c r="L89" s="1863">
        <f t="shared" si="21"/>
        <v>55</v>
      </c>
      <c r="M89" s="1863">
        <f t="shared" si="21"/>
        <v>50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8.5" thickTop="1">
      <c r="A92" s="1854"/>
      <c r="B92" s="1859" t="str">
        <f>B28</f>
        <v>楼层</v>
      </c>
      <c r="C92" s="3167" t="s">
        <v>2935</v>
      </c>
      <c r="D92" s="468" t="s">
        <v>2938</v>
      </c>
      <c r="E92" s="1711" t="s">
        <v>2941</v>
      </c>
      <c r="F92" s="1711" t="s">
        <v>2942</v>
      </c>
      <c r="G92" s="1578"/>
      <c r="H92" s="1578"/>
      <c r="I92" s="1578"/>
      <c r="J92" s="1578"/>
      <c r="K92" s="473"/>
      <c r="L92" s="473"/>
      <c r="M92" s="1894"/>
      <c r="N92" s="1852"/>
      <c r="O92" s="1852"/>
      <c r="P92" s="1853"/>
      <c r="Q92" s="1822"/>
    </row>
    <row r="93" spans="1:17" ht="15.75" thickBot="1">
      <c r="A93" s="1854"/>
      <c r="B93" s="1862"/>
      <c r="C93" s="1875">
        <v>100</v>
      </c>
      <c r="D93" s="1856">
        <v>104</v>
      </c>
      <c r="E93" s="1856">
        <v>102</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2911</v>
      </c>
      <c r="D100" s="3165" t="s">
        <v>2912</v>
      </c>
      <c r="E100" s="3165" t="s">
        <v>2913</v>
      </c>
      <c r="F100" s="3165" t="s">
        <v>2914</v>
      </c>
      <c r="G100" s="3165" t="s">
        <v>2915</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99.75</v>
      </c>
      <c r="E101" s="1863">
        <f t="shared" si="22"/>
        <v>99.5</v>
      </c>
      <c r="F101" s="1863">
        <f t="shared" si="22"/>
        <v>99.25</v>
      </c>
      <c r="G101" s="1863">
        <f t="shared" si="22"/>
        <v>99</v>
      </c>
      <c r="H101" s="1863">
        <f t="shared" si="22"/>
        <v>98.75</v>
      </c>
      <c r="I101" s="1863">
        <f t="shared" si="22"/>
        <v>98.5</v>
      </c>
      <c r="J101" s="1863">
        <f t="shared" si="22"/>
        <v>98.25</v>
      </c>
      <c r="K101" s="1863">
        <f t="shared" si="22"/>
        <v>98</v>
      </c>
      <c r="L101" s="1863">
        <f t="shared" si="22"/>
        <v>97.75</v>
      </c>
      <c r="M101" s="1863">
        <f t="shared" si="22"/>
        <v>97.5</v>
      </c>
      <c r="N101" s="1858"/>
      <c r="O101" s="1858"/>
      <c r="P101" s="1853"/>
      <c r="Q101" s="1822"/>
    </row>
    <row r="102" spans="1:17" ht="15.75" thickTop="1">
      <c r="A102" s="1854"/>
      <c r="B102" s="1859" t="s">
        <v>2323</v>
      </c>
      <c r="C102" s="579" t="str">
        <f>C103&amp;"(含)"&amp;"-"&amp;D103</f>
        <v>30(含)-40</v>
      </c>
      <c r="D102" s="579" t="str">
        <f t="shared" ref="D102:L102" si="23">D103&amp;"(含)"&amp;"-"&amp;E103</f>
        <v>40(含)-50</v>
      </c>
      <c r="E102" s="579" t="str">
        <f t="shared" si="23"/>
        <v>50(含)-60</v>
      </c>
      <c r="F102" s="579" t="str">
        <f t="shared" si="23"/>
        <v>60(含)-80</v>
      </c>
      <c r="G102" s="579" t="str">
        <f t="shared" si="23"/>
        <v>80(含)-100</v>
      </c>
      <c r="H102" s="579" t="str">
        <f t="shared" si="23"/>
        <v>100(含)-120</v>
      </c>
      <c r="I102" s="579" t="str">
        <f t="shared" si="23"/>
        <v>120(含)-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40</v>
      </c>
      <c r="E103" s="1902">
        <v>50</v>
      </c>
      <c r="F103" s="1902">
        <v>60</v>
      </c>
      <c r="G103" s="1902">
        <v>80</v>
      </c>
      <c r="H103" s="1902">
        <v>100</v>
      </c>
      <c r="I103" s="1902">
        <v>120</v>
      </c>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v>94</v>
      </c>
      <c r="J104" s="1856"/>
      <c r="K104" s="1856"/>
      <c r="L104" s="1856"/>
      <c r="M104" s="1856"/>
      <c r="N104" s="1858"/>
      <c r="O104" s="1858"/>
      <c r="P104" s="1873"/>
      <c r="Q104" s="1874"/>
    </row>
    <row r="105" spans="1:17" ht="15" thickTop="1">
      <c r="A105" s="1904"/>
      <c r="B105" s="1859" t="s">
        <v>2324</v>
      </c>
      <c r="C105" s="3167" t="s">
        <v>2910</v>
      </c>
      <c r="D105" s="3167" t="s">
        <v>2917</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2918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2920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2923</v>
      </c>
      <c r="D116" s="3167" t="s">
        <v>2924</v>
      </c>
      <c r="E116" s="3167" t="s">
        <v>2925</v>
      </c>
      <c r="F116" s="3167" t="s">
        <v>2926</v>
      </c>
      <c r="G116" s="3167" t="s">
        <v>2927</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2929</v>
      </c>
      <c r="D122" s="3167" t="s">
        <v>2930</v>
      </c>
      <c r="E122" s="3167" t="s">
        <v>2931</v>
      </c>
      <c r="F122" s="3168" t="s">
        <v>2932</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118</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35" t="s">
        <v>2247</v>
      </c>
      <c r="D4" s="3436"/>
      <c r="E4" s="3437" t="s">
        <v>2248</v>
      </c>
      <c r="F4" s="3438"/>
      <c r="G4" s="3435" t="s">
        <v>2249</v>
      </c>
      <c r="H4" s="3436"/>
      <c r="I4" s="3435" t="s">
        <v>2250</v>
      </c>
      <c r="J4" s="3436"/>
      <c r="K4" s="1966" t="s">
        <v>2251</v>
      </c>
      <c r="L4" s="2997"/>
      <c r="M4" s="2998"/>
      <c r="N4" s="2998"/>
      <c r="O4" s="2998"/>
      <c r="P4" s="3439" t="s">
        <v>2252</v>
      </c>
      <c r="Q4" s="3440"/>
      <c r="R4" s="3445" t="s">
        <v>2248</v>
      </c>
      <c r="S4" s="3446"/>
      <c r="T4" s="3445" t="s">
        <v>2249</v>
      </c>
      <c r="U4" s="3446"/>
      <c r="V4" s="3451" t="s">
        <v>2250</v>
      </c>
      <c r="W4" s="3451"/>
      <c r="X4" s="2075"/>
      <c r="Y4" s="3445" t="s">
        <v>2252</v>
      </c>
      <c r="Z4" s="3446"/>
      <c r="AA4" s="3432" t="s">
        <v>2248</v>
      </c>
      <c r="AB4" s="3451" t="s">
        <v>2249</v>
      </c>
      <c r="AC4" s="3432" t="s">
        <v>2250</v>
      </c>
    </row>
    <row r="5" spans="1:29" ht="15">
      <c r="A5" s="1668"/>
      <c r="B5" s="1669"/>
      <c r="C5" s="3454" t="s">
        <v>2253</v>
      </c>
      <c r="D5" s="3455"/>
      <c r="E5" s="3452" t="s">
        <v>2254</v>
      </c>
      <c r="F5" s="3453"/>
      <c r="G5" s="3454" t="s">
        <v>2255</v>
      </c>
      <c r="H5" s="3455"/>
      <c r="I5" s="3454" t="s">
        <v>2256</v>
      </c>
      <c r="J5" s="3455"/>
      <c r="K5" s="1966"/>
      <c r="L5" s="2997"/>
      <c r="M5" s="2998"/>
      <c r="N5" s="2998"/>
      <c r="O5" s="2998"/>
      <c r="P5" s="3441"/>
      <c r="Q5" s="3442"/>
      <c r="R5" s="3447"/>
      <c r="S5" s="3448"/>
      <c r="T5" s="3447"/>
      <c r="U5" s="3448"/>
      <c r="V5" s="3451"/>
      <c r="W5" s="3451"/>
      <c r="X5" s="2075"/>
      <c r="Y5" s="3447"/>
      <c r="Z5" s="3448"/>
      <c r="AA5" s="3433"/>
      <c r="AB5" s="3451"/>
      <c r="AC5" s="3433"/>
    </row>
    <row r="6" spans="1:29" ht="15.75" thickBot="1">
      <c r="A6" s="1671"/>
      <c r="B6" s="1672"/>
      <c r="C6" s="3480" t="s">
        <v>2257</v>
      </c>
      <c r="D6" s="3457"/>
      <c r="E6" s="3478" t="s">
        <v>2257</v>
      </c>
      <c r="F6" s="3479"/>
      <c r="G6" s="3480" t="s">
        <v>2257</v>
      </c>
      <c r="H6" s="3457"/>
      <c r="I6" s="3480" t="s">
        <v>2257</v>
      </c>
      <c r="J6" s="3457"/>
      <c r="K6" s="1966" t="s">
        <v>2258</v>
      </c>
      <c r="L6" s="2997"/>
      <c r="M6" s="2998"/>
      <c r="N6" s="2998"/>
      <c r="O6" s="2998"/>
      <c r="P6" s="3443"/>
      <c r="Q6" s="3444"/>
      <c r="R6" s="3447"/>
      <c r="S6" s="3448"/>
      <c r="T6" s="3449"/>
      <c r="U6" s="3450"/>
      <c r="V6" s="3451"/>
      <c r="W6" s="3451"/>
      <c r="X6" s="2075"/>
      <c r="Y6" s="3449"/>
      <c r="Z6" s="3450"/>
      <c r="AA6" s="3434"/>
      <c r="AB6" s="3451"/>
      <c r="AC6" s="3434"/>
    </row>
    <row r="7" spans="1:29" s="1685" customFormat="1" ht="15.75" thickBot="1">
      <c r="A7" s="1673" t="s">
        <v>2259</v>
      </c>
      <c r="B7" s="1674"/>
      <c r="C7" s="1675">
        <f>'数据-取费表'!B2</f>
        <v>41829</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65" t="s">
        <v>2260</v>
      </c>
      <c r="Q7" s="3467"/>
      <c r="R7" s="1681" t="s">
        <v>25</v>
      </c>
      <c r="S7" s="1682">
        <f t="shared" ref="S7:S15" si="0">F7</f>
        <v>0</v>
      </c>
      <c r="T7" s="1681" t="s">
        <v>25</v>
      </c>
      <c r="U7" s="1682">
        <f t="shared" ref="U7:U15" si="1">H7</f>
        <v>0</v>
      </c>
      <c r="V7" s="1681" t="s">
        <v>25</v>
      </c>
      <c r="W7" s="1682">
        <f t="shared" ref="W7:W15" si="2">J7</f>
        <v>0</v>
      </c>
      <c r="X7" s="1683"/>
      <c r="Y7" s="3465" t="s">
        <v>2260</v>
      </c>
      <c r="Z7" s="3466"/>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65" t="s">
        <v>2263</v>
      </c>
      <c r="Q8" s="3466"/>
      <c r="R8" s="1681" t="s">
        <v>25</v>
      </c>
      <c r="S8" s="1682">
        <f t="shared" si="0"/>
        <v>0</v>
      </c>
      <c r="T8" s="1681" t="s">
        <v>25</v>
      </c>
      <c r="U8" s="1682">
        <f t="shared" si="1"/>
        <v>0</v>
      </c>
      <c r="V8" s="1681" t="s">
        <v>25</v>
      </c>
      <c r="W8" s="1682">
        <f t="shared" si="2"/>
        <v>0</v>
      </c>
      <c r="X8" s="1683"/>
      <c r="Y8" s="3465" t="s">
        <v>2263</v>
      </c>
      <c r="Z8" s="3466"/>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68" t="s">
        <v>2266</v>
      </c>
      <c r="Q9" s="2066" t="str">
        <f t="shared" ref="Q9:Q15" si="6">B9</f>
        <v>用途</v>
      </c>
      <c r="R9" s="1681" t="s">
        <v>25</v>
      </c>
      <c r="S9" s="1682">
        <f t="shared" si="0"/>
        <v>100</v>
      </c>
      <c r="T9" s="1681" t="s">
        <v>25</v>
      </c>
      <c r="U9" s="1682">
        <f t="shared" si="1"/>
        <v>100</v>
      </c>
      <c r="V9" s="1681" t="s">
        <v>25</v>
      </c>
      <c r="W9" s="1682">
        <f t="shared" si="2"/>
        <v>100</v>
      </c>
      <c r="X9" s="1683"/>
      <c r="Y9" s="3333"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68"/>
      <c r="Q10" s="2066" t="str">
        <f t="shared" si="6"/>
        <v>土地使用年限（年）</v>
      </c>
      <c r="R10" s="1681" t="s">
        <v>25</v>
      </c>
      <c r="S10" s="1682">
        <f t="shared" si="0"/>
        <v>100</v>
      </c>
      <c r="T10" s="1681" t="s">
        <v>25</v>
      </c>
      <c r="U10" s="1682">
        <f t="shared" si="1"/>
        <v>100</v>
      </c>
      <c r="V10" s="1681" t="s">
        <v>25</v>
      </c>
      <c r="W10" s="1682">
        <f t="shared" si="2"/>
        <v>100</v>
      </c>
      <c r="X10" s="1683"/>
      <c r="Y10" s="3333"/>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68"/>
      <c r="Q11" s="2066" t="str">
        <f t="shared" si="6"/>
        <v>容积率</v>
      </c>
      <c r="R11" s="1681" t="s">
        <v>25</v>
      </c>
      <c r="S11" s="1682" t="e">
        <f t="shared" si="0"/>
        <v>#N/A</v>
      </c>
      <c r="T11" s="1681" t="s">
        <v>25</v>
      </c>
      <c r="U11" s="1682" t="e">
        <f t="shared" si="1"/>
        <v>#N/A</v>
      </c>
      <c r="V11" s="1681" t="s">
        <v>25</v>
      </c>
      <c r="W11" s="1682" t="e">
        <f t="shared" si="2"/>
        <v>#N/A</v>
      </c>
      <c r="X11" s="1683"/>
      <c r="Y11" s="333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8"/>
      <c r="Q12" s="2066">
        <f t="shared" si="6"/>
        <v>111</v>
      </c>
      <c r="R12" s="1681" t="s">
        <v>25</v>
      </c>
      <c r="S12" s="1682">
        <f t="shared" si="0"/>
        <v>100</v>
      </c>
      <c r="T12" s="1681" t="s">
        <v>25</v>
      </c>
      <c r="U12" s="1682">
        <f t="shared" si="1"/>
        <v>100</v>
      </c>
      <c r="V12" s="1681" t="s">
        <v>25</v>
      </c>
      <c r="W12" s="1682">
        <f t="shared" si="2"/>
        <v>100</v>
      </c>
      <c r="X12" s="1683"/>
      <c r="Y12" s="333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8"/>
      <c r="Q13" s="2066">
        <f t="shared" si="6"/>
        <v>111</v>
      </c>
      <c r="R13" s="1681" t="s">
        <v>25</v>
      </c>
      <c r="S13" s="1682">
        <f t="shared" si="0"/>
        <v>100</v>
      </c>
      <c r="T13" s="1681" t="s">
        <v>25</v>
      </c>
      <c r="U13" s="1682">
        <f t="shared" si="1"/>
        <v>100</v>
      </c>
      <c r="V13" s="1681" t="s">
        <v>25</v>
      </c>
      <c r="W13" s="1682">
        <f t="shared" si="2"/>
        <v>100</v>
      </c>
      <c r="X13" s="1683"/>
      <c r="Y13" s="3333"/>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8"/>
      <c r="Q14" s="2066">
        <f t="shared" si="6"/>
        <v>111</v>
      </c>
      <c r="R14" s="1681" t="s">
        <v>25</v>
      </c>
      <c r="S14" s="1682">
        <f t="shared" si="0"/>
        <v>100</v>
      </c>
      <c r="T14" s="1681" t="s">
        <v>25</v>
      </c>
      <c r="U14" s="1682">
        <f t="shared" si="1"/>
        <v>100</v>
      </c>
      <c r="V14" s="1681" t="s">
        <v>25</v>
      </c>
      <c r="W14" s="1682">
        <f t="shared" si="2"/>
        <v>100</v>
      </c>
      <c r="X14" s="1683"/>
      <c r="Y14" s="3333"/>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71" t="s">
        <v>2271</v>
      </c>
      <c r="Q15" s="2072" t="str">
        <f t="shared" si="6"/>
        <v>商业繁华度</v>
      </c>
      <c r="R15" s="1726" t="s">
        <v>25</v>
      </c>
      <c r="S15" s="1727">
        <f t="shared" si="0"/>
        <v>100</v>
      </c>
      <c r="T15" s="1726" t="s">
        <v>25</v>
      </c>
      <c r="U15" s="1727">
        <f t="shared" si="1"/>
        <v>100</v>
      </c>
      <c r="V15" s="1726" t="s">
        <v>25</v>
      </c>
      <c r="W15" s="1727">
        <f t="shared" si="2"/>
        <v>100</v>
      </c>
      <c r="X15" s="2075"/>
      <c r="Y15" s="3458"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72"/>
      <c r="Q16" s="2072"/>
      <c r="R16" s="1726"/>
      <c r="S16" s="1727"/>
      <c r="T16" s="1726"/>
      <c r="U16" s="1727"/>
      <c r="V16" s="1726"/>
      <c r="W16" s="1727"/>
      <c r="X16" s="2075"/>
      <c r="Y16" s="3459"/>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72"/>
      <c r="Q17" s="2072" t="str">
        <f>B17</f>
        <v>交通便捷度</v>
      </c>
      <c r="R17" s="1726" t="s">
        <v>25</v>
      </c>
      <c r="S17" s="1727">
        <f>F17</f>
        <v>100</v>
      </c>
      <c r="T17" s="1726" t="s">
        <v>25</v>
      </c>
      <c r="U17" s="1727">
        <f>H17</f>
        <v>100</v>
      </c>
      <c r="V17" s="1726" t="s">
        <v>25</v>
      </c>
      <c r="W17" s="1727">
        <f>J17</f>
        <v>100</v>
      </c>
      <c r="X17" s="2075"/>
      <c r="Y17" s="345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72"/>
      <c r="Q18" s="2072"/>
      <c r="R18" s="1726"/>
      <c r="S18" s="1727"/>
      <c r="T18" s="1726"/>
      <c r="U18" s="1727"/>
      <c r="V18" s="1726"/>
      <c r="W18" s="1727"/>
      <c r="X18" s="2075"/>
      <c r="Y18" s="3459"/>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72"/>
      <c r="Q19" s="2072" t="str">
        <f>B19</f>
        <v>公共配套设施</v>
      </c>
      <c r="R19" s="1726" t="s">
        <v>25</v>
      </c>
      <c r="S19" s="1727">
        <f>F19</f>
        <v>100</v>
      </c>
      <c r="T19" s="1726" t="s">
        <v>25</v>
      </c>
      <c r="U19" s="1727">
        <f>H19</f>
        <v>100</v>
      </c>
      <c r="V19" s="1726" t="s">
        <v>25</v>
      </c>
      <c r="W19" s="1727">
        <f>J19</f>
        <v>100</v>
      </c>
      <c r="X19" s="2075"/>
      <c r="Y19" s="345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72"/>
      <c r="Q20" s="2072"/>
      <c r="R20" s="1726"/>
      <c r="S20" s="1727"/>
      <c r="T20" s="1726"/>
      <c r="U20" s="1727"/>
      <c r="V20" s="1726"/>
      <c r="W20" s="1727"/>
      <c r="X20" s="2075"/>
      <c r="Y20" s="3459"/>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72"/>
      <c r="Q21" s="2072" t="str">
        <f>B21</f>
        <v>基础设施水平</v>
      </c>
      <c r="R21" s="1726" t="s">
        <v>25</v>
      </c>
      <c r="S21" s="1727">
        <f>F21</f>
        <v>100</v>
      </c>
      <c r="T21" s="1726" t="s">
        <v>25</v>
      </c>
      <c r="U21" s="1727">
        <f>H21</f>
        <v>100</v>
      </c>
      <c r="V21" s="1726" t="s">
        <v>25</v>
      </c>
      <c r="W21" s="1727">
        <f>J21</f>
        <v>100</v>
      </c>
      <c r="X21" s="2075"/>
      <c r="Y21" s="345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72"/>
      <c r="Q22" s="2072"/>
      <c r="R22" s="1726"/>
      <c r="S22" s="1727"/>
      <c r="T22" s="1726"/>
      <c r="U22" s="1727"/>
      <c r="V22" s="1726"/>
      <c r="W22" s="1727"/>
      <c r="X22" s="2075"/>
      <c r="Y22" s="3459"/>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72"/>
      <c r="Q23" s="2072" t="str">
        <f>B23</f>
        <v>自然及人文环境</v>
      </c>
      <c r="R23" s="1726" t="s">
        <v>25</v>
      </c>
      <c r="S23" s="1727">
        <f>F23</f>
        <v>100</v>
      </c>
      <c r="T23" s="1726" t="s">
        <v>25</v>
      </c>
      <c r="U23" s="1727">
        <f>H23</f>
        <v>100</v>
      </c>
      <c r="V23" s="1726" t="s">
        <v>25</v>
      </c>
      <c r="W23" s="1727">
        <f>J23</f>
        <v>100</v>
      </c>
      <c r="X23" s="2075"/>
      <c r="Y23" s="345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72"/>
      <c r="Q24" s="2072"/>
      <c r="R24" s="1726"/>
      <c r="S24" s="1727"/>
      <c r="T24" s="1726"/>
      <c r="U24" s="1727"/>
      <c r="V24" s="1726"/>
      <c r="W24" s="1727"/>
      <c r="X24" s="2075"/>
      <c r="Y24" s="3459"/>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72"/>
      <c r="Q25" s="2072" t="str">
        <f t="shared" ref="Q25:Q46" si="11">B25</f>
        <v>临街状况</v>
      </c>
      <c r="R25" s="1726" t="s">
        <v>25</v>
      </c>
      <c r="S25" s="1727">
        <f>F25</f>
        <v>100</v>
      </c>
      <c r="T25" s="1726" t="s">
        <v>25</v>
      </c>
      <c r="U25" s="1727">
        <f>H25</f>
        <v>100</v>
      </c>
      <c r="V25" s="1726" t="s">
        <v>25</v>
      </c>
      <c r="W25" s="1727">
        <f>J25</f>
        <v>100</v>
      </c>
      <c r="X25" s="2075"/>
      <c r="Y25" s="3459"/>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72"/>
      <c r="Q26" s="2072" t="str">
        <f t="shared" si="11"/>
        <v>平面位置/可视性</v>
      </c>
      <c r="R26" s="1726" t="s">
        <v>25</v>
      </c>
      <c r="S26" s="1727">
        <f>F26</f>
        <v>100</v>
      </c>
      <c r="T26" s="1726" t="s">
        <v>25</v>
      </c>
      <c r="U26" s="1727">
        <f>H26</f>
        <v>100</v>
      </c>
      <c r="V26" s="1726" t="s">
        <v>25</v>
      </c>
      <c r="W26" s="1727">
        <f>J26</f>
        <v>100</v>
      </c>
      <c r="X26" s="2075"/>
      <c r="Y26" s="3459"/>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72"/>
      <c r="Q27" s="2066" t="str">
        <f t="shared" si="11"/>
        <v>人流量</v>
      </c>
      <c r="R27" s="1681" t="s">
        <v>25</v>
      </c>
      <c r="S27" s="1682">
        <f>F27</f>
        <v>100</v>
      </c>
      <c r="T27" s="1681" t="s">
        <v>25</v>
      </c>
      <c r="U27" s="1682">
        <f>H27</f>
        <v>100</v>
      </c>
      <c r="V27" s="1681" t="s">
        <v>25</v>
      </c>
      <c r="W27" s="1682">
        <f>J27</f>
        <v>100</v>
      </c>
      <c r="X27" s="1683"/>
      <c r="Y27" s="3459"/>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7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72"/>
      <c r="Q29" s="2072">
        <f t="shared" si="11"/>
        <v>111</v>
      </c>
      <c r="R29" s="1726" t="s">
        <v>25</v>
      </c>
      <c r="S29" s="1727">
        <f t="shared" si="12"/>
        <v>100</v>
      </c>
      <c r="T29" s="1726" t="s">
        <v>25</v>
      </c>
      <c r="U29" s="1727">
        <f t="shared" si="13"/>
        <v>100</v>
      </c>
      <c r="V29" s="1726" t="s">
        <v>25</v>
      </c>
      <c r="W29" s="1727">
        <f t="shared" si="14"/>
        <v>100</v>
      </c>
      <c r="X29" s="2075"/>
      <c r="Y29" s="345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72"/>
      <c r="Q30" s="2072">
        <f t="shared" si="11"/>
        <v>111</v>
      </c>
      <c r="R30" s="1726" t="s">
        <v>25</v>
      </c>
      <c r="S30" s="1727">
        <f t="shared" si="12"/>
        <v>100</v>
      </c>
      <c r="T30" s="1726" t="s">
        <v>25</v>
      </c>
      <c r="U30" s="1727">
        <f t="shared" si="13"/>
        <v>100</v>
      </c>
      <c r="V30" s="1726" t="s">
        <v>25</v>
      </c>
      <c r="W30" s="1727">
        <f t="shared" si="14"/>
        <v>100</v>
      </c>
      <c r="X30" s="2075"/>
      <c r="Y30" s="345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72"/>
      <c r="Q31" s="2072">
        <f t="shared" si="11"/>
        <v>111</v>
      </c>
      <c r="R31" s="1726" t="s">
        <v>25</v>
      </c>
      <c r="S31" s="1727">
        <f t="shared" si="12"/>
        <v>100</v>
      </c>
      <c r="T31" s="1726" t="s">
        <v>25</v>
      </c>
      <c r="U31" s="1727">
        <f t="shared" si="13"/>
        <v>100</v>
      </c>
      <c r="V31" s="1726" t="s">
        <v>25</v>
      </c>
      <c r="W31" s="1727">
        <f t="shared" si="14"/>
        <v>100</v>
      </c>
      <c r="X31" s="2075"/>
      <c r="Y31" s="3459"/>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60" t="s">
        <v>2275</v>
      </c>
      <c r="Q32" s="2072" t="str">
        <f t="shared" si="11"/>
        <v>商业类型</v>
      </c>
      <c r="R32" s="1726" t="s">
        <v>25</v>
      </c>
      <c r="S32" s="1727">
        <f t="shared" si="12"/>
        <v>100</v>
      </c>
      <c r="T32" s="1726" t="s">
        <v>25</v>
      </c>
      <c r="U32" s="1727">
        <f t="shared" si="13"/>
        <v>100</v>
      </c>
      <c r="V32" s="1726" t="s">
        <v>25</v>
      </c>
      <c r="W32" s="1727">
        <f t="shared" si="14"/>
        <v>100</v>
      </c>
      <c r="X32" s="2075"/>
      <c r="Y32" s="3463"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61"/>
      <c r="Q33" s="1767" t="str">
        <f t="shared" si="11"/>
        <v>项目建筑规模</v>
      </c>
      <c r="R33" s="1768" t="s">
        <v>25</v>
      </c>
      <c r="S33" s="1769" t="e">
        <f t="shared" si="12"/>
        <v>#N/A</v>
      </c>
      <c r="T33" s="1768" t="s">
        <v>25</v>
      </c>
      <c r="U33" s="1769" t="e">
        <f t="shared" si="13"/>
        <v>#N/A</v>
      </c>
      <c r="V33" s="1768" t="s">
        <v>25</v>
      </c>
      <c r="W33" s="1769" t="e">
        <f t="shared" si="14"/>
        <v>#N/A</v>
      </c>
      <c r="X33" s="1770"/>
      <c r="Y33" s="3463"/>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61"/>
      <c r="Q34" s="2072" t="str">
        <f t="shared" si="11"/>
        <v>建筑结构</v>
      </c>
      <c r="R34" s="1726" t="s">
        <v>25</v>
      </c>
      <c r="S34" s="1727">
        <f t="shared" si="12"/>
        <v>100</v>
      </c>
      <c r="T34" s="1726" t="s">
        <v>25</v>
      </c>
      <c r="U34" s="1727">
        <f t="shared" si="13"/>
        <v>100</v>
      </c>
      <c r="V34" s="1726" t="s">
        <v>25</v>
      </c>
      <c r="W34" s="1727">
        <f t="shared" si="14"/>
        <v>100</v>
      </c>
      <c r="X34" s="2075"/>
      <c r="Y34" s="3463"/>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61"/>
      <c r="Q35" s="2072" t="str">
        <f t="shared" si="11"/>
        <v>公共部分装修</v>
      </c>
      <c r="R35" s="1726" t="s">
        <v>25</v>
      </c>
      <c r="S35" s="1727">
        <f t="shared" si="12"/>
        <v>100</v>
      </c>
      <c r="T35" s="1726" t="s">
        <v>25</v>
      </c>
      <c r="U35" s="1727">
        <f t="shared" si="13"/>
        <v>100</v>
      </c>
      <c r="V35" s="1726" t="s">
        <v>25</v>
      </c>
      <c r="W35" s="1727">
        <f t="shared" si="14"/>
        <v>100</v>
      </c>
      <c r="X35" s="2075"/>
      <c r="Y35" s="3463"/>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61"/>
      <c r="Q36" s="2072" t="str">
        <f t="shared" si="11"/>
        <v>成新度</v>
      </c>
      <c r="R36" s="1726" t="s">
        <v>25</v>
      </c>
      <c r="S36" s="1727" t="e">
        <f t="shared" si="12"/>
        <v>#N/A</v>
      </c>
      <c r="T36" s="1726" t="s">
        <v>25</v>
      </c>
      <c r="U36" s="1727" t="e">
        <f t="shared" si="13"/>
        <v>#N/A</v>
      </c>
      <c r="V36" s="1726" t="s">
        <v>25</v>
      </c>
      <c r="W36" s="1727" t="e">
        <f t="shared" si="14"/>
        <v>#N/A</v>
      </c>
      <c r="X36" s="2075"/>
      <c r="Y36" s="3463"/>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61"/>
      <c r="Q37" s="2066" t="str">
        <f t="shared" si="11"/>
        <v>市政基础设施</v>
      </c>
      <c r="R37" s="1681" t="s">
        <v>25</v>
      </c>
      <c r="S37" s="1682">
        <f t="shared" si="12"/>
        <v>100</v>
      </c>
      <c r="T37" s="1681" t="s">
        <v>25</v>
      </c>
      <c r="U37" s="1682">
        <f t="shared" si="13"/>
        <v>100</v>
      </c>
      <c r="V37" s="1681" t="s">
        <v>25</v>
      </c>
      <c r="W37" s="1682">
        <f t="shared" si="14"/>
        <v>100</v>
      </c>
      <c r="X37" s="1683"/>
      <c r="Y37" s="3463"/>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61" t="s">
        <v>2275</v>
      </c>
      <c r="Q38" s="2072" t="str">
        <f t="shared" si="11"/>
        <v>业态</v>
      </c>
      <c r="R38" s="1726" t="s">
        <v>25</v>
      </c>
      <c r="S38" s="1727">
        <f t="shared" si="12"/>
        <v>100</v>
      </c>
      <c r="T38" s="1726" t="s">
        <v>25</v>
      </c>
      <c r="U38" s="1727">
        <f t="shared" si="13"/>
        <v>100</v>
      </c>
      <c r="V38" s="1726" t="s">
        <v>25</v>
      </c>
      <c r="W38" s="1727">
        <f t="shared" si="14"/>
        <v>100</v>
      </c>
      <c r="X38" s="2075"/>
      <c r="Y38" s="3463"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61"/>
      <c r="Q39" s="2072" t="str">
        <f t="shared" si="11"/>
        <v>层高</v>
      </c>
      <c r="R39" s="1726" t="s">
        <v>25</v>
      </c>
      <c r="S39" s="1727">
        <f t="shared" si="12"/>
        <v>100</v>
      </c>
      <c r="T39" s="1726" t="s">
        <v>25</v>
      </c>
      <c r="U39" s="1727">
        <f t="shared" si="13"/>
        <v>100</v>
      </c>
      <c r="V39" s="1726" t="s">
        <v>25</v>
      </c>
      <c r="W39" s="1727">
        <f t="shared" si="14"/>
        <v>100</v>
      </c>
      <c r="X39" s="2075"/>
      <c r="Y39" s="3463"/>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61"/>
      <c r="Q40" s="2072" t="str">
        <f t="shared" si="11"/>
        <v>单套建筑面积</v>
      </c>
      <c r="R40" s="1726" t="s">
        <v>25</v>
      </c>
      <c r="S40" s="1727">
        <f t="shared" si="12"/>
        <v>100</v>
      </c>
      <c r="T40" s="1726" t="s">
        <v>25</v>
      </c>
      <c r="U40" s="1727">
        <f t="shared" si="13"/>
        <v>100</v>
      </c>
      <c r="V40" s="1726" t="s">
        <v>25</v>
      </c>
      <c r="W40" s="1727">
        <f t="shared" si="14"/>
        <v>100</v>
      </c>
      <c r="X40" s="2075"/>
      <c r="Y40" s="3463"/>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61"/>
      <c r="Q41" s="1767" t="str">
        <f t="shared" si="11"/>
        <v>进深比</v>
      </c>
      <c r="R41" s="1768" t="s">
        <v>25</v>
      </c>
      <c r="S41" s="1769">
        <f t="shared" si="12"/>
        <v>100</v>
      </c>
      <c r="T41" s="1768" t="s">
        <v>25</v>
      </c>
      <c r="U41" s="1769">
        <f t="shared" si="13"/>
        <v>100</v>
      </c>
      <c r="V41" s="1768" t="s">
        <v>25</v>
      </c>
      <c r="W41" s="1769">
        <f t="shared" si="14"/>
        <v>100</v>
      </c>
      <c r="X41" s="1770"/>
      <c r="Y41" s="3463"/>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61"/>
      <c r="Q42" s="2072" t="str">
        <f t="shared" si="11"/>
        <v>内部装修</v>
      </c>
      <c r="R42" s="1726" t="s">
        <v>25</v>
      </c>
      <c r="S42" s="1727">
        <f t="shared" si="12"/>
        <v>100</v>
      </c>
      <c r="T42" s="1726" t="s">
        <v>25</v>
      </c>
      <c r="U42" s="1727">
        <f t="shared" si="13"/>
        <v>100</v>
      </c>
      <c r="V42" s="1726" t="s">
        <v>25</v>
      </c>
      <c r="W42" s="1727">
        <f t="shared" si="14"/>
        <v>100</v>
      </c>
      <c r="X42" s="2075"/>
      <c r="Y42" s="3463"/>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61"/>
      <c r="Q43" s="2072" t="str">
        <f t="shared" si="11"/>
        <v>内部装修维护情况</v>
      </c>
      <c r="R43" s="1726" t="s">
        <v>25</v>
      </c>
      <c r="S43" s="1727">
        <f t="shared" si="12"/>
        <v>100</v>
      </c>
      <c r="T43" s="1726" t="s">
        <v>25</v>
      </c>
      <c r="U43" s="1727">
        <f t="shared" si="13"/>
        <v>100</v>
      </c>
      <c r="V43" s="1726" t="s">
        <v>25</v>
      </c>
      <c r="W43" s="1727">
        <f t="shared" si="14"/>
        <v>100</v>
      </c>
      <c r="X43" s="2075"/>
      <c r="Y43" s="346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61"/>
      <c r="Q44" s="2066">
        <f t="shared" si="11"/>
        <v>111</v>
      </c>
      <c r="R44" s="1681" t="s">
        <v>25</v>
      </c>
      <c r="S44" s="1682">
        <f t="shared" si="12"/>
        <v>100</v>
      </c>
      <c r="T44" s="1681" t="s">
        <v>25</v>
      </c>
      <c r="U44" s="1682">
        <f t="shared" si="13"/>
        <v>100</v>
      </c>
      <c r="V44" s="1681" t="s">
        <v>25</v>
      </c>
      <c r="W44" s="1682">
        <f t="shared" si="14"/>
        <v>100</v>
      </c>
      <c r="X44" s="1683"/>
      <c r="Y44" s="346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61"/>
      <c r="Q45" s="2072">
        <f t="shared" si="11"/>
        <v>111</v>
      </c>
      <c r="R45" s="1726" t="s">
        <v>25</v>
      </c>
      <c r="S45" s="1727">
        <f t="shared" si="12"/>
        <v>100</v>
      </c>
      <c r="T45" s="1726" t="s">
        <v>25</v>
      </c>
      <c r="U45" s="1727">
        <f t="shared" si="13"/>
        <v>100</v>
      </c>
      <c r="V45" s="1726" t="s">
        <v>25</v>
      </c>
      <c r="W45" s="1727">
        <f t="shared" si="14"/>
        <v>100</v>
      </c>
      <c r="X45" s="2075"/>
      <c r="Y45" s="346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62"/>
      <c r="Q46" s="2072">
        <f t="shared" si="11"/>
        <v>111</v>
      </c>
      <c r="R46" s="1726" t="s">
        <v>25</v>
      </c>
      <c r="S46" s="1727">
        <f t="shared" si="12"/>
        <v>100</v>
      </c>
      <c r="T46" s="1726" t="s">
        <v>25</v>
      </c>
      <c r="U46" s="1727">
        <f t="shared" si="13"/>
        <v>100</v>
      </c>
      <c r="V46" s="1726" t="s">
        <v>25</v>
      </c>
      <c r="W46" s="1727">
        <f t="shared" si="14"/>
        <v>100</v>
      </c>
      <c r="X46" s="2075"/>
      <c r="Y46" s="3464"/>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469" t="str">
        <f>A47</f>
        <v>成交单价（元/平方米）</v>
      </c>
      <c r="Q47" s="3469"/>
      <c r="R47" s="3470">
        <f>E47</f>
        <v>0</v>
      </c>
      <c r="S47" s="3470"/>
      <c r="T47" s="3470">
        <f>G47</f>
        <v>0</v>
      </c>
      <c r="U47" s="3470"/>
      <c r="V47" s="3470">
        <f>I47</f>
        <v>0</v>
      </c>
      <c r="W47" s="3470"/>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469" t="str">
        <f>A48</f>
        <v>比较价值（元/平方米）</v>
      </c>
      <c r="Q48" s="3469"/>
      <c r="R48" s="3470" t="e">
        <f>IF(E1="售价",ROUND(PRODUCT(R47,AA7:AA46),0),ROUND(PRODUCT(R47,AA7:AA46),1))</f>
        <v>#DIV/0!</v>
      </c>
      <c r="S48" s="3470"/>
      <c r="T48" s="3470" t="e">
        <f>IF(E1="售价",ROUND(PRODUCT(T47,AB7:AB46),0),ROUND(PRODUCT(T47,AB7:AB46),1))</f>
        <v>#DIV/0!</v>
      </c>
      <c r="U48" s="3470"/>
      <c r="V48" s="3470" t="e">
        <f>IF(E1="售价",ROUND(PRODUCT(V47,AC7:AC46),0),ROUND(PRODUCT(V47,AC7:AC46),1))</f>
        <v>#DIV/0!</v>
      </c>
      <c r="W48" s="3470"/>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75" t="str">
        <f>A49</f>
        <v>估价对象XX用房的比较价值（楼面单价，元/平方米）</v>
      </c>
      <c r="Q49" s="3476"/>
      <c r="R49" s="3477" t="e">
        <f>IF(E1="售价",ROUND(IF(D48="简单平均",AVERAGE(R48:V48),R48*F48+T48*H48+V48*J48),0),ROUND(IF(D48="简单平均",AVERAGE(R48:V48),R48*F48+T48*H48+V48*J48),1))</f>
        <v>#DIV/0!</v>
      </c>
      <c r="S49" s="3477"/>
      <c r="T49" s="3477"/>
      <c r="U49" s="3477"/>
      <c r="V49" s="3477"/>
      <c r="W49" s="3477"/>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2014-7</v>
      </c>
      <c r="D58" s="1826">
        <f>EDATE(C58,-1)</f>
        <v>41791</v>
      </c>
      <c r="E58" s="1826">
        <f t="shared" ref="E58:O58" si="16">EDATE(D58,-1)</f>
        <v>41760</v>
      </c>
      <c r="F58" s="1826">
        <f t="shared" si="16"/>
        <v>41730</v>
      </c>
      <c r="G58" s="1826">
        <f t="shared" si="16"/>
        <v>41699</v>
      </c>
      <c r="H58" s="1826">
        <f t="shared" si="16"/>
        <v>41671</v>
      </c>
      <c r="I58" s="1826">
        <f t="shared" si="16"/>
        <v>41640</v>
      </c>
      <c r="J58" s="1826">
        <f t="shared" si="16"/>
        <v>41609</v>
      </c>
      <c r="K58" s="1826">
        <f t="shared" si="16"/>
        <v>41579</v>
      </c>
      <c r="L58" s="1826">
        <f t="shared" si="16"/>
        <v>41548</v>
      </c>
      <c r="M58" s="1826">
        <f t="shared" si="16"/>
        <v>41518</v>
      </c>
      <c r="N58" s="1826">
        <f t="shared" si="16"/>
        <v>41487</v>
      </c>
      <c r="O58" s="1826">
        <f t="shared" si="16"/>
        <v>41456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118</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35" t="s">
        <v>2247</v>
      </c>
      <c r="D4" s="3436"/>
      <c r="E4" s="3437" t="s">
        <v>2248</v>
      </c>
      <c r="F4" s="3438"/>
      <c r="G4" s="3435" t="s">
        <v>2249</v>
      </c>
      <c r="H4" s="3436"/>
      <c r="I4" s="3435" t="s">
        <v>2250</v>
      </c>
      <c r="J4" s="3436"/>
      <c r="K4" s="1966" t="s">
        <v>2251</v>
      </c>
      <c r="L4" s="2997"/>
      <c r="M4" s="2998"/>
      <c r="N4" s="2998"/>
      <c r="O4" s="2998"/>
      <c r="P4" s="3439" t="s">
        <v>2252</v>
      </c>
      <c r="Q4" s="3440"/>
      <c r="R4" s="3445" t="s">
        <v>2248</v>
      </c>
      <c r="S4" s="3446"/>
      <c r="T4" s="3445" t="s">
        <v>2249</v>
      </c>
      <c r="U4" s="3446"/>
      <c r="V4" s="3451" t="s">
        <v>2250</v>
      </c>
      <c r="W4" s="3451"/>
      <c r="X4" s="2075"/>
      <c r="Y4" s="3445" t="s">
        <v>2252</v>
      </c>
      <c r="Z4" s="3446"/>
      <c r="AA4" s="3432" t="s">
        <v>2248</v>
      </c>
      <c r="AB4" s="3432" t="s">
        <v>2249</v>
      </c>
      <c r="AC4" s="3432" t="s">
        <v>2250</v>
      </c>
    </row>
    <row r="5" spans="1:29" ht="15">
      <c r="A5" s="1668"/>
      <c r="B5" s="1669"/>
      <c r="C5" s="3454" t="s">
        <v>2253</v>
      </c>
      <c r="D5" s="3455"/>
      <c r="E5" s="3452" t="s">
        <v>2254</v>
      </c>
      <c r="F5" s="3453"/>
      <c r="G5" s="3454" t="s">
        <v>2255</v>
      </c>
      <c r="H5" s="3455"/>
      <c r="I5" s="3454" t="s">
        <v>2256</v>
      </c>
      <c r="J5" s="3455"/>
      <c r="K5" s="1966"/>
      <c r="L5" s="2997"/>
      <c r="M5" s="2998"/>
      <c r="N5" s="2998"/>
      <c r="O5" s="2998"/>
      <c r="P5" s="3441"/>
      <c r="Q5" s="3442"/>
      <c r="R5" s="3447"/>
      <c r="S5" s="3448"/>
      <c r="T5" s="3447"/>
      <c r="U5" s="3448"/>
      <c r="V5" s="3451"/>
      <c r="W5" s="3451"/>
      <c r="X5" s="2075"/>
      <c r="Y5" s="3447"/>
      <c r="Z5" s="3448"/>
      <c r="AA5" s="3433"/>
      <c r="AB5" s="3433"/>
      <c r="AC5" s="3433"/>
    </row>
    <row r="6" spans="1:29" ht="15.75" thickBot="1">
      <c r="A6" s="1671"/>
      <c r="B6" s="1672"/>
      <c r="C6" s="3480" t="s">
        <v>2257</v>
      </c>
      <c r="D6" s="3457"/>
      <c r="E6" s="3478" t="s">
        <v>2257</v>
      </c>
      <c r="F6" s="3479"/>
      <c r="G6" s="3480" t="s">
        <v>2257</v>
      </c>
      <c r="H6" s="3457"/>
      <c r="I6" s="3480" t="s">
        <v>2257</v>
      </c>
      <c r="J6" s="3457"/>
      <c r="K6" s="1966" t="s">
        <v>2258</v>
      </c>
      <c r="L6" s="2997"/>
      <c r="M6" s="2998"/>
      <c r="N6" s="2998"/>
      <c r="O6" s="2998"/>
      <c r="P6" s="3443"/>
      <c r="Q6" s="3444"/>
      <c r="R6" s="3447"/>
      <c r="S6" s="3448"/>
      <c r="T6" s="3449"/>
      <c r="U6" s="3450"/>
      <c r="V6" s="3451"/>
      <c r="W6" s="3451"/>
      <c r="X6" s="2075"/>
      <c r="Y6" s="3449"/>
      <c r="Z6" s="3450"/>
      <c r="AA6" s="3434"/>
      <c r="AB6" s="3434"/>
      <c r="AC6" s="3434"/>
    </row>
    <row r="7" spans="1:29" s="1685" customFormat="1" ht="15.75" thickBot="1">
      <c r="A7" s="1673" t="s">
        <v>2259</v>
      </c>
      <c r="B7" s="1674"/>
      <c r="C7" s="1675">
        <f>'数据-取费表'!B2</f>
        <v>41829</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65" t="s">
        <v>2260</v>
      </c>
      <c r="Q7" s="3467"/>
      <c r="R7" s="1681" t="s">
        <v>25</v>
      </c>
      <c r="S7" s="1682">
        <f t="shared" ref="S7:S15" si="0">F7</f>
        <v>0</v>
      </c>
      <c r="T7" s="1681" t="s">
        <v>25</v>
      </c>
      <c r="U7" s="1682">
        <f t="shared" ref="U7:U15" si="1">H7</f>
        <v>0</v>
      </c>
      <c r="V7" s="1681" t="s">
        <v>25</v>
      </c>
      <c r="W7" s="1682">
        <f t="shared" ref="W7:W15" si="2">J7</f>
        <v>0</v>
      </c>
      <c r="X7" s="1683"/>
      <c r="Y7" s="3465" t="s">
        <v>2260</v>
      </c>
      <c r="Z7" s="3466"/>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65" t="s">
        <v>2263</v>
      </c>
      <c r="Q8" s="3466"/>
      <c r="R8" s="1681" t="s">
        <v>25</v>
      </c>
      <c r="S8" s="1682">
        <f t="shared" si="0"/>
        <v>0</v>
      </c>
      <c r="T8" s="1681" t="s">
        <v>25</v>
      </c>
      <c r="U8" s="1682">
        <f t="shared" si="1"/>
        <v>0</v>
      </c>
      <c r="V8" s="1681" t="s">
        <v>25</v>
      </c>
      <c r="W8" s="1682">
        <f t="shared" si="2"/>
        <v>0</v>
      </c>
      <c r="X8" s="1683"/>
      <c r="Y8" s="3465" t="s">
        <v>2263</v>
      </c>
      <c r="Z8" s="3466"/>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69" t="s">
        <v>2266</v>
      </c>
      <c r="Q9" s="2915" t="str">
        <f t="shared" ref="Q9:Q15" si="6">B9</f>
        <v>用途</v>
      </c>
      <c r="R9" s="1681" t="s">
        <v>25</v>
      </c>
      <c r="S9" s="1682">
        <f t="shared" si="0"/>
        <v>100</v>
      </c>
      <c r="T9" s="1681" t="s">
        <v>25</v>
      </c>
      <c r="U9" s="1682">
        <f t="shared" si="1"/>
        <v>100</v>
      </c>
      <c r="V9" s="1681" t="s">
        <v>25</v>
      </c>
      <c r="W9" s="1682">
        <f t="shared" si="2"/>
        <v>100</v>
      </c>
      <c r="X9" s="1683"/>
      <c r="Y9" s="3333"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69"/>
      <c r="Q10" s="2915" t="str">
        <f t="shared" si="6"/>
        <v>土地使用年限（年）</v>
      </c>
      <c r="R10" s="1681" t="s">
        <v>25</v>
      </c>
      <c r="S10" s="1682">
        <f t="shared" si="0"/>
        <v>100</v>
      </c>
      <c r="T10" s="1681" t="s">
        <v>25</v>
      </c>
      <c r="U10" s="1682">
        <f t="shared" si="1"/>
        <v>100</v>
      </c>
      <c r="V10" s="1681" t="s">
        <v>25</v>
      </c>
      <c r="W10" s="1682">
        <f t="shared" si="2"/>
        <v>100</v>
      </c>
      <c r="X10" s="1683"/>
      <c r="Y10" s="3333"/>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69"/>
      <c r="Q11" s="2915" t="str">
        <f t="shared" si="6"/>
        <v>容积率</v>
      </c>
      <c r="R11" s="1681" t="s">
        <v>25</v>
      </c>
      <c r="S11" s="1682" t="e">
        <f t="shared" si="0"/>
        <v>#N/A</v>
      </c>
      <c r="T11" s="1681" t="s">
        <v>25</v>
      </c>
      <c r="U11" s="1682" t="e">
        <f t="shared" si="1"/>
        <v>#N/A</v>
      </c>
      <c r="V11" s="1681" t="s">
        <v>25</v>
      </c>
      <c r="W11" s="1682" t="e">
        <f t="shared" si="2"/>
        <v>#N/A</v>
      </c>
      <c r="X11" s="1683"/>
      <c r="Y11" s="333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69"/>
      <c r="Q12" s="2915">
        <f t="shared" si="6"/>
        <v>111</v>
      </c>
      <c r="R12" s="1681" t="s">
        <v>25</v>
      </c>
      <c r="S12" s="1682">
        <f t="shared" si="0"/>
        <v>100</v>
      </c>
      <c r="T12" s="1681" t="s">
        <v>25</v>
      </c>
      <c r="U12" s="1682">
        <f t="shared" si="1"/>
        <v>100</v>
      </c>
      <c r="V12" s="1681" t="s">
        <v>25</v>
      </c>
      <c r="W12" s="1682">
        <f t="shared" si="2"/>
        <v>100</v>
      </c>
      <c r="X12" s="1683"/>
      <c r="Y12" s="3333"/>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69"/>
      <c r="Q13" s="2915">
        <f t="shared" si="6"/>
        <v>111</v>
      </c>
      <c r="R13" s="1681" t="s">
        <v>25</v>
      </c>
      <c r="S13" s="1682">
        <f t="shared" si="0"/>
        <v>100</v>
      </c>
      <c r="T13" s="1681" t="s">
        <v>25</v>
      </c>
      <c r="U13" s="1682">
        <f t="shared" si="1"/>
        <v>100</v>
      </c>
      <c r="V13" s="1681" t="s">
        <v>25</v>
      </c>
      <c r="W13" s="1682">
        <f t="shared" si="2"/>
        <v>100</v>
      </c>
      <c r="X13" s="1683"/>
      <c r="Y13" s="3333"/>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69"/>
      <c r="Q14" s="2915">
        <f t="shared" si="6"/>
        <v>111</v>
      </c>
      <c r="R14" s="1681" t="s">
        <v>25</v>
      </c>
      <c r="S14" s="1682">
        <f t="shared" si="0"/>
        <v>100</v>
      </c>
      <c r="T14" s="1681" t="s">
        <v>25</v>
      </c>
      <c r="U14" s="1682">
        <f t="shared" si="1"/>
        <v>100</v>
      </c>
      <c r="V14" s="1681" t="s">
        <v>25</v>
      </c>
      <c r="W14" s="1682">
        <f t="shared" si="2"/>
        <v>100</v>
      </c>
      <c r="X14" s="1683"/>
      <c r="Y14" s="3333"/>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58" t="s">
        <v>2271</v>
      </c>
      <c r="Q15" s="2916" t="str">
        <f t="shared" si="6"/>
        <v>办公集聚程度</v>
      </c>
      <c r="R15" s="1726" t="s">
        <v>25</v>
      </c>
      <c r="S15" s="1727">
        <f t="shared" si="0"/>
        <v>100</v>
      </c>
      <c r="T15" s="1726" t="s">
        <v>25</v>
      </c>
      <c r="U15" s="1727">
        <f t="shared" si="1"/>
        <v>100</v>
      </c>
      <c r="V15" s="1726" t="s">
        <v>25</v>
      </c>
      <c r="W15" s="1727">
        <f t="shared" si="2"/>
        <v>100</v>
      </c>
      <c r="X15" s="2075"/>
      <c r="Y15" s="3458"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59"/>
      <c r="Q16" s="2916"/>
      <c r="R16" s="1726"/>
      <c r="S16" s="1727"/>
      <c r="T16" s="1726"/>
      <c r="U16" s="1727"/>
      <c r="V16" s="1726"/>
      <c r="W16" s="1727"/>
      <c r="X16" s="2075"/>
      <c r="Y16" s="3459"/>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59"/>
      <c r="Q17" s="2916" t="str">
        <f>B17</f>
        <v>交通便捷度</v>
      </c>
      <c r="R17" s="1726" t="s">
        <v>25</v>
      </c>
      <c r="S17" s="1727">
        <f>F17</f>
        <v>100</v>
      </c>
      <c r="T17" s="1726" t="s">
        <v>25</v>
      </c>
      <c r="U17" s="1727">
        <f>H17</f>
        <v>100</v>
      </c>
      <c r="V17" s="1726" t="s">
        <v>25</v>
      </c>
      <c r="W17" s="1727">
        <f>J17</f>
        <v>100</v>
      </c>
      <c r="X17" s="2075"/>
      <c r="Y17" s="3459"/>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59"/>
      <c r="Q18" s="2916"/>
      <c r="R18" s="1726"/>
      <c r="S18" s="1727"/>
      <c r="T18" s="1726"/>
      <c r="U18" s="1727"/>
      <c r="V18" s="1726"/>
      <c r="W18" s="1727"/>
      <c r="X18" s="2075"/>
      <c r="Y18" s="3459"/>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59"/>
      <c r="Q19" s="2916" t="str">
        <f>B19</f>
        <v>公共配套设施</v>
      </c>
      <c r="R19" s="1726" t="s">
        <v>25</v>
      </c>
      <c r="S19" s="1727">
        <f>F19</f>
        <v>100</v>
      </c>
      <c r="T19" s="1726" t="s">
        <v>25</v>
      </c>
      <c r="U19" s="1727">
        <f>H19</f>
        <v>100</v>
      </c>
      <c r="V19" s="1726" t="s">
        <v>25</v>
      </c>
      <c r="W19" s="1727">
        <f>J19</f>
        <v>100</v>
      </c>
      <c r="X19" s="2075"/>
      <c r="Y19" s="3459"/>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59"/>
      <c r="Q20" s="2916"/>
      <c r="R20" s="1726"/>
      <c r="S20" s="1727"/>
      <c r="T20" s="1726"/>
      <c r="U20" s="1727"/>
      <c r="V20" s="1726"/>
      <c r="W20" s="1727"/>
      <c r="X20" s="2075"/>
      <c r="Y20" s="3459"/>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59"/>
      <c r="Q21" s="2916" t="str">
        <f>B21</f>
        <v>基础设施水平</v>
      </c>
      <c r="R21" s="1726" t="s">
        <v>25</v>
      </c>
      <c r="S21" s="1727">
        <f>F21</f>
        <v>100</v>
      </c>
      <c r="T21" s="1726" t="s">
        <v>25</v>
      </c>
      <c r="U21" s="1727">
        <f>H21</f>
        <v>100</v>
      </c>
      <c r="V21" s="1726" t="s">
        <v>25</v>
      </c>
      <c r="W21" s="1727">
        <f>J21</f>
        <v>100</v>
      </c>
      <c r="X21" s="2075"/>
      <c r="Y21" s="3459"/>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59"/>
      <c r="Q22" s="2916"/>
      <c r="R22" s="1726"/>
      <c r="S22" s="1727"/>
      <c r="T22" s="1726"/>
      <c r="U22" s="1727"/>
      <c r="V22" s="1726"/>
      <c r="W22" s="1727"/>
      <c r="X22" s="2075"/>
      <c r="Y22" s="3459"/>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59"/>
      <c r="Q23" s="2916" t="str">
        <f>B23</f>
        <v>环境质量</v>
      </c>
      <c r="R23" s="1726" t="s">
        <v>25</v>
      </c>
      <c r="S23" s="1727">
        <f>F23</f>
        <v>100</v>
      </c>
      <c r="T23" s="1726" t="s">
        <v>25</v>
      </c>
      <c r="U23" s="1727">
        <f>H23</f>
        <v>100</v>
      </c>
      <c r="V23" s="1726" t="s">
        <v>25</v>
      </c>
      <c r="W23" s="1727">
        <f>J23</f>
        <v>100</v>
      </c>
      <c r="X23" s="2075"/>
      <c r="Y23" s="3459"/>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59"/>
      <c r="Q24" s="2916"/>
      <c r="R24" s="1726"/>
      <c r="S24" s="1727"/>
      <c r="T24" s="1726"/>
      <c r="U24" s="1727"/>
      <c r="V24" s="1726"/>
      <c r="W24" s="1727"/>
      <c r="X24" s="2075"/>
      <c r="Y24" s="3459"/>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59"/>
      <c r="Q25" s="2916" t="str">
        <f>B25</f>
        <v>毗邻道路的类型与等级</v>
      </c>
      <c r="R25" s="1726" t="s">
        <v>25</v>
      </c>
      <c r="S25" s="1727">
        <f>F25</f>
        <v>100</v>
      </c>
      <c r="T25" s="1726" t="s">
        <v>25</v>
      </c>
      <c r="U25" s="1727">
        <f>H25</f>
        <v>100</v>
      </c>
      <c r="V25" s="1726" t="s">
        <v>25</v>
      </c>
      <c r="W25" s="1727">
        <f>J25</f>
        <v>100</v>
      </c>
      <c r="X25" s="2075"/>
      <c r="Y25" s="3459"/>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59"/>
      <c r="Q26" s="2916"/>
      <c r="R26" s="1726"/>
      <c r="S26" s="1727"/>
      <c r="T26" s="1726"/>
      <c r="U26" s="1727"/>
      <c r="V26" s="1726"/>
      <c r="W26" s="1727"/>
      <c r="X26" s="2075"/>
      <c r="Y26" s="3459"/>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59"/>
      <c r="Q27" s="2916" t="str">
        <f t="shared" ref="Q27:Q47" si="11">B27</f>
        <v>楼层</v>
      </c>
      <c r="R27" s="1726" t="s">
        <v>25</v>
      </c>
      <c r="S27" s="1727">
        <f>F27</f>
        <v>100</v>
      </c>
      <c r="T27" s="1726" t="s">
        <v>25</v>
      </c>
      <c r="U27" s="1727">
        <f>H27</f>
        <v>100</v>
      </c>
      <c r="V27" s="1726" t="s">
        <v>25</v>
      </c>
      <c r="W27" s="1727">
        <f>J27</f>
        <v>100</v>
      </c>
      <c r="X27" s="2075"/>
      <c r="Y27" s="3459"/>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59"/>
      <c r="Q28" s="2915" t="str">
        <f t="shared" si="11"/>
        <v>朝向</v>
      </c>
      <c r="R28" s="1681" t="s">
        <v>25</v>
      </c>
      <c r="S28" s="1682">
        <f>F28</f>
        <v>100</v>
      </c>
      <c r="T28" s="1681" t="s">
        <v>25</v>
      </c>
      <c r="U28" s="1682">
        <f>H28</f>
        <v>100</v>
      </c>
      <c r="V28" s="1681" t="s">
        <v>25</v>
      </c>
      <c r="W28" s="1682">
        <f>J28</f>
        <v>100</v>
      </c>
      <c r="X28" s="1683"/>
      <c r="Y28" s="3459"/>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59"/>
      <c r="Q29" s="2916">
        <f t="shared" si="11"/>
        <v>111</v>
      </c>
      <c r="R29" s="1726" t="s">
        <v>25</v>
      </c>
      <c r="S29" s="1727">
        <f t="shared" ref="S29:S47" si="12">F29</f>
        <v>100</v>
      </c>
      <c r="T29" s="1726" t="s">
        <v>25</v>
      </c>
      <c r="U29" s="1727">
        <f t="shared" ref="U29:U47" si="13">H29</f>
        <v>100</v>
      </c>
      <c r="V29" s="1726" t="s">
        <v>25</v>
      </c>
      <c r="W29" s="1727">
        <f t="shared" ref="W29:W47" si="14">J29</f>
        <v>100</v>
      </c>
      <c r="X29" s="2075"/>
      <c r="Y29" s="3459"/>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59"/>
      <c r="Q30" s="2916">
        <f t="shared" si="11"/>
        <v>111</v>
      </c>
      <c r="R30" s="1726" t="s">
        <v>25</v>
      </c>
      <c r="S30" s="1727">
        <f t="shared" si="12"/>
        <v>100</v>
      </c>
      <c r="T30" s="1726" t="s">
        <v>25</v>
      </c>
      <c r="U30" s="1727">
        <f t="shared" si="13"/>
        <v>100</v>
      </c>
      <c r="V30" s="1726" t="s">
        <v>25</v>
      </c>
      <c r="W30" s="1727">
        <f t="shared" si="14"/>
        <v>100</v>
      </c>
      <c r="X30" s="2075"/>
      <c r="Y30" s="3459"/>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59"/>
      <c r="Q31" s="2916">
        <f t="shared" si="11"/>
        <v>111</v>
      </c>
      <c r="R31" s="1726" t="s">
        <v>25</v>
      </c>
      <c r="S31" s="1727">
        <f t="shared" si="12"/>
        <v>100</v>
      </c>
      <c r="T31" s="1726" t="s">
        <v>25</v>
      </c>
      <c r="U31" s="1727">
        <f t="shared" si="13"/>
        <v>100</v>
      </c>
      <c r="V31" s="1726" t="s">
        <v>25</v>
      </c>
      <c r="W31" s="1727">
        <f t="shared" si="14"/>
        <v>100</v>
      </c>
      <c r="X31" s="2075"/>
      <c r="Y31" s="3459"/>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59"/>
      <c r="Q32" s="2916">
        <f t="shared" si="11"/>
        <v>111</v>
      </c>
      <c r="R32" s="1726" t="s">
        <v>25</v>
      </c>
      <c r="S32" s="1727">
        <f t="shared" si="12"/>
        <v>100</v>
      </c>
      <c r="T32" s="1726" t="s">
        <v>25</v>
      </c>
      <c r="U32" s="1727">
        <f t="shared" si="13"/>
        <v>100</v>
      </c>
      <c r="V32" s="1726" t="s">
        <v>25</v>
      </c>
      <c r="W32" s="1727">
        <f t="shared" si="14"/>
        <v>100</v>
      </c>
      <c r="X32" s="2075"/>
      <c r="Y32" s="3459"/>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81" t="s">
        <v>2275</v>
      </c>
      <c r="Q33" s="2916" t="str">
        <f t="shared" si="11"/>
        <v>建筑类型</v>
      </c>
      <c r="R33" s="1726" t="s">
        <v>25</v>
      </c>
      <c r="S33" s="1727">
        <f t="shared" si="12"/>
        <v>100</v>
      </c>
      <c r="T33" s="1726" t="s">
        <v>25</v>
      </c>
      <c r="U33" s="1727">
        <f t="shared" si="13"/>
        <v>100</v>
      </c>
      <c r="V33" s="1726" t="s">
        <v>25</v>
      </c>
      <c r="W33" s="1727">
        <f t="shared" si="14"/>
        <v>100</v>
      </c>
      <c r="X33" s="2075"/>
      <c r="Y33" s="3463"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63"/>
      <c r="Q34" s="1767" t="str">
        <f t="shared" si="11"/>
        <v>项目建筑规模</v>
      </c>
      <c r="R34" s="1768" t="s">
        <v>25</v>
      </c>
      <c r="S34" s="1769" t="e">
        <f t="shared" si="12"/>
        <v>#N/A</v>
      </c>
      <c r="T34" s="1768" t="s">
        <v>25</v>
      </c>
      <c r="U34" s="1769" t="e">
        <f t="shared" si="13"/>
        <v>#N/A</v>
      </c>
      <c r="V34" s="1768" t="s">
        <v>25</v>
      </c>
      <c r="W34" s="1769" t="e">
        <f t="shared" si="14"/>
        <v>#N/A</v>
      </c>
      <c r="X34" s="1770"/>
      <c r="Y34" s="3463"/>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63"/>
      <c r="Q35" s="2916" t="str">
        <f t="shared" si="11"/>
        <v>建筑结构</v>
      </c>
      <c r="R35" s="1726" t="s">
        <v>25</v>
      </c>
      <c r="S35" s="1727">
        <f t="shared" si="12"/>
        <v>100</v>
      </c>
      <c r="T35" s="1726" t="s">
        <v>25</v>
      </c>
      <c r="U35" s="1727">
        <f t="shared" si="13"/>
        <v>100</v>
      </c>
      <c r="V35" s="1726" t="s">
        <v>25</v>
      </c>
      <c r="W35" s="1727">
        <f t="shared" si="14"/>
        <v>100</v>
      </c>
      <c r="X35" s="2075"/>
      <c r="Y35" s="3463"/>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63"/>
      <c r="Q36" s="2916" t="str">
        <f t="shared" si="11"/>
        <v>公共部分装修</v>
      </c>
      <c r="R36" s="1726" t="s">
        <v>25</v>
      </c>
      <c r="S36" s="1727">
        <f t="shared" si="12"/>
        <v>100</v>
      </c>
      <c r="T36" s="1726" t="s">
        <v>25</v>
      </c>
      <c r="U36" s="1727">
        <f t="shared" si="13"/>
        <v>100</v>
      </c>
      <c r="V36" s="1726" t="s">
        <v>25</v>
      </c>
      <c r="W36" s="1727">
        <f t="shared" si="14"/>
        <v>100</v>
      </c>
      <c r="X36" s="2075"/>
      <c r="Y36" s="3463"/>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63"/>
      <c r="Q37" s="2916" t="str">
        <f t="shared" si="11"/>
        <v>成新度</v>
      </c>
      <c r="R37" s="1726" t="s">
        <v>25</v>
      </c>
      <c r="S37" s="1727" t="e">
        <f t="shared" si="12"/>
        <v>#N/A</v>
      </c>
      <c r="T37" s="1726" t="s">
        <v>25</v>
      </c>
      <c r="U37" s="1727" t="e">
        <f t="shared" si="13"/>
        <v>#N/A</v>
      </c>
      <c r="V37" s="1726" t="s">
        <v>25</v>
      </c>
      <c r="W37" s="1727" t="e">
        <f t="shared" si="14"/>
        <v>#N/A</v>
      </c>
      <c r="X37" s="2075"/>
      <c r="Y37" s="3463"/>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63"/>
      <c r="Q38" s="2915" t="str">
        <f t="shared" si="11"/>
        <v>写字楼等级</v>
      </c>
      <c r="R38" s="1681" t="s">
        <v>25</v>
      </c>
      <c r="S38" s="1682">
        <f t="shared" si="12"/>
        <v>100</v>
      </c>
      <c r="T38" s="1681" t="s">
        <v>25</v>
      </c>
      <c r="U38" s="1682">
        <f t="shared" si="13"/>
        <v>100</v>
      </c>
      <c r="V38" s="1681" t="s">
        <v>25</v>
      </c>
      <c r="W38" s="1682">
        <f t="shared" si="14"/>
        <v>100</v>
      </c>
      <c r="X38" s="1683"/>
      <c r="Y38" s="3463"/>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63" t="s">
        <v>2275</v>
      </c>
      <c r="Q39" s="2916" t="str">
        <f t="shared" si="11"/>
        <v>物业管理</v>
      </c>
      <c r="R39" s="1726" t="s">
        <v>25</v>
      </c>
      <c r="S39" s="1727">
        <f t="shared" si="12"/>
        <v>100</v>
      </c>
      <c r="T39" s="1726" t="s">
        <v>25</v>
      </c>
      <c r="U39" s="1727">
        <f t="shared" si="13"/>
        <v>100</v>
      </c>
      <c r="V39" s="1726" t="s">
        <v>25</v>
      </c>
      <c r="W39" s="1727">
        <f t="shared" si="14"/>
        <v>100</v>
      </c>
      <c r="X39" s="2075"/>
      <c r="Y39" s="3463"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63"/>
      <c r="Q40" s="2916" t="str">
        <f t="shared" si="11"/>
        <v>市政基础设施</v>
      </c>
      <c r="R40" s="1726" t="s">
        <v>25</v>
      </c>
      <c r="S40" s="1727">
        <f t="shared" si="12"/>
        <v>100</v>
      </c>
      <c r="T40" s="1726" t="s">
        <v>25</v>
      </c>
      <c r="U40" s="1727">
        <f t="shared" si="13"/>
        <v>100</v>
      </c>
      <c r="V40" s="1726" t="s">
        <v>25</v>
      </c>
      <c r="W40" s="1727">
        <f t="shared" si="14"/>
        <v>100</v>
      </c>
      <c r="X40" s="2075"/>
      <c r="Y40" s="3463"/>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63"/>
      <c r="Q41" s="2916" t="str">
        <f t="shared" si="11"/>
        <v>层高</v>
      </c>
      <c r="R41" s="1726" t="s">
        <v>25</v>
      </c>
      <c r="S41" s="1727">
        <f t="shared" si="12"/>
        <v>100</v>
      </c>
      <c r="T41" s="1726" t="s">
        <v>25</v>
      </c>
      <c r="U41" s="1727">
        <f t="shared" si="13"/>
        <v>100</v>
      </c>
      <c r="V41" s="1726" t="s">
        <v>25</v>
      </c>
      <c r="W41" s="1727">
        <f t="shared" si="14"/>
        <v>100</v>
      </c>
      <c r="X41" s="2075"/>
      <c r="Y41" s="3463"/>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63"/>
      <c r="Q42" s="1767" t="str">
        <f t="shared" si="11"/>
        <v>单套建筑面积</v>
      </c>
      <c r="R42" s="1768" t="s">
        <v>25</v>
      </c>
      <c r="S42" s="1769">
        <f t="shared" si="12"/>
        <v>100</v>
      </c>
      <c r="T42" s="1768" t="s">
        <v>25</v>
      </c>
      <c r="U42" s="1769">
        <f t="shared" si="13"/>
        <v>100</v>
      </c>
      <c r="V42" s="1768" t="s">
        <v>25</v>
      </c>
      <c r="W42" s="1769">
        <f t="shared" si="14"/>
        <v>100</v>
      </c>
      <c r="X42" s="1770"/>
      <c r="Y42" s="3463"/>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63"/>
      <c r="Q43" s="2916" t="str">
        <f t="shared" si="11"/>
        <v>内部装修</v>
      </c>
      <c r="R43" s="1726" t="s">
        <v>25</v>
      </c>
      <c r="S43" s="1727">
        <f t="shared" si="12"/>
        <v>100</v>
      </c>
      <c r="T43" s="1726" t="s">
        <v>25</v>
      </c>
      <c r="U43" s="1727">
        <f t="shared" si="13"/>
        <v>100</v>
      </c>
      <c r="V43" s="1726" t="s">
        <v>25</v>
      </c>
      <c r="W43" s="1727">
        <f t="shared" si="14"/>
        <v>100</v>
      </c>
      <c r="X43" s="2075"/>
      <c r="Y43" s="3463"/>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63"/>
      <c r="Q44" s="2916" t="str">
        <f t="shared" si="11"/>
        <v>内部装修维护情况</v>
      </c>
      <c r="R44" s="1726" t="s">
        <v>25</v>
      </c>
      <c r="S44" s="1727">
        <f t="shared" si="12"/>
        <v>100</v>
      </c>
      <c r="T44" s="1726" t="s">
        <v>25</v>
      </c>
      <c r="U44" s="1727">
        <f t="shared" si="13"/>
        <v>100</v>
      </c>
      <c r="V44" s="1726" t="s">
        <v>25</v>
      </c>
      <c r="W44" s="1727">
        <f t="shared" si="14"/>
        <v>100</v>
      </c>
      <c r="X44" s="2075"/>
      <c r="Y44" s="346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63"/>
      <c r="Q45" s="2915">
        <f t="shared" si="11"/>
        <v>111</v>
      </c>
      <c r="R45" s="1681" t="s">
        <v>25</v>
      </c>
      <c r="S45" s="1682">
        <f t="shared" si="12"/>
        <v>100</v>
      </c>
      <c r="T45" s="1681" t="s">
        <v>25</v>
      </c>
      <c r="U45" s="1682">
        <f t="shared" si="13"/>
        <v>100</v>
      </c>
      <c r="V45" s="1681" t="s">
        <v>25</v>
      </c>
      <c r="W45" s="1682">
        <f t="shared" si="14"/>
        <v>100</v>
      </c>
      <c r="X45" s="1683"/>
      <c r="Y45" s="346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63"/>
      <c r="Q46" s="2916">
        <f t="shared" si="11"/>
        <v>111</v>
      </c>
      <c r="R46" s="1726" t="s">
        <v>25</v>
      </c>
      <c r="S46" s="1727">
        <f t="shared" si="12"/>
        <v>100</v>
      </c>
      <c r="T46" s="1726" t="s">
        <v>25</v>
      </c>
      <c r="U46" s="1727">
        <f t="shared" si="13"/>
        <v>100</v>
      </c>
      <c r="V46" s="1726" t="s">
        <v>25</v>
      </c>
      <c r="W46" s="1727">
        <f t="shared" si="14"/>
        <v>100</v>
      </c>
      <c r="X46" s="2075"/>
      <c r="Y46" s="346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64"/>
      <c r="Q47" s="2916">
        <f t="shared" si="11"/>
        <v>111</v>
      </c>
      <c r="R47" s="1726" t="s">
        <v>25</v>
      </c>
      <c r="S47" s="1727">
        <f t="shared" si="12"/>
        <v>100</v>
      </c>
      <c r="T47" s="1726" t="s">
        <v>25</v>
      </c>
      <c r="U47" s="1727">
        <f t="shared" si="13"/>
        <v>100</v>
      </c>
      <c r="V47" s="1726" t="s">
        <v>25</v>
      </c>
      <c r="W47" s="1727">
        <f t="shared" si="14"/>
        <v>100</v>
      </c>
      <c r="X47" s="2075"/>
      <c r="Y47" s="3464"/>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469" t="str">
        <f>A48</f>
        <v>成交单价（元/平方米）</v>
      </c>
      <c r="Q48" s="3469"/>
      <c r="R48" s="3470">
        <f>E48</f>
        <v>0</v>
      </c>
      <c r="S48" s="3470"/>
      <c r="T48" s="3470">
        <f>G48</f>
        <v>0</v>
      </c>
      <c r="U48" s="3470"/>
      <c r="V48" s="3470">
        <f>I48</f>
        <v>0</v>
      </c>
      <c r="W48" s="3470"/>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469" t="str">
        <f>A49</f>
        <v>比较价值（元/平方米）</v>
      </c>
      <c r="Q49" s="3469"/>
      <c r="R49" s="3470" t="e">
        <f>IF(E1="售价",ROUND(PRODUCT(R48,AA7:AA47),0),ROUND(PRODUCT(R48,AA7:AA47),1))</f>
        <v>#DIV/0!</v>
      </c>
      <c r="S49" s="3470"/>
      <c r="T49" s="3470" t="e">
        <f>IF(E1="售价",ROUND(PRODUCT(T48,AB7:AB47),0),ROUND(PRODUCT(T48,AB7:AB47),1))</f>
        <v>#DIV/0!</v>
      </c>
      <c r="U49" s="3470"/>
      <c r="V49" s="3470" t="e">
        <f>IF(E1="售价",ROUND(PRODUCT(V48,AC7:AC47),0),ROUND(PRODUCT(V48,AC7:AC47),1))</f>
        <v>#DIV/0!</v>
      </c>
      <c r="W49" s="3470"/>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475" t="str">
        <f>A50</f>
        <v>估价对象XX用房的比较价值（楼面单价，元/平方米）</v>
      </c>
      <c r="Q50" s="3476"/>
      <c r="R50" s="3477" t="e">
        <f>IF(E1="售价",ROUND(IF(D49="简单平均",AVERAGE(R49:V49),R49*F49+T49*H49+V49*J49),0),ROUND(IF(D49="简单平均",AVERAGE(R49:V49),R49*F49+T49*H49+V49*J49),1))</f>
        <v>#DIV/0!</v>
      </c>
      <c r="S50" s="3477"/>
      <c r="T50" s="3477"/>
      <c r="U50" s="3477"/>
      <c r="V50" s="3477"/>
      <c r="W50" s="3477"/>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2014-7</v>
      </c>
      <c r="D59" s="1826">
        <f>EDATE(C59,-1)</f>
        <v>41791</v>
      </c>
      <c r="E59" s="1826">
        <f t="shared" ref="E59:O59" si="16">EDATE(D59,-1)</f>
        <v>41760</v>
      </c>
      <c r="F59" s="1826">
        <f t="shared" si="16"/>
        <v>41730</v>
      </c>
      <c r="G59" s="1826">
        <f t="shared" si="16"/>
        <v>41699</v>
      </c>
      <c r="H59" s="1826">
        <f t="shared" si="16"/>
        <v>41671</v>
      </c>
      <c r="I59" s="1826">
        <f t="shared" si="16"/>
        <v>41640</v>
      </c>
      <c r="J59" s="1826">
        <f t="shared" si="16"/>
        <v>41609</v>
      </c>
      <c r="K59" s="1826">
        <f t="shared" si="16"/>
        <v>41579</v>
      </c>
      <c r="L59" s="1826">
        <f t="shared" si="16"/>
        <v>41548</v>
      </c>
      <c r="M59" s="1826">
        <f t="shared" si="16"/>
        <v>41518</v>
      </c>
      <c r="N59" s="1826">
        <f t="shared" si="16"/>
        <v>41487</v>
      </c>
      <c r="O59" s="1826">
        <f t="shared" si="16"/>
        <v>41456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118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4" t="s">
        <v>2247</v>
      </c>
      <c r="D4" s="3495"/>
      <c r="E4" s="3496" t="s">
        <v>2248</v>
      </c>
      <c r="F4" s="3497"/>
      <c r="G4" s="3494" t="s">
        <v>2249</v>
      </c>
      <c r="H4" s="3495"/>
      <c r="I4" s="3494" t="s">
        <v>2250</v>
      </c>
      <c r="J4" s="3495"/>
      <c r="K4" s="496" t="s">
        <v>2251</v>
      </c>
      <c r="L4" s="3025"/>
      <c r="M4" s="3026"/>
      <c r="N4" s="3026"/>
      <c r="O4" s="3026"/>
      <c r="P4" s="3498" t="s">
        <v>2252</v>
      </c>
      <c r="Q4" s="3499"/>
      <c r="R4" s="3504" t="s">
        <v>2248</v>
      </c>
      <c r="S4" s="3505"/>
      <c r="T4" s="3504" t="s">
        <v>2249</v>
      </c>
      <c r="U4" s="3505"/>
      <c r="V4" s="3510" t="s">
        <v>2250</v>
      </c>
      <c r="W4" s="3510"/>
      <c r="X4" s="1335"/>
      <c r="Y4" s="3504" t="s">
        <v>2252</v>
      </c>
      <c r="Z4" s="3505"/>
      <c r="AA4" s="3491" t="s">
        <v>2248</v>
      </c>
      <c r="AB4" s="3492" t="s">
        <v>2249</v>
      </c>
      <c r="AC4" s="3491" t="s">
        <v>2250</v>
      </c>
    </row>
    <row r="5" spans="1:29" ht="15">
      <c r="A5" s="297"/>
      <c r="B5" s="298"/>
      <c r="C5" s="3487" t="s">
        <v>2253</v>
      </c>
      <c r="D5" s="3488"/>
      <c r="E5" s="3511" t="s">
        <v>2254</v>
      </c>
      <c r="F5" s="3512"/>
      <c r="G5" s="3487" t="s">
        <v>2255</v>
      </c>
      <c r="H5" s="3488"/>
      <c r="I5" s="3487" t="s">
        <v>2256</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2257</v>
      </c>
      <c r="D6" s="3485"/>
      <c r="E6" s="3482" t="s">
        <v>2257</v>
      </c>
      <c r="F6" s="3483"/>
      <c r="G6" s="3484" t="s">
        <v>2257</v>
      </c>
      <c r="H6" s="3485"/>
      <c r="I6" s="3484" t="s">
        <v>2257</v>
      </c>
      <c r="J6" s="3485"/>
      <c r="K6" s="496" t="s">
        <v>2258</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2259</v>
      </c>
      <c r="B7" s="302"/>
      <c r="C7" s="303">
        <f>'数据-取费表'!B2</f>
        <v>41829</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9" t="s">
        <v>2260</v>
      </c>
      <c r="Q7" s="3513"/>
      <c r="R7" s="627" t="s">
        <v>25</v>
      </c>
      <c r="S7" s="628">
        <f t="shared" ref="S7:S15" si="0">F7</f>
        <v>0</v>
      </c>
      <c r="T7" s="627" t="s">
        <v>25</v>
      </c>
      <c r="U7" s="628">
        <f t="shared" ref="U7:U15" si="1">H7</f>
        <v>0</v>
      </c>
      <c r="V7" s="627" t="s">
        <v>25</v>
      </c>
      <c r="W7" s="628">
        <f t="shared" ref="W7:W15" si="2">J7</f>
        <v>0</v>
      </c>
      <c r="X7" s="629"/>
      <c r="Y7" s="3489" t="s">
        <v>2260</v>
      </c>
      <c r="Z7" s="3490"/>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9" t="s">
        <v>2263</v>
      </c>
      <c r="Q8" s="3490"/>
      <c r="R8" s="627" t="s">
        <v>25</v>
      </c>
      <c r="S8" s="628">
        <f t="shared" si="0"/>
        <v>0</v>
      </c>
      <c r="T8" s="627" t="s">
        <v>25</v>
      </c>
      <c r="U8" s="628">
        <f t="shared" si="1"/>
        <v>0</v>
      </c>
      <c r="V8" s="627" t="s">
        <v>25</v>
      </c>
      <c r="W8" s="628">
        <f t="shared" si="2"/>
        <v>0</v>
      </c>
      <c r="X8" s="629"/>
      <c r="Y8" s="3489" t="s">
        <v>2263</v>
      </c>
      <c r="Z8" s="3490"/>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6" t="s">
        <v>2266</v>
      </c>
      <c r="Q9" s="1327" t="str">
        <f t="shared" ref="Q9:Q15" si="6">B9</f>
        <v>用途</v>
      </c>
      <c r="R9" s="627" t="s">
        <v>25</v>
      </c>
      <c r="S9" s="628">
        <f t="shared" si="0"/>
        <v>100</v>
      </c>
      <c r="T9" s="627" t="s">
        <v>25</v>
      </c>
      <c r="U9" s="628">
        <f t="shared" si="1"/>
        <v>100</v>
      </c>
      <c r="V9" s="627" t="s">
        <v>25</v>
      </c>
      <c r="W9" s="628">
        <f t="shared" si="2"/>
        <v>100</v>
      </c>
      <c r="X9" s="629"/>
      <c r="Y9" s="3516"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14" t="s">
        <v>2271</v>
      </c>
      <c r="Q15" s="1334" t="str">
        <f t="shared" si="6"/>
        <v>产业集聚程度</v>
      </c>
      <c r="R15" s="631" t="s">
        <v>25</v>
      </c>
      <c r="S15" s="632">
        <f t="shared" si="0"/>
        <v>100</v>
      </c>
      <c r="T15" s="631" t="s">
        <v>25</v>
      </c>
      <c r="U15" s="632">
        <f t="shared" si="1"/>
        <v>100</v>
      </c>
      <c r="V15" s="631" t="s">
        <v>25</v>
      </c>
      <c r="W15" s="632">
        <f t="shared" si="2"/>
        <v>100</v>
      </c>
      <c r="X15" s="1335"/>
      <c r="Y15" s="3514"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15"/>
      <c r="Q16" s="1334"/>
      <c r="R16" s="631"/>
      <c r="S16" s="632"/>
      <c r="T16" s="631"/>
      <c r="U16" s="632"/>
      <c r="V16" s="631"/>
      <c r="W16" s="632"/>
      <c r="X16" s="1335"/>
      <c r="Y16" s="3515"/>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15"/>
      <c r="Q18" s="1334"/>
      <c r="R18" s="631"/>
      <c r="S18" s="632"/>
      <c r="T18" s="631"/>
      <c r="U18" s="632"/>
      <c r="V18" s="631"/>
      <c r="W18" s="632"/>
      <c r="X18" s="1335"/>
      <c r="Y18" s="3515"/>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15"/>
      <c r="Q19" s="1334" t="str">
        <f>B19</f>
        <v>公共配套设施</v>
      </c>
      <c r="R19" s="631" t="s">
        <v>25</v>
      </c>
      <c r="S19" s="632">
        <f>F19</f>
        <v>100</v>
      </c>
      <c r="T19" s="631" t="s">
        <v>25</v>
      </c>
      <c r="U19" s="632">
        <f>H19</f>
        <v>100</v>
      </c>
      <c r="V19" s="631" t="s">
        <v>25</v>
      </c>
      <c r="W19" s="632">
        <f>J19</f>
        <v>100</v>
      </c>
      <c r="X19" s="1335"/>
      <c r="Y19" s="351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15"/>
      <c r="Q20" s="1334"/>
      <c r="R20" s="631"/>
      <c r="S20" s="632"/>
      <c r="T20" s="631"/>
      <c r="U20" s="632"/>
      <c r="V20" s="631"/>
      <c r="W20" s="632"/>
      <c r="X20" s="1335"/>
      <c r="Y20" s="3515"/>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15"/>
      <c r="Q21" s="1334" t="str">
        <f>B21</f>
        <v>基础设施水平</v>
      </c>
      <c r="R21" s="631" t="s">
        <v>25</v>
      </c>
      <c r="S21" s="632">
        <f>F21</f>
        <v>100</v>
      </c>
      <c r="T21" s="631" t="s">
        <v>25</v>
      </c>
      <c r="U21" s="632">
        <f>H21</f>
        <v>100</v>
      </c>
      <c r="V21" s="631" t="s">
        <v>25</v>
      </c>
      <c r="W21" s="632">
        <f>J21</f>
        <v>100</v>
      </c>
      <c r="X21" s="1335"/>
      <c r="Y21" s="351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15"/>
      <c r="Q22" s="1334"/>
      <c r="R22" s="631"/>
      <c r="S22" s="632"/>
      <c r="T22" s="631"/>
      <c r="U22" s="632"/>
      <c r="V22" s="631"/>
      <c r="W22" s="632"/>
      <c r="X22" s="1335"/>
      <c r="Y22" s="3515"/>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15"/>
      <c r="Q23" s="1334" t="str">
        <f>B23</f>
        <v>环境质量</v>
      </c>
      <c r="R23" s="631" t="s">
        <v>25</v>
      </c>
      <c r="S23" s="632">
        <f>F23</f>
        <v>100</v>
      </c>
      <c r="T23" s="631" t="s">
        <v>25</v>
      </c>
      <c r="U23" s="632">
        <f>H23</f>
        <v>100</v>
      </c>
      <c r="V23" s="631" t="s">
        <v>25</v>
      </c>
      <c r="W23" s="632">
        <f>J23</f>
        <v>100</v>
      </c>
      <c r="X23" s="1335"/>
      <c r="Y23" s="351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15"/>
      <c r="Q24" s="1334"/>
      <c r="R24" s="631"/>
      <c r="S24" s="632"/>
      <c r="T24" s="631"/>
      <c r="U24" s="632"/>
      <c r="V24" s="631"/>
      <c r="W24" s="632"/>
      <c r="X24" s="1335"/>
      <c r="Y24" s="351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15"/>
      <c r="Q25" s="1334">
        <f>B25</f>
        <v>111</v>
      </c>
      <c r="R25" s="631" t="s">
        <v>25</v>
      </c>
      <c r="S25" s="632">
        <f>F25</f>
        <v>100</v>
      </c>
      <c r="T25" s="631" t="s">
        <v>25</v>
      </c>
      <c r="U25" s="632">
        <f>H25</f>
        <v>100</v>
      </c>
      <c r="V25" s="631" t="s">
        <v>25</v>
      </c>
      <c r="W25" s="632">
        <f>J25</f>
        <v>100</v>
      </c>
      <c r="X25" s="1335"/>
      <c r="Y25" s="351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15"/>
      <c r="Q26" s="1334">
        <f t="shared" ref="Q26:Q40" si="11">B26</f>
        <v>111</v>
      </c>
      <c r="R26" s="631" t="s">
        <v>25</v>
      </c>
      <c r="S26" s="632">
        <f>F26</f>
        <v>100</v>
      </c>
      <c r="T26" s="631" t="s">
        <v>25</v>
      </c>
      <c r="U26" s="632">
        <f>H26</f>
        <v>100</v>
      </c>
      <c r="V26" s="631" t="s">
        <v>25</v>
      </c>
      <c r="W26" s="632">
        <f>J26</f>
        <v>100</v>
      </c>
      <c r="X26" s="1335"/>
      <c r="Y26" s="351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15"/>
      <c r="Q27" s="1327">
        <f t="shared" si="11"/>
        <v>111</v>
      </c>
      <c r="R27" s="627" t="s">
        <v>25</v>
      </c>
      <c r="S27" s="628">
        <f>F27</f>
        <v>100</v>
      </c>
      <c r="T27" s="627" t="s">
        <v>25</v>
      </c>
      <c r="U27" s="628">
        <f>H27</f>
        <v>100</v>
      </c>
      <c r="V27" s="627" t="s">
        <v>25</v>
      </c>
      <c r="W27" s="628">
        <f>J27</f>
        <v>100</v>
      </c>
      <c r="X27" s="629"/>
      <c r="Y27" s="351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15"/>
      <c r="Q28" s="1334">
        <f t="shared" si="11"/>
        <v>111</v>
      </c>
      <c r="R28" s="631" t="s">
        <v>25</v>
      </c>
      <c r="S28" s="632">
        <f t="shared" ref="S28:S40" si="12">F28</f>
        <v>100</v>
      </c>
      <c r="T28" s="631" t="s">
        <v>25</v>
      </c>
      <c r="U28" s="632">
        <f t="shared" ref="U28:U40" si="13">H28</f>
        <v>100</v>
      </c>
      <c r="V28" s="631" t="s">
        <v>25</v>
      </c>
      <c r="W28" s="632">
        <f t="shared" ref="W28:W40" si="14">J28</f>
        <v>100</v>
      </c>
      <c r="X28" s="1335"/>
      <c r="Y28" s="3515"/>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17" t="s">
        <v>2275</v>
      </c>
      <c r="Q29" s="1334" t="str">
        <f t="shared" si="11"/>
        <v>建筑类型</v>
      </c>
      <c r="R29" s="631" t="s">
        <v>25</v>
      </c>
      <c r="S29" s="632">
        <f t="shared" si="12"/>
        <v>100</v>
      </c>
      <c r="T29" s="631" t="s">
        <v>25</v>
      </c>
      <c r="U29" s="632">
        <f t="shared" si="13"/>
        <v>100</v>
      </c>
      <c r="V29" s="631" t="s">
        <v>25</v>
      </c>
      <c r="W29" s="632">
        <f t="shared" si="14"/>
        <v>100</v>
      </c>
      <c r="X29" s="1335"/>
      <c r="Y29" s="3518"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8"/>
      <c r="Q30" s="633" t="str">
        <f t="shared" si="11"/>
        <v>项目建筑规模</v>
      </c>
      <c r="R30" s="634" t="s">
        <v>25</v>
      </c>
      <c r="S30" s="635" t="e">
        <f t="shared" si="12"/>
        <v>#N/A</v>
      </c>
      <c r="T30" s="634" t="s">
        <v>25</v>
      </c>
      <c r="U30" s="635" t="e">
        <f t="shared" si="13"/>
        <v>#N/A</v>
      </c>
      <c r="V30" s="634" t="s">
        <v>25</v>
      </c>
      <c r="W30" s="635" t="e">
        <f t="shared" si="14"/>
        <v>#N/A</v>
      </c>
      <c r="X30" s="636"/>
      <c r="Y30" s="3518"/>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8"/>
      <c r="Q31" s="1334" t="str">
        <f t="shared" si="11"/>
        <v>建筑结构</v>
      </c>
      <c r="R31" s="631" t="s">
        <v>25</v>
      </c>
      <c r="S31" s="632">
        <f t="shared" si="12"/>
        <v>100</v>
      </c>
      <c r="T31" s="631" t="s">
        <v>25</v>
      </c>
      <c r="U31" s="632">
        <f t="shared" si="13"/>
        <v>100</v>
      </c>
      <c r="V31" s="631" t="s">
        <v>25</v>
      </c>
      <c r="W31" s="632">
        <f t="shared" si="14"/>
        <v>100</v>
      </c>
      <c r="X31" s="1335"/>
      <c r="Y31" s="3518"/>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8"/>
      <c r="Q32" s="1334" t="str">
        <f t="shared" si="11"/>
        <v>公共部分装修</v>
      </c>
      <c r="R32" s="631" t="s">
        <v>25</v>
      </c>
      <c r="S32" s="632">
        <f t="shared" si="12"/>
        <v>100</v>
      </c>
      <c r="T32" s="631" t="s">
        <v>25</v>
      </c>
      <c r="U32" s="632">
        <f t="shared" si="13"/>
        <v>100</v>
      </c>
      <c r="V32" s="631" t="s">
        <v>25</v>
      </c>
      <c r="W32" s="632">
        <f t="shared" si="14"/>
        <v>100</v>
      </c>
      <c r="X32" s="1335"/>
      <c r="Y32" s="3518"/>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8"/>
      <c r="Q33" s="1334" t="str">
        <f t="shared" si="11"/>
        <v>成新度</v>
      </c>
      <c r="R33" s="631" t="s">
        <v>25</v>
      </c>
      <c r="S33" s="632" t="e">
        <f t="shared" si="12"/>
        <v>#N/A</v>
      </c>
      <c r="T33" s="631" t="s">
        <v>25</v>
      </c>
      <c r="U33" s="632" t="e">
        <f t="shared" si="13"/>
        <v>#N/A</v>
      </c>
      <c r="V33" s="631" t="s">
        <v>25</v>
      </c>
      <c r="W33" s="632" t="e">
        <f t="shared" si="14"/>
        <v>#N/A</v>
      </c>
      <c r="X33" s="1335"/>
      <c r="Y33" s="3518"/>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8"/>
      <c r="Q34" s="1327" t="str">
        <f t="shared" si="11"/>
        <v>物业管理</v>
      </c>
      <c r="R34" s="627" t="s">
        <v>25</v>
      </c>
      <c r="S34" s="628">
        <f t="shared" si="12"/>
        <v>100</v>
      </c>
      <c r="T34" s="627" t="s">
        <v>25</v>
      </c>
      <c r="U34" s="628">
        <f t="shared" si="13"/>
        <v>100</v>
      </c>
      <c r="V34" s="627" t="s">
        <v>25</v>
      </c>
      <c r="W34" s="628">
        <f t="shared" si="14"/>
        <v>100</v>
      </c>
      <c r="X34" s="629"/>
      <c r="Y34" s="3518"/>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8" t="s">
        <v>2275</v>
      </c>
      <c r="Q35" s="1334" t="str">
        <f t="shared" si="11"/>
        <v>市政基础设施</v>
      </c>
      <c r="R35" s="631" t="s">
        <v>25</v>
      </c>
      <c r="S35" s="632">
        <f t="shared" si="12"/>
        <v>100</v>
      </c>
      <c r="T35" s="631" t="s">
        <v>25</v>
      </c>
      <c r="U35" s="632">
        <f t="shared" si="13"/>
        <v>100</v>
      </c>
      <c r="V35" s="631" t="s">
        <v>25</v>
      </c>
      <c r="W35" s="632">
        <f t="shared" si="14"/>
        <v>100</v>
      </c>
      <c r="X35" s="1335"/>
      <c r="Y35" s="3518"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8"/>
      <c r="Q36" s="1334" t="str">
        <f t="shared" si="11"/>
        <v>内部装修</v>
      </c>
      <c r="R36" s="631" t="s">
        <v>25</v>
      </c>
      <c r="S36" s="632">
        <f t="shared" si="12"/>
        <v>100</v>
      </c>
      <c r="T36" s="631" t="s">
        <v>25</v>
      </c>
      <c r="U36" s="632">
        <f t="shared" si="13"/>
        <v>100</v>
      </c>
      <c r="V36" s="631" t="s">
        <v>25</v>
      </c>
      <c r="W36" s="632">
        <f t="shared" si="14"/>
        <v>100</v>
      </c>
      <c r="X36" s="1335"/>
      <c r="Y36" s="3518"/>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8"/>
      <c r="Q37" s="1334" t="str">
        <f t="shared" si="11"/>
        <v>内部装修状况</v>
      </c>
      <c r="R37" s="631" t="s">
        <v>25</v>
      </c>
      <c r="S37" s="632">
        <f t="shared" si="12"/>
        <v>100</v>
      </c>
      <c r="T37" s="631" t="s">
        <v>25</v>
      </c>
      <c r="U37" s="632">
        <f t="shared" si="13"/>
        <v>100</v>
      </c>
      <c r="V37" s="631" t="s">
        <v>25</v>
      </c>
      <c r="W37" s="632">
        <f t="shared" si="14"/>
        <v>100</v>
      </c>
      <c r="X37" s="1335"/>
      <c r="Y37" s="351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8"/>
      <c r="Q38" s="633">
        <f t="shared" si="11"/>
        <v>111</v>
      </c>
      <c r="R38" s="634" t="s">
        <v>25</v>
      </c>
      <c r="S38" s="635">
        <f t="shared" si="12"/>
        <v>100</v>
      </c>
      <c r="T38" s="634" t="s">
        <v>25</v>
      </c>
      <c r="U38" s="635">
        <f t="shared" si="13"/>
        <v>100</v>
      </c>
      <c r="V38" s="634" t="s">
        <v>25</v>
      </c>
      <c r="W38" s="635">
        <f t="shared" si="14"/>
        <v>100</v>
      </c>
      <c r="X38" s="636"/>
      <c r="Y38" s="351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8"/>
      <c r="Q39" s="1334">
        <f t="shared" si="11"/>
        <v>111</v>
      </c>
      <c r="R39" s="631" t="s">
        <v>25</v>
      </c>
      <c r="S39" s="632">
        <f t="shared" si="12"/>
        <v>100</v>
      </c>
      <c r="T39" s="631" t="s">
        <v>25</v>
      </c>
      <c r="U39" s="632">
        <f t="shared" si="13"/>
        <v>100</v>
      </c>
      <c r="V39" s="631" t="s">
        <v>25</v>
      </c>
      <c r="W39" s="632">
        <f t="shared" si="14"/>
        <v>100</v>
      </c>
      <c r="X39" s="1335"/>
      <c r="Y39" s="351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9"/>
      <c r="Q40" s="1334">
        <f t="shared" si="11"/>
        <v>111</v>
      </c>
      <c r="R40" s="631" t="s">
        <v>25</v>
      </c>
      <c r="S40" s="632">
        <f t="shared" si="12"/>
        <v>100</v>
      </c>
      <c r="T40" s="631" t="s">
        <v>25</v>
      </c>
      <c r="U40" s="632">
        <f t="shared" si="13"/>
        <v>100</v>
      </c>
      <c r="V40" s="631" t="s">
        <v>25</v>
      </c>
      <c r="W40" s="632">
        <f t="shared" si="14"/>
        <v>100</v>
      </c>
      <c r="X40" s="1335"/>
      <c r="Y40" s="3519"/>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486" t="str">
        <f>A41</f>
        <v>成交单价（元/平方米）</v>
      </c>
      <c r="Q41" s="3486"/>
      <c r="R41" s="3520">
        <f>E41</f>
        <v>0</v>
      </c>
      <c r="S41" s="3520"/>
      <c r="T41" s="3520">
        <f>G41</f>
        <v>0</v>
      </c>
      <c r="U41" s="3520"/>
      <c r="V41" s="3520">
        <f>I41</f>
        <v>0</v>
      </c>
      <c r="W41" s="3520"/>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486" t="str">
        <f>A42</f>
        <v>比较价值（元/平方米）</v>
      </c>
      <c r="Q42" s="3486"/>
      <c r="R42" s="3520" t="e">
        <f>IF(E1="售价",ROUND(PRODUCT(R41,AA7:AA40),0),ROUND(PRODUCT(R41,AA7:AA40),1))</f>
        <v>#DIV/0!</v>
      </c>
      <c r="S42" s="3520"/>
      <c r="T42" s="3520" t="e">
        <f>IF(E1="售价",ROUND(PRODUCT(T41,AB7:AB40),0),ROUND(PRODUCT(T41,AB7:AB40),1))</f>
        <v>#DIV/0!</v>
      </c>
      <c r="U42" s="3520"/>
      <c r="V42" s="3520" t="e">
        <f>IF(E1="售价",ROUND(PRODUCT(V41,AC7:AC40),0),ROUND(PRODUCT(V41,AC7:AC40),1))</f>
        <v>#DIV/0!</v>
      </c>
      <c r="W42" s="3520"/>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21" t="str">
        <f>A43</f>
        <v>估价对象XX用房的比较价值（楼面单价，元/平方米）</v>
      </c>
      <c r="Q43" s="3522"/>
      <c r="R43" s="3523" t="e">
        <f>IF(E1="售价",ROUND(IF(D42="简单平均",AVERAGE(R42:V42),R42*F42+T42*H42+V42*J42),0),ROUND(IF(D42="简单平均",AVERAGE(R42:V42),R42*F42+T42*H42+V42*J42),1))</f>
        <v>#DIV/0!</v>
      </c>
      <c r="S43" s="3523"/>
      <c r="T43" s="3523"/>
      <c r="U43" s="3523"/>
      <c r="V43" s="3523"/>
      <c r="W43" s="3523"/>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2014-7</v>
      </c>
      <c r="D52" s="1188">
        <f>EDATE(C52,-1)</f>
        <v>41791</v>
      </c>
      <c r="E52" s="1189">
        <f t="shared" ref="E52:O52" si="16">EDATE(D52,-1)</f>
        <v>41760</v>
      </c>
      <c r="F52" s="1189">
        <f t="shared" si="16"/>
        <v>41730</v>
      </c>
      <c r="G52" s="1189">
        <f t="shared" si="16"/>
        <v>41699</v>
      </c>
      <c r="H52" s="1189">
        <f t="shared" si="16"/>
        <v>41671</v>
      </c>
      <c r="I52" s="1189">
        <f t="shared" si="16"/>
        <v>41640</v>
      </c>
      <c r="J52" s="1189">
        <f t="shared" si="16"/>
        <v>41609</v>
      </c>
      <c r="K52" s="1189">
        <f t="shared" si="16"/>
        <v>41579</v>
      </c>
      <c r="L52" s="1189">
        <f t="shared" si="16"/>
        <v>41548</v>
      </c>
      <c r="M52" s="1189">
        <f t="shared" si="16"/>
        <v>41518</v>
      </c>
      <c r="N52" s="1189">
        <f t="shared" si="16"/>
        <v>41487</v>
      </c>
      <c r="O52" s="1189">
        <f t="shared" si="16"/>
        <v>41456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118</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4" t="s">
        <v>2247</v>
      </c>
      <c r="D4" s="3495"/>
      <c r="E4" s="3496" t="s">
        <v>2248</v>
      </c>
      <c r="F4" s="3497"/>
      <c r="G4" s="3494" t="s">
        <v>2249</v>
      </c>
      <c r="H4" s="3495"/>
      <c r="I4" s="3494" t="s">
        <v>2250</v>
      </c>
      <c r="J4" s="3495"/>
      <c r="K4" s="496" t="s">
        <v>2251</v>
      </c>
      <c r="L4" s="3025"/>
      <c r="M4" s="3026"/>
      <c r="N4" s="3026"/>
      <c r="O4" s="3026"/>
      <c r="P4" s="3498" t="s">
        <v>2252</v>
      </c>
      <c r="Q4" s="3499"/>
      <c r="R4" s="3504" t="s">
        <v>2248</v>
      </c>
      <c r="S4" s="3505"/>
      <c r="T4" s="3504" t="s">
        <v>2249</v>
      </c>
      <c r="U4" s="3505"/>
      <c r="V4" s="3510" t="s">
        <v>2250</v>
      </c>
      <c r="W4" s="3510"/>
      <c r="X4" s="1335"/>
      <c r="Y4" s="3504" t="s">
        <v>2252</v>
      </c>
      <c r="Z4" s="3505"/>
      <c r="AA4" s="3491" t="s">
        <v>2248</v>
      </c>
      <c r="AB4" s="3492" t="s">
        <v>2249</v>
      </c>
      <c r="AC4" s="3491" t="s">
        <v>2250</v>
      </c>
    </row>
    <row r="5" spans="1:29" ht="15">
      <c r="A5" s="297"/>
      <c r="B5" s="298"/>
      <c r="C5" s="3487" t="s">
        <v>2253</v>
      </c>
      <c r="D5" s="3488"/>
      <c r="E5" s="3511" t="s">
        <v>2254</v>
      </c>
      <c r="F5" s="3512"/>
      <c r="G5" s="3487" t="s">
        <v>2255</v>
      </c>
      <c r="H5" s="3488"/>
      <c r="I5" s="3487" t="s">
        <v>2256</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2257</v>
      </c>
      <c r="D6" s="3485"/>
      <c r="E6" s="3482" t="s">
        <v>2257</v>
      </c>
      <c r="F6" s="3483"/>
      <c r="G6" s="3484" t="s">
        <v>2257</v>
      </c>
      <c r="H6" s="3485"/>
      <c r="I6" s="3484" t="s">
        <v>2257</v>
      </c>
      <c r="J6" s="3485"/>
      <c r="K6" s="496" t="s">
        <v>2258</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2259</v>
      </c>
      <c r="B7" s="302"/>
      <c r="C7" s="303">
        <f>'数据-取费表'!B2</f>
        <v>41829</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9" t="s">
        <v>2260</v>
      </c>
      <c r="Q7" s="3513"/>
      <c r="R7" s="627" t="s">
        <v>25</v>
      </c>
      <c r="S7" s="628">
        <f t="shared" ref="S7:S14" si="0">F7</f>
        <v>0</v>
      </c>
      <c r="T7" s="627" t="s">
        <v>25</v>
      </c>
      <c r="U7" s="628">
        <f t="shared" ref="U7:U14" si="1">H7</f>
        <v>0</v>
      </c>
      <c r="V7" s="627" t="s">
        <v>25</v>
      </c>
      <c r="W7" s="628">
        <f t="shared" ref="W7:W14" si="2">J7</f>
        <v>0</v>
      </c>
      <c r="X7" s="629"/>
      <c r="Y7" s="3489" t="s">
        <v>2260</v>
      </c>
      <c r="Z7" s="3490"/>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9" t="s">
        <v>2263</v>
      </c>
      <c r="Q8" s="3490"/>
      <c r="R8" s="627" t="s">
        <v>25</v>
      </c>
      <c r="S8" s="628">
        <f t="shared" si="0"/>
        <v>0</v>
      </c>
      <c r="T8" s="627" t="s">
        <v>25</v>
      </c>
      <c r="U8" s="628">
        <f t="shared" si="1"/>
        <v>0</v>
      </c>
      <c r="V8" s="627" t="s">
        <v>25</v>
      </c>
      <c r="W8" s="628">
        <f t="shared" si="2"/>
        <v>0</v>
      </c>
      <c r="X8" s="629"/>
      <c r="Y8" s="3489" t="s">
        <v>2263</v>
      </c>
      <c r="Z8" s="3490"/>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6" t="s">
        <v>2266</v>
      </c>
      <c r="Q9" s="1327" t="str">
        <f t="shared" ref="Q9:Q14" si="6">B9</f>
        <v>用途</v>
      </c>
      <c r="R9" s="627" t="s">
        <v>25</v>
      </c>
      <c r="S9" s="628">
        <f t="shared" si="0"/>
        <v>100</v>
      </c>
      <c r="T9" s="627" t="s">
        <v>25</v>
      </c>
      <c r="U9" s="628">
        <f t="shared" si="1"/>
        <v>100</v>
      </c>
      <c r="V9" s="627" t="s">
        <v>25</v>
      </c>
      <c r="W9" s="628">
        <f t="shared" si="2"/>
        <v>100</v>
      </c>
      <c r="X9" s="629"/>
      <c r="Y9" s="3516"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14" t="s">
        <v>2271</v>
      </c>
      <c r="Q14" s="1334" t="str">
        <f t="shared" si="6"/>
        <v>交通便捷度</v>
      </c>
      <c r="R14" s="631" t="s">
        <v>25</v>
      </c>
      <c r="S14" s="632">
        <f t="shared" si="0"/>
        <v>100</v>
      </c>
      <c r="T14" s="631" t="s">
        <v>25</v>
      </c>
      <c r="U14" s="632">
        <f t="shared" si="1"/>
        <v>100</v>
      </c>
      <c r="V14" s="631" t="s">
        <v>25</v>
      </c>
      <c r="W14" s="632">
        <f t="shared" si="2"/>
        <v>100</v>
      </c>
      <c r="X14" s="1335"/>
      <c r="Y14" s="3514"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15"/>
      <c r="Q15" s="1334"/>
      <c r="R15" s="631"/>
      <c r="S15" s="632"/>
      <c r="T15" s="631"/>
      <c r="U15" s="632"/>
      <c r="V15" s="631"/>
      <c r="W15" s="632"/>
      <c r="X15" s="1335"/>
      <c r="Y15" s="3515"/>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15"/>
      <c r="Q17" s="1334"/>
      <c r="R17" s="631"/>
      <c r="S17" s="632"/>
      <c r="T17" s="631"/>
      <c r="U17" s="632"/>
      <c r="V17" s="631"/>
      <c r="W17" s="632"/>
      <c r="X17" s="1335"/>
      <c r="Y17" s="3515"/>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15"/>
      <c r="Q19" s="1334"/>
      <c r="R19" s="631"/>
      <c r="S19" s="632"/>
      <c r="T19" s="631"/>
      <c r="U19" s="632"/>
      <c r="V19" s="631"/>
      <c r="W19" s="632"/>
      <c r="X19" s="1335"/>
      <c r="Y19" s="3515"/>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15"/>
      <c r="Q21" s="1334"/>
      <c r="R21" s="631"/>
      <c r="S21" s="632"/>
      <c r="T21" s="631"/>
      <c r="U21" s="632"/>
      <c r="V21" s="631"/>
      <c r="W21" s="632"/>
      <c r="X21" s="1335"/>
      <c r="Y21" s="3515"/>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15"/>
      <c r="Q24" s="1334">
        <f t="shared" ref="Q24:Q36"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17"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8"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8"/>
      <c r="Q27" s="633" t="str">
        <f t="shared" si="11"/>
        <v>项目停车位配比</v>
      </c>
      <c r="R27" s="634" t="s">
        <v>25</v>
      </c>
      <c r="S27" s="635">
        <f t="shared" si="12"/>
        <v>100</v>
      </c>
      <c r="T27" s="634" t="s">
        <v>25</v>
      </c>
      <c r="U27" s="635">
        <f t="shared" si="13"/>
        <v>100</v>
      </c>
      <c r="V27" s="634" t="s">
        <v>25</v>
      </c>
      <c r="W27" s="635">
        <f t="shared" si="14"/>
        <v>100</v>
      </c>
      <c r="X27" s="636"/>
      <c r="Y27" s="3518"/>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8"/>
      <c r="Q28" s="1334" t="str">
        <f t="shared" si="11"/>
        <v>公共部分装修</v>
      </c>
      <c r="R28" s="631" t="s">
        <v>25</v>
      </c>
      <c r="S28" s="632">
        <f t="shared" si="12"/>
        <v>100</v>
      </c>
      <c r="T28" s="631" t="s">
        <v>25</v>
      </c>
      <c r="U28" s="632">
        <f t="shared" si="13"/>
        <v>100</v>
      </c>
      <c r="V28" s="631" t="s">
        <v>25</v>
      </c>
      <c r="W28" s="632">
        <f t="shared" si="14"/>
        <v>100</v>
      </c>
      <c r="X28" s="1335"/>
      <c r="Y28" s="3518"/>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8"/>
      <c r="Q29" s="1334" t="str">
        <f t="shared" si="11"/>
        <v>成新率</v>
      </c>
      <c r="R29" s="631" t="s">
        <v>25</v>
      </c>
      <c r="S29" s="632" t="e">
        <f t="shared" si="12"/>
        <v>#N/A</v>
      </c>
      <c r="T29" s="631" t="s">
        <v>25</v>
      </c>
      <c r="U29" s="632" t="e">
        <f t="shared" si="13"/>
        <v>#N/A</v>
      </c>
      <c r="V29" s="631" t="s">
        <v>25</v>
      </c>
      <c r="W29" s="632" t="e">
        <f t="shared" si="14"/>
        <v>#N/A</v>
      </c>
      <c r="X29" s="1335"/>
      <c r="Y29" s="3518"/>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8"/>
      <c r="Q30" s="1334" t="str">
        <f t="shared" si="11"/>
        <v>物业等级</v>
      </c>
      <c r="R30" s="631" t="s">
        <v>25</v>
      </c>
      <c r="S30" s="632">
        <f t="shared" si="12"/>
        <v>100</v>
      </c>
      <c r="T30" s="631" t="s">
        <v>25</v>
      </c>
      <c r="U30" s="632">
        <f t="shared" si="13"/>
        <v>100</v>
      </c>
      <c r="V30" s="631" t="s">
        <v>25</v>
      </c>
      <c r="W30" s="632">
        <f t="shared" si="14"/>
        <v>100</v>
      </c>
      <c r="X30" s="1335"/>
      <c r="Y30" s="3518"/>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8"/>
      <c r="Q31" s="1327" t="str">
        <f t="shared" si="11"/>
        <v>停车位面积</v>
      </c>
      <c r="R31" s="627" t="s">
        <v>25</v>
      </c>
      <c r="S31" s="628" t="e">
        <f t="shared" si="12"/>
        <v>#N/A</v>
      </c>
      <c r="T31" s="627" t="s">
        <v>25</v>
      </c>
      <c r="U31" s="628" t="e">
        <f t="shared" si="13"/>
        <v>#N/A</v>
      </c>
      <c r="V31" s="627" t="s">
        <v>25</v>
      </c>
      <c r="W31" s="628" t="e">
        <f t="shared" si="14"/>
        <v>#N/A</v>
      </c>
      <c r="X31" s="629"/>
      <c r="Y31" s="3518"/>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8" t="s">
        <v>2275</v>
      </c>
      <c r="Q32" s="1334" t="str">
        <f t="shared" si="11"/>
        <v>车位类型</v>
      </c>
      <c r="R32" s="631" t="s">
        <v>25</v>
      </c>
      <c r="S32" s="632">
        <f t="shared" si="12"/>
        <v>100</v>
      </c>
      <c r="T32" s="631" t="s">
        <v>25</v>
      </c>
      <c r="U32" s="632">
        <f t="shared" si="13"/>
        <v>100</v>
      </c>
      <c r="V32" s="631" t="s">
        <v>25</v>
      </c>
      <c r="W32" s="632">
        <f t="shared" si="14"/>
        <v>100</v>
      </c>
      <c r="X32" s="1335"/>
      <c r="Y32" s="3518"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8"/>
      <c r="Q33" s="1334" t="str">
        <f t="shared" si="11"/>
        <v>是否直接入户</v>
      </c>
      <c r="R33" s="631" t="s">
        <v>25</v>
      </c>
      <c r="S33" s="632">
        <f t="shared" si="12"/>
        <v>100</v>
      </c>
      <c r="T33" s="631" t="s">
        <v>25</v>
      </c>
      <c r="U33" s="632">
        <f t="shared" si="13"/>
        <v>100</v>
      </c>
      <c r="V33" s="631" t="s">
        <v>25</v>
      </c>
      <c r="W33" s="632">
        <f t="shared" si="14"/>
        <v>100</v>
      </c>
      <c r="X33" s="1335"/>
      <c r="Y33" s="351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8"/>
      <c r="Q35" s="633">
        <f t="shared" si="11"/>
        <v>111</v>
      </c>
      <c r="R35" s="634" t="s">
        <v>25</v>
      </c>
      <c r="S35" s="635">
        <f t="shared" si="12"/>
        <v>100</v>
      </c>
      <c r="T35" s="634" t="s">
        <v>25</v>
      </c>
      <c r="U35" s="635">
        <f t="shared" si="13"/>
        <v>100</v>
      </c>
      <c r="V35" s="634" t="s">
        <v>25</v>
      </c>
      <c r="W35" s="635">
        <f t="shared" si="14"/>
        <v>100</v>
      </c>
      <c r="X35" s="636"/>
      <c r="Y35" s="351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8"/>
      <c r="Q36" s="1334">
        <f t="shared" si="11"/>
        <v>111</v>
      </c>
      <c r="R36" s="631" t="s">
        <v>25</v>
      </c>
      <c r="S36" s="632">
        <f t="shared" si="12"/>
        <v>100</v>
      </c>
      <c r="T36" s="631" t="s">
        <v>25</v>
      </c>
      <c r="U36" s="632">
        <f t="shared" si="13"/>
        <v>100</v>
      </c>
      <c r="V36" s="631" t="s">
        <v>25</v>
      </c>
      <c r="W36" s="632">
        <f t="shared" si="14"/>
        <v>100</v>
      </c>
      <c r="X36" s="1335"/>
      <c r="Y36" s="3518"/>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486" t="str">
        <f>A37</f>
        <v>成交单价</v>
      </c>
      <c r="Q37" s="3486"/>
      <c r="R37" s="3520">
        <f>E37</f>
        <v>0</v>
      </c>
      <c r="S37" s="3520"/>
      <c r="T37" s="3520">
        <f>G37</f>
        <v>0</v>
      </c>
      <c r="U37" s="3520"/>
      <c r="V37" s="3520">
        <f>I37</f>
        <v>0</v>
      </c>
      <c r="W37" s="3520"/>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486" t="str">
        <f>A38</f>
        <v>比较价值</v>
      </c>
      <c r="Q38" s="3486"/>
      <c r="R38" s="3520" t="e">
        <f>IF(E1="售价",ROUND(PRODUCT(R37,AA7:AA36),0),ROUND(PRODUCT(R37,AA7:AA36),1))</f>
        <v>#DIV/0!</v>
      </c>
      <c r="S38" s="3520"/>
      <c r="T38" s="3520" t="e">
        <f>IF(E1="售价",ROUND(PRODUCT(T37,AB7:AB36),0),ROUND(PRODUCT(T37,AB7:AB36),1))</f>
        <v>#DIV/0!</v>
      </c>
      <c r="U38" s="3520"/>
      <c r="V38" s="3520" t="e">
        <f>IF(E1="售价",ROUND(PRODUCT(V37,AC7:AC36),0),ROUND(PRODUCT(V37,AC7:AC36),1))</f>
        <v>#DIV/0!</v>
      </c>
      <c r="W38" s="3520"/>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21" t="str">
        <f>A39</f>
        <v>估价对象XX用房的比较价值（楼面单价，元/平方米）</v>
      </c>
      <c r="Q39" s="3522"/>
      <c r="R39" s="3523" t="e">
        <f>IF(E1="售价",ROUND(IF(D38="简单平均",AVERAGE(R38:W38),R38*F38+T38*H38+V38*J38),0),ROUND(IF(D38="简单平均",AVERAGE(R38:V38),R38*F38+T38*H38+V38*J38),1))</f>
        <v>#DIV/0!</v>
      </c>
      <c r="S39" s="3523"/>
      <c r="T39" s="3523"/>
      <c r="U39" s="3523"/>
      <c r="V39" s="3523"/>
      <c r="W39" s="3523"/>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2014-7</v>
      </c>
      <c r="D48" s="1188">
        <f>EDATE(C48,-1)</f>
        <v>41791</v>
      </c>
      <c r="E48" s="1188">
        <f t="shared" ref="E48:O48" si="16">EDATE(D48,-1)</f>
        <v>41760</v>
      </c>
      <c r="F48" s="1188">
        <f t="shared" si="16"/>
        <v>41730</v>
      </c>
      <c r="G48" s="1188">
        <f t="shared" si="16"/>
        <v>41699</v>
      </c>
      <c r="H48" s="1188">
        <f t="shared" si="16"/>
        <v>41671</v>
      </c>
      <c r="I48" s="1188">
        <f t="shared" si="16"/>
        <v>41640</v>
      </c>
      <c r="J48" s="1188">
        <f t="shared" si="16"/>
        <v>41609</v>
      </c>
      <c r="K48" s="1188">
        <f t="shared" si="16"/>
        <v>41579</v>
      </c>
      <c r="L48" s="1188">
        <f t="shared" si="16"/>
        <v>41548</v>
      </c>
      <c r="M48" s="1188">
        <f t="shared" si="16"/>
        <v>41518</v>
      </c>
      <c r="N48" s="1188">
        <f t="shared" si="16"/>
        <v>41487</v>
      </c>
      <c r="O48" s="1188">
        <f t="shared" si="16"/>
        <v>41456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118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4" t="s">
        <v>2247</v>
      </c>
      <c r="D4" s="3495"/>
      <c r="E4" s="3496" t="s">
        <v>2248</v>
      </c>
      <c r="F4" s="3497"/>
      <c r="G4" s="3494" t="s">
        <v>2249</v>
      </c>
      <c r="H4" s="3495"/>
      <c r="I4" s="3494" t="s">
        <v>2250</v>
      </c>
      <c r="J4" s="3495"/>
      <c r="K4" s="496" t="s">
        <v>2251</v>
      </c>
      <c r="L4" s="3025"/>
      <c r="M4" s="3026"/>
      <c r="N4" s="3026"/>
      <c r="O4" s="3026"/>
      <c r="P4" s="3498" t="s">
        <v>2252</v>
      </c>
      <c r="Q4" s="3499"/>
      <c r="R4" s="3504" t="s">
        <v>2248</v>
      </c>
      <c r="S4" s="3505"/>
      <c r="T4" s="3504" t="s">
        <v>2249</v>
      </c>
      <c r="U4" s="3505"/>
      <c r="V4" s="3510" t="s">
        <v>2250</v>
      </c>
      <c r="W4" s="3510"/>
      <c r="X4" s="1335"/>
      <c r="Y4" s="3504" t="s">
        <v>2252</v>
      </c>
      <c r="Z4" s="3505"/>
      <c r="AA4" s="3491" t="s">
        <v>2248</v>
      </c>
      <c r="AB4" s="3492" t="s">
        <v>2249</v>
      </c>
      <c r="AC4" s="3491" t="s">
        <v>2250</v>
      </c>
    </row>
    <row r="5" spans="1:29" ht="15">
      <c r="A5" s="297"/>
      <c r="B5" s="298"/>
      <c r="C5" s="3487" t="s">
        <v>2253</v>
      </c>
      <c r="D5" s="3488"/>
      <c r="E5" s="3511" t="s">
        <v>2254</v>
      </c>
      <c r="F5" s="3512"/>
      <c r="G5" s="3487" t="s">
        <v>2255</v>
      </c>
      <c r="H5" s="3488"/>
      <c r="I5" s="3487" t="s">
        <v>2256</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2257</v>
      </c>
      <c r="D6" s="3485"/>
      <c r="E6" s="3482" t="s">
        <v>2257</v>
      </c>
      <c r="F6" s="3483"/>
      <c r="G6" s="3484" t="s">
        <v>2257</v>
      </c>
      <c r="H6" s="3485"/>
      <c r="I6" s="3484" t="s">
        <v>2257</v>
      </c>
      <c r="J6" s="3485"/>
      <c r="K6" s="496" t="s">
        <v>2258</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2259</v>
      </c>
      <c r="B7" s="302"/>
      <c r="C7" s="303">
        <f>'数据-取费表'!B2</f>
        <v>41829</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9" t="s">
        <v>2260</v>
      </c>
      <c r="Q7" s="3513"/>
      <c r="R7" s="627" t="s">
        <v>25</v>
      </c>
      <c r="S7" s="628">
        <f t="shared" ref="S7:S14" si="0">F7</f>
        <v>0</v>
      </c>
      <c r="T7" s="627" t="s">
        <v>25</v>
      </c>
      <c r="U7" s="628">
        <f t="shared" ref="U7:U14" si="1">H7</f>
        <v>0</v>
      </c>
      <c r="V7" s="627" t="s">
        <v>25</v>
      </c>
      <c r="W7" s="628">
        <f t="shared" ref="W7:W14" si="2">J7</f>
        <v>0</v>
      </c>
      <c r="X7" s="629"/>
      <c r="Y7" s="3489" t="s">
        <v>2260</v>
      </c>
      <c r="Z7" s="3490"/>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9" t="s">
        <v>2263</v>
      </c>
      <c r="Q8" s="3490"/>
      <c r="R8" s="627" t="s">
        <v>25</v>
      </c>
      <c r="S8" s="628">
        <f t="shared" si="0"/>
        <v>0</v>
      </c>
      <c r="T8" s="627" t="s">
        <v>25</v>
      </c>
      <c r="U8" s="628">
        <f t="shared" si="1"/>
        <v>0</v>
      </c>
      <c r="V8" s="627" t="s">
        <v>25</v>
      </c>
      <c r="W8" s="628">
        <f t="shared" si="2"/>
        <v>0</v>
      </c>
      <c r="X8" s="629"/>
      <c r="Y8" s="3489" t="s">
        <v>2263</v>
      </c>
      <c r="Z8" s="3490"/>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6" t="s">
        <v>2266</v>
      </c>
      <c r="Q9" s="1327" t="str">
        <f t="shared" ref="Q9:Q14" si="6">B9</f>
        <v>用途</v>
      </c>
      <c r="R9" s="627" t="s">
        <v>25</v>
      </c>
      <c r="S9" s="628">
        <f t="shared" si="0"/>
        <v>100</v>
      </c>
      <c r="T9" s="627" t="s">
        <v>25</v>
      </c>
      <c r="U9" s="628">
        <f t="shared" si="1"/>
        <v>100</v>
      </c>
      <c r="V9" s="627" t="s">
        <v>25</v>
      </c>
      <c r="W9" s="628">
        <f t="shared" si="2"/>
        <v>100</v>
      </c>
      <c r="X9" s="629"/>
      <c r="Y9" s="3516"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14" t="s">
        <v>2271</v>
      </c>
      <c r="Q14" s="1334" t="str">
        <f t="shared" si="6"/>
        <v>交通便捷度</v>
      </c>
      <c r="R14" s="631" t="s">
        <v>25</v>
      </c>
      <c r="S14" s="632">
        <f t="shared" si="0"/>
        <v>100</v>
      </c>
      <c r="T14" s="631" t="s">
        <v>25</v>
      </c>
      <c r="U14" s="632">
        <f t="shared" si="1"/>
        <v>100</v>
      </c>
      <c r="V14" s="631" t="s">
        <v>25</v>
      </c>
      <c r="W14" s="632">
        <f t="shared" si="2"/>
        <v>100</v>
      </c>
      <c r="X14" s="1335"/>
      <c r="Y14" s="3514"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15"/>
      <c r="Q15" s="1334"/>
      <c r="R15" s="631"/>
      <c r="S15" s="632"/>
      <c r="T15" s="631"/>
      <c r="U15" s="632"/>
      <c r="V15" s="631"/>
      <c r="W15" s="632"/>
      <c r="X15" s="1335"/>
      <c r="Y15" s="3515"/>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15"/>
      <c r="Q17" s="1334"/>
      <c r="R17" s="631"/>
      <c r="S17" s="632"/>
      <c r="T17" s="631"/>
      <c r="U17" s="632"/>
      <c r="V17" s="631"/>
      <c r="W17" s="632"/>
      <c r="X17" s="1335"/>
      <c r="Y17" s="3515"/>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15"/>
      <c r="Q19" s="1334"/>
      <c r="R19" s="631"/>
      <c r="S19" s="632"/>
      <c r="T19" s="631"/>
      <c r="U19" s="632"/>
      <c r="V19" s="631"/>
      <c r="W19" s="632"/>
      <c r="X19" s="1335"/>
      <c r="Y19" s="3515"/>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15"/>
      <c r="Q21" s="1334"/>
      <c r="R21" s="631"/>
      <c r="S21" s="632"/>
      <c r="T21" s="631"/>
      <c r="U21" s="632"/>
      <c r="V21" s="631"/>
      <c r="W21" s="632"/>
      <c r="X21" s="1335"/>
      <c r="Y21" s="3515"/>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15"/>
      <c r="Q24" s="1334">
        <f t="shared" ref="Q24:Q34"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17"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8"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8"/>
      <c r="Q27" s="633" t="str">
        <f t="shared" si="11"/>
        <v>成新率</v>
      </c>
      <c r="R27" s="634" t="s">
        <v>25</v>
      </c>
      <c r="S27" s="635" t="e">
        <f t="shared" si="12"/>
        <v>#N/A</v>
      </c>
      <c r="T27" s="634" t="s">
        <v>25</v>
      </c>
      <c r="U27" s="635" t="e">
        <f t="shared" si="13"/>
        <v>#N/A</v>
      </c>
      <c r="V27" s="634" t="s">
        <v>25</v>
      </c>
      <c r="W27" s="635" t="e">
        <f t="shared" si="14"/>
        <v>#N/A</v>
      </c>
      <c r="X27" s="636"/>
      <c r="Y27" s="3518"/>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8"/>
      <c r="Q28" s="1334" t="str">
        <f t="shared" si="11"/>
        <v>物业等级</v>
      </c>
      <c r="R28" s="631" t="s">
        <v>25</v>
      </c>
      <c r="S28" s="632">
        <f t="shared" si="12"/>
        <v>100</v>
      </c>
      <c r="T28" s="631" t="s">
        <v>25</v>
      </c>
      <c r="U28" s="632">
        <f t="shared" si="13"/>
        <v>100</v>
      </c>
      <c r="V28" s="631" t="s">
        <v>25</v>
      </c>
      <c r="W28" s="632">
        <f t="shared" si="14"/>
        <v>100</v>
      </c>
      <c r="X28" s="1335"/>
      <c r="Y28" s="3518"/>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8"/>
      <c r="Q29" s="1334" t="str">
        <f t="shared" si="11"/>
        <v>有无电梯</v>
      </c>
      <c r="R29" s="631" t="s">
        <v>25</v>
      </c>
      <c r="S29" s="632">
        <f t="shared" si="12"/>
        <v>100</v>
      </c>
      <c r="T29" s="631" t="s">
        <v>25</v>
      </c>
      <c r="U29" s="632">
        <f t="shared" si="13"/>
        <v>100</v>
      </c>
      <c r="V29" s="631" t="s">
        <v>25</v>
      </c>
      <c r="W29" s="632">
        <f t="shared" si="14"/>
        <v>100</v>
      </c>
      <c r="X29" s="1335"/>
      <c r="Y29" s="3518"/>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8"/>
      <c r="Q30" s="1334" t="str">
        <f t="shared" si="11"/>
        <v>建筑面积</v>
      </c>
      <c r="R30" s="631" t="s">
        <v>25</v>
      </c>
      <c r="S30" s="632" t="e">
        <f t="shared" si="12"/>
        <v>#N/A</v>
      </c>
      <c r="T30" s="631" t="s">
        <v>25</v>
      </c>
      <c r="U30" s="632" t="e">
        <f t="shared" si="13"/>
        <v>#N/A</v>
      </c>
      <c r="V30" s="631" t="s">
        <v>25</v>
      </c>
      <c r="W30" s="632" t="e">
        <f t="shared" si="14"/>
        <v>#N/A</v>
      </c>
      <c r="X30" s="1335"/>
      <c r="Y30" s="3518"/>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8"/>
      <c r="Q31" s="1327" t="str">
        <f t="shared" si="11"/>
        <v>是否封闭</v>
      </c>
      <c r="R31" s="627" t="s">
        <v>25</v>
      </c>
      <c r="S31" s="628">
        <f t="shared" si="12"/>
        <v>100</v>
      </c>
      <c r="T31" s="627" t="s">
        <v>25</v>
      </c>
      <c r="U31" s="628">
        <f t="shared" si="13"/>
        <v>100</v>
      </c>
      <c r="V31" s="627" t="s">
        <v>25</v>
      </c>
      <c r="W31" s="628">
        <f t="shared" si="14"/>
        <v>100</v>
      </c>
      <c r="X31" s="629"/>
      <c r="Y31" s="351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8" t="s">
        <v>2275</v>
      </c>
      <c r="Q32" s="1334">
        <f t="shared" si="11"/>
        <v>111</v>
      </c>
      <c r="R32" s="631" t="s">
        <v>25</v>
      </c>
      <c r="S32" s="632">
        <f t="shared" si="12"/>
        <v>100</v>
      </c>
      <c r="T32" s="631" t="s">
        <v>25</v>
      </c>
      <c r="U32" s="632">
        <f t="shared" si="13"/>
        <v>100</v>
      </c>
      <c r="V32" s="631" t="s">
        <v>25</v>
      </c>
      <c r="W32" s="632">
        <f t="shared" si="14"/>
        <v>100</v>
      </c>
      <c r="X32" s="1335"/>
      <c r="Y32" s="3518"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8"/>
      <c r="Q33" s="1334">
        <f t="shared" si="11"/>
        <v>111</v>
      </c>
      <c r="R33" s="631" t="s">
        <v>25</v>
      </c>
      <c r="S33" s="632">
        <f t="shared" si="12"/>
        <v>100</v>
      </c>
      <c r="T33" s="631" t="s">
        <v>25</v>
      </c>
      <c r="U33" s="632">
        <f t="shared" si="13"/>
        <v>100</v>
      </c>
      <c r="V33" s="631" t="s">
        <v>25</v>
      </c>
      <c r="W33" s="632">
        <f t="shared" si="14"/>
        <v>100</v>
      </c>
      <c r="X33" s="1335"/>
      <c r="Y33" s="351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486" t="str">
        <f>A35</f>
        <v>成交单价（元/平方米）</v>
      </c>
      <c r="Q35" s="3486"/>
      <c r="R35" s="3520">
        <f>E35</f>
        <v>0</v>
      </c>
      <c r="S35" s="3520"/>
      <c r="T35" s="3520">
        <f>G35</f>
        <v>0</v>
      </c>
      <c r="U35" s="3520"/>
      <c r="V35" s="3520">
        <f>I35</f>
        <v>0</v>
      </c>
      <c r="W35" s="3520"/>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486" t="str">
        <f>A36</f>
        <v>比较价值（元/平方米）</v>
      </c>
      <c r="Q36" s="3486"/>
      <c r="R36" s="3520" t="e">
        <f>IF(E1="售价",ROUND(PRODUCT(R35,AA7:AA34),0),ROUND(PRODUCT(R35,AA7:AA34),1))</f>
        <v>#DIV/0!</v>
      </c>
      <c r="S36" s="3520"/>
      <c r="T36" s="3520" t="e">
        <f>IF(E1="售价",ROUND(PRODUCT(T35,AB7:AB34),0),ROUND(PRODUCT(T35,AB7:AB34),1))</f>
        <v>#DIV/0!</v>
      </c>
      <c r="U36" s="3520"/>
      <c r="V36" s="3520" t="e">
        <f>IF(E1="售价",ROUND(PRODUCT(V35,AC7:AC34),0),ROUND(PRODUCT(V35,AC7:AC34),1))</f>
        <v>#DIV/0!</v>
      </c>
      <c r="W36" s="3520"/>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21" t="str">
        <f>A37</f>
        <v>估价对象XX用房的比较价值（楼面单价，元/平方米）</v>
      </c>
      <c r="Q37" s="3522"/>
      <c r="R37" s="3523" t="e">
        <f>IF(E1="售价",ROUND(IF(D36="简单平均",AVERAGE(R36:W36),R36*F36+T36*H36+V36*J36),0),ROUND(IF(D36="简单平均",AVERAGE(R36:V36),R36*F36+T36*H36+V36*J36),1))</f>
        <v>#DIV/0!</v>
      </c>
      <c r="S37" s="3523"/>
      <c r="T37" s="3523"/>
      <c r="U37" s="3523"/>
      <c r="V37" s="3523"/>
      <c r="W37" s="3523"/>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2014-7</v>
      </c>
      <c r="D46" s="1188">
        <f>EDATE(C46,-1)</f>
        <v>41791</v>
      </c>
      <c r="E46" s="1188">
        <f t="shared" ref="E46:O46" si="16">EDATE(D46,-1)</f>
        <v>41760</v>
      </c>
      <c r="F46" s="1188">
        <f t="shared" si="16"/>
        <v>41730</v>
      </c>
      <c r="G46" s="1188">
        <f t="shared" si="16"/>
        <v>41699</v>
      </c>
      <c r="H46" s="1188">
        <f t="shared" si="16"/>
        <v>41671</v>
      </c>
      <c r="I46" s="1188">
        <f t="shared" si="16"/>
        <v>41640</v>
      </c>
      <c r="J46" s="1188">
        <f t="shared" si="16"/>
        <v>41609</v>
      </c>
      <c r="K46" s="1188">
        <f t="shared" si="16"/>
        <v>41579</v>
      </c>
      <c r="L46" s="1188">
        <f t="shared" si="16"/>
        <v>41548</v>
      </c>
      <c r="M46" s="1188">
        <f t="shared" si="16"/>
        <v>41518</v>
      </c>
      <c r="N46" s="1188">
        <f t="shared" si="16"/>
        <v>41487</v>
      </c>
      <c r="O46" s="1188">
        <f t="shared" si="16"/>
        <v>41456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35" t="s">
        <v>2247</v>
      </c>
      <c r="D4" s="3436"/>
      <c r="E4" s="3437" t="s">
        <v>2248</v>
      </c>
      <c r="F4" s="3438"/>
      <c r="G4" s="3435" t="s">
        <v>2249</v>
      </c>
      <c r="H4" s="3436"/>
      <c r="I4" s="3435" t="s">
        <v>2250</v>
      </c>
      <c r="J4" s="3436"/>
      <c r="K4" s="1966" t="s">
        <v>2251</v>
      </c>
      <c r="L4" s="2997"/>
      <c r="M4" s="2998"/>
      <c r="N4" s="2998"/>
      <c r="O4" s="2998"/>
      <c r="P4" s="3439" t="s">
        <v>2252</v>
      </c>
      <c r="Q4" s="3440"/>
      <c r="R4" s="3445" t="s">
        <v>2248</v>
      </c>
      <c r="S4" s="3446"/>
      <c r="T4" s="3445" t="s">
        <v>2249</v>
      </c>
      <c r="U4" s="3446"/>
      <c r="V4" s="3451" t="s">
        <v>2250</v>
      </c>
      <c r="W4" s="3451"/>
      <c r="X4" s="1666"/>
      <c r="Y4" s="3445" t="s">
        <v>2252</v>
      </c>
      <c r="Z4" s="3446"/>
      <c r="AA4" s="3432" t="s">
        <v>2248</v>
      </c>
      <c r="AB4" s="3433" t="s">
        <v>2249</v>
      </c>
      <c r="AC4" s="3432" t="s">
        <v>2250</v>
      </c>
    </row>
    <row r="5" spans="1:30" ht="15">
      <c r="A5" s="1668"/>
      <c r="B5" s="1669"/>
      <c r="C5" s="3454" t="s">
        <v>2253</v>
      </c>
      <c r="D5" s="3455"/>
      <c r="E5" s="3452" t="s">
        <v>2254</v>
      </c>
      <c r="F5" s="3453"/>
      <c r="G5" s="3454" t="s">
        <v>2255</v>
      </c>
      <c r="H5" s="3455"/>
      <c r="I5" s="3454" t="s">
        <v>2256</v>
      </c>
      <c r="J5" s="3455"/>
      <c r="K5" s="1966"/>
      <c r="L5" s="2997"/>
      <c r="M5" s="2998"/>
      <c r="N5" s="2998"/>
      <c r="O5" s="2998"/>
      <c r="P5" s="3441"/>
      <c r="Q5" s="3442"/>
      <c r="R5" s="3447"/>
      <c r="S5" s="3448"/>
      <c r="T5" s="3447"/>
      <c r="U5" s="3448"/>
      <c r="V5" s="3451"/>
      <c r="W5" s="3451"/>
      <c r="X5" s="1666"/>
      <c r="Y5" s="3447"/>
      <c r="Z5" s="3448"/>
      <c r="AA5" s="3433"/>
      <c r="AB5" s="3433"/>
      <c r="AC5" s="3433"/>
    </row>
    <row r="6" spans="1:30" ht="15.75" thickBot="1">
      <c r="A6" s="1671"/>
      <c r="B6" s="1672"/>
      <c r="C6" s="3480" t="s">
        <v>2257</v>
      </c>
      <c r="D6" s="3457"/>
      <c r="E6" s="3478" t="s">
        <v>2257</v>
      </c>
      <c r="F6" s="3479"/>
      <c r="G6" s="3480" t="s">
        <v>2257</v>
      </c>
      <c r="H6" s="3457"/>
      <c r="I6" s="3480" t="s">
        <v>2257</v>
      </c>
      <c r="J6" s="3457"/>
      <c r="K6" s="1966" t="s">
        <v>2258</v>
      </c>
      <c r="L6" s="2997"/>
      <c r="M6" s="2998"/>
      <c r="N6" s="2998"/>
      <c r="O6" s="2998"/>
      <c r="P6" s="3443"/>
      <c r="Q6" s="3444"/>
      <c r="R6" s="3447"/>
      <c r="S6" s="3448"/>
      <c r="T6" s="3449"/>
      <c r="U6" s="3450"/>
      <c r="V6" s="3451"/>
      <c r="W6" s="3451"/>
      <c r="X6" s="1666"/>
      <c r="Y6" s="3449"/>
      <c r="Z6" s="3450"/>
      <c r="AA6" s="3434"/>
      <c r="AB6" s="3434"/>
      <c r="AC6" s="3434"/>
    </row>
    <row r="7" spans="1:30" s="1685" customFormat="1" ht="15.75" thickBot="1">
      <c r="A7" s="1673" t="s">
        <v>2259</v>
      </c>
      <c r="B7" s="1674"/>
      <c r="C7" s="1675">
        <f>'数据-取费表'!B2</f>
        <v>41829</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65" t="s">
        <v>2260</v>
      </c>
      <c r="Q7" s="3467"/>
      <c r="R7" s="1681" t="s">
        <v>25</v>
      </c>
      <c r="S7" s="1682">
        <f t="shared" ref="S7:S15" si="0">F7</f>
        <v>0</v>
      </c>
      <c r="T7" s="1681" t="s">
        <v>25</v>
      </c>
      <c r="U7" s="1682">
        <f t="shared" ref="U7:U15" si="1">H7</f>
        <v>0</v>
      </c>
      <c r="V7" s="1681" t="s">
        <v>25</v>
      </c>
      <c r="W7" s="1682">
        <f t="shared" ref="W7:W15" si="2">J7</f>
        <v>0</v>
      </c>
      <c r="X7" s="1683"/>
      <c r="Y7" s="3465" t="s">
        <v>2260</v>
      </c>
      <c r="Z7" s="3466"/>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65" t="s">
        <v>2263</v>
      </c>
      <c r="Q8" s="3466"/>
      <c r="R8" s="1681" t="s">
        <v>25</v>
      </c>
      <c r="S8" s="1682">
        <f t="shared" si="0"/>
        <v>0</v>
      </c>
      <c r="T8" s="1681" t="s">
        <v>25</v>
      </c>
      <c r="U8" s="1682">
        <f t="shared" si="1"/>
        <v>0</v>
      </c>
      <c r="V8" s="1681" t="s">
        <v>25</v>
      </c>
      <c r="W8" s="1682">
        <f t="shared" si="2"/>
        <v>0</v>
      </c>
      <c r="X8" s="1683"/>
      <c r="Y8" s="3465" t="s">
        <v>2263</v>
      </c>
      <c r="Z8" s="3466"/>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69" t="s">
        <v>2266</v>
      </c>
      <c r="Q9" s="1635" t="str">
        <f t="shared" ref="Q9:Q15" si="6">B9</f>
        <v>用途</v>
      </c>
      <c r="R9" s="1681" t="s">
        <v>25</v>
      </c>
      <c r="S9" s="1682">
        <f t="shared" si="0"/>
        <v>100</v>
      </c>
      <c r="T9" s="1681" t="s">
        <v>25</v>
      </c>
      <c r="U9" s="1682">
        <f t="shared" si="1"/>
        <v>100</v>
      </c>
      <c r="V9" s="1681" t="s">
        <v>25</v>
      </c>
      <c r="W9" s="1682">
        <f t="shared" si="2"/>
        <v>100</v>
      </c>
      <c r="X9" s="1683"/>
      <c r="Y9" s="3333"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469"/>
      <c r="Q10" s="1635" t="str">
        <f t="shared" si="6"/>
        <v>土地使用年限（年）</v>
      </c>
      <c r="R10" s="1681" t="s">
        <v>25</v>
      </c>
      <c r="S10" s="1682" t="e">
        <f t="shared" si="0"/>
        <v>#DIV/0!</v>
      </c>
      <c r="T10" s="1681" t="s">
        <v>25</v>
      </c>
      <c r="U10" s="1682" t="e">
        <f t="shared" si="1"/>
        <v>#DIV/0!</v>
      </c>
      <c r="V10" s="1681" t="s">
        <v>25</v>
      </c>
      <c r="W10" s="1682" t="e">
        <f t="shared" si="2"/>
        <v>#DIV/0!</v>
      </c>
      <c r="X10" s="1683"/>
      <c r="Y10" s="3333"/>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69"/>
      <c r="Q11" s="1635" t="str">
        <f t="shared" si="6"/>
        <v>容积率</v>
      </c>
      <c r="R11" s="1681" t="s">
        <v>25</v>
      </c>
      <c r="S11" s="1682" t="e">
        <f t="shared" si="0"/>
        <v>#N/A</v>
      </c>
      <c r="T11" s="1681" t="s">
        <v>25</v>
      </c>
      <c r="U11" s="1682" t="e">
        <f t="shared" si="1"/>
        <v>#N/A</v>
      </c>
      <c r="V11" s="1681" t="s">
        <v>25</v>
      </c>
      <c r="W11" s="1682" t="e">
        <f t="shared" si="2"/>
        <v>#N/A</v>
      </c>
      <c r="X11" s="1683"/>
      <c r="Y11" s="3333"/>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69"/>
      <c r="Q12" s="1635" t="str">
        <f t="shared" si="6"/>
        <v>配建</v>
      </c>
      <c r="R12" s="1681" t="s">
        <v>25</v>
      </c>
      <c r="S12" s="1682">
        <f t="shared" si="0"/>
        <v>100</v>
      </c>
      <c r="T12" s="1681" t="s">
        <v>25</v>
      </c>
      <c r="U12" s="1682">
        <f t="shared" si="1"/>
        <v>100</v>
      </c>
      <c r="V12" s="1681" t="s">
        <v>25</v>
      </c>
      <c r="W12" s="1682">
        <f t="shared" si="2"/>
        <v>100</v>
      </c>
      <c r="X12" s="1683"/>
      <c r="Y12" s="3333"/>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69"/>
      <c r="Q13" s="1635">
        <f t="shared" si="6"/>
        <v>111</v>
      </c>
      <c r="R13" s="1681" t="s">
        <v>25</v>
      </c>
      <c r="S13" s="1682">
        <f t="shared" si="0"/>
        <v>100</v>
      </c>
      <c r="T13" s="1681" t="s">
        <v>25</v>
      </c>
      <c r="U13" s="1682">
        <f t="shared" si="1"/>
        <v>100</v>
      </c>
      <c r="V13" s="1681" t="s">
        <v>25</v>
      </c>
      <c r="W13" s="1682">
        <f t="shared" si="2"/>
        <v>100</v>
      </c>
      <c r="X13" s="1683"/>
      <c r="Y13" s="3333"/>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69"/>
      <c r="Q14" s="1635">
        <f t="shared" si="6"/>
        <v>111</v>
      </c>
      <c r="R14" s="1681" t="s">
        <v>25</v>
      </c>
      <c r="S14" s="1682">
        <f t="shared" si="0"/>
        <v>100</v>
      </c>
      <c r="T14" s="1681" t="s">
        <v>25</v>
      </c>
      <c r="U14" s="1682">
        <f t="shared" si="1"/>
        <v>100</v>
      </c>
      <c r="V14" s="1681" t="s">
        <v>25</v>
      </c>
      <c r="W14" s="1682">
        <f t="shared" si="2"/>
        <v>100</v>
      </c>
      <c r="X14" s="1683"/>
      <c r="Y14" s="3333"/>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58" t="s">
        <v>2271</v>
      </c>
      <c r="Q15" s="1616" t="str">
        <f t="shared" si="6"/>
        <v>居住社区成熟度</v>
      </c>
      <c r="R15" s="1726" t="s">
        <v>25</v>
      </c>
      <c r="S15" s="1727">
        <f t="shared" si="0"/>
        <v>100</v>
      </c>
      <c r="T15" s="1726" t="s">
        <v>25</v>
      </c>
      <c r="U15" s="1727">
        <f t="shared" si="1"/>
        <v>100</v>
      </c>
      <c r="V15" s="1726" t="s">
        <v>25</v>
      </c>
      <c r="W15" s="1727">
        <f t="shared" si="2"/>
        <v>100</v>
      </c>
      <c r="X15" s="1666"/>
      <c r="Y15" s="3458"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59"/>
      <c r="Q16" s="1616"/>
      <c r="R16" s="1726"/>
      <c r="S16" s="1727"/>
      <c r="T16" s="1726"/>
      <c r="U16" s="1727"/>
      <c r="V16" s="1726"/>
      <c r="W16" s="1727"/>
      <c r="X16" s="1666"/>
      <c r="Y16" s="3459"/>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59"/>
      <c r="Q17" s="1616" t="str">
        <f>B17</f>
        <v>商业繁华度</v>
      </c>
      <c r="R17" s="1726" t="s">
        <v>25</v>
      </c>
      <c r="S17" s="1727">
        <f>F17</f>
        <v>100</v>
      </c>
      <c r="T17" s="1726" t="s">
        <v>25</v>
      </c>
      <c r="U17" s="1727">
        <f>H17</f>
        <v>100</v>
      </c>
      <c r="V17" s="1726" t="s">
        <v>25</v>
      </c>
      <c r="W17" s="1727">
        <f>J17</f>
        <v>100</v>
      </c>
      <c r="X17" s="1666"/>
      <c r="Y17" s="345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59"/>
      <c r="Q18" s="1616"/>
      <c r="R18" s="1726"/>
      <c r="S18" s="1727"/>
      <c r="T18" s="1726"/>
      <c r="U18" s="1727"/>
      <c r="V18" s="1726"/>
      <c r="W18" s="1727"/>
      <c r="X18" s="1666"/>
      <c r="Y18" s="3459"/>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59"/>
      <c r="Q19" s="1616" t="str">
        <f>B19</f>
        <v>办公集聚程度</v>
      </c>
      <c r="R19" s="1726" t="s">
        <v>25</v>
      </c>
      <c r="S19" s="1727">
        <f>F19</f>
        <v>100</v>
      </c>
      <c r="T19" s="1726" t="s">
        <v>25</v>
      </c>
      <c r="U19" s="1727">
        <f>H19</f>
        <v>100</v>
      </c>
      <c r="V19" s="1726" t="s">
        <v>25</v>
      </c>
      <c r="W19" s="1727">
        <f>J19</f>
        <v>100</v>
      </c>
      <c r="X19" s="1666"/>
      <c r="Y19" s="345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59"/>
      <c r="Q20" s="1616"/>
      <c r="R20" s="1726"/>
      <c r="S20" s="1727"/>
      <c r="T20" s="1726"/>
      <c r="U20" s="1727"/>
      <c r="V20" s="1726"/>
      <c r="W20" s="1727"/>
      <c r="X20" s="1666"/>
      <c r="Y20" s="3459"/>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59"/>
      <c r="Q21" s="1616" t="str">
        <f>B21</f>
        <v>交通便捷度</v>
      </c>
      <c r="R21" s="1726" t="s">
        <v>25</v>
      </c>
      <c r="S21" s="1727">
        <f>F21</f>
        <v>100</v>
      </c>
      <c r="T21" s="1726" t="s">
        <v>25</v>
      </c>
      <c r="U21" s="1727">
        <f>H21</f>
        <v>100</v>
      </c>
      <c r="V21" s="1726" t="s">
        <v>25</v>
      </c>
      <c r="W21" s="1727">
        <f>J21</f>
        <v>100</v>
      </c>
      <c r="X21" s="1666"/>
      <c r="Y21" s="345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59"/>
      <c r="Q22" s="1616"/>
      <c r="R22" s="1726"/>
      <c r="S22" s="1727"/>
      <c r="T22" s="1726"/>
      <c r="U22" s="1727"/>
      <c r="V22" s="1726"/>
      <c r="W22" s="1727"/>
      <c r="X22" s="1666"/>
      <c r="Y22" s="3459"/>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59"/>
      <c r="Q23" s="1616" t="str">
        <f t="shared" ref="Q23:Q37" si="8">B23</f>
        <v>区域土地利用方向</v>
      </c>
      <c r="R23" s="1726" t="s">
        <v>25</v>
      </c>
      <c r="S23" s="1727">
        <f>F23</f>
        <v>100</v>
      </c>
      <c r="T23" s="1726" t="s">
        <v>25</v>
      </c>
      <c r="U23" s="1727">
        <f>H23</f>
        <v>100</v>
      </c>
      <c r="V23" s="1726" t="s">
        <v>25</v>
      </c>
      <c r="W23" s="1727">
        <f>J23</f>
        <v>100</v>
      </c>
      <c r="X23" s="1666"/>
      <c r="Y23" s="345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59"/>
      <c r="Q24" s="1616"/>
      <c r="R24" s="1726"/>
      <c r="S24" s="1727"/>
      <c r="T24" s="1726"/>
      <c r="U24" s="1727"/>
      <c r="V24" s="1726"/>
      <c r="W24" s="1727"/>
      <c r="X24" s="1666"/>
      <c r="Y24" s="3459"/>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59"/>
      <c r="Q25" s="1616" t="str">
        <f t="shared" si="8"/>
        <v>自然及人文环境状况</v>
      </c>
      <c r="R25" s="1726" t="s">
        <v>25</v>
      </c>
      <c r="S25" s="1727">
        <f>F25</f>
        <v>100</v>
      </c>
      <c r="T25" s="1726" t="s">
        <v>25</v>
      </c>
      <c r="U25" s="1727">
        <f>H25</f>
        <v>100</v>
      </c>
      <c r="V25" s="1726" t="s">
        <v>25</v>
      </c>
      <c r="W25" s="1727">
        <f>J25</f>
        <v>100</v>
      </c>
      <c r="X25" s="1666"/>
      <c r="Y25" s="345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59"/>
      <c r="Q26" s="1616"/>
      <c r="R26" s="1726"/>
      <c r="S26" s="1727"/>
      <c r="T26" s="1726"/>
      <c r="U26" s="1727"/>
      <c r="V26" s="1726"/>
      <c r="W26" s="1727"/>
      <c r="X26" s="1666"/>
      <c r="Y26" s="3459"/>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59"/>
      <c r="Q27" s="1635" t="str">
        <f t="shared" ref="Q27" si="9">B27</f>
        <v>公共配套设施</v>
      </c>
      <c r="R27" s="1681" t="s">
        <v>25</v>
      </c>
      <c r="S27" s="1682">
        <f>F27</f>
        <v>100</v>
      </c>
      <c r="T27" s="1681" t="s">
        <v>25</v>
      </c>
      <c r="U27" s="1682">
        <f>H27</f>
        <v>100</v>
      </c>
      <c r="V27" s="1681" t="s">
        <v>25</v>
      </c>
      <c r="W27" s="1682">
        <f>J27</f>
        <v>100</v>
      </c>
      <c r="X27" s="1666"/>
      <c r="Y27" s="345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59"/>
      <c r="Q28" s="1616"/>
      <c r="R28" s="1726"/>
      <c r="S28" s="1727"/>
      <c r="T28" s="1726"/>
      <c r="U28" s="1727"/>
      <c r="V28" s="1726"/>
      <c r="W28" s="1727"/>
      <c r="X28" s="1666"/>
      <c r="Y28" s="3459"/>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59"/>
      <c r="Q29" s="1635" t="str">
        <f t="shared" si="8"/>
        <v>基础设施水平</v>
      </c>
      <c r="R29" s="1681" t="s">
        <v>25</v>
      </c>
      <c r="S29" s="1682">
        <f>F29</f>
        <v>100</v>
      </c>
      <c r="T29" s="1681" t="s">
        <v>25</v>
      </c>
      <c r="U29" s="1682">
        <f>H29</f>
        <v>100</v>
      </c>
      <c r="V29" s="1681" t="s">
        <v>25</v>
      </c>
      <c r="W29" s="1682">
        <f>J29</f>
        <v>100</v>
      </c>
      <c r="X29" s="1683"/>
      <c r="Y29" s="345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59"/>
      <c r="Q30" s="1635"/>
      <c r="R30" s="1681"/>
      <c r="S30" s="1682"/>
      <c r="T30" s="1681"/>
      <c r="U30" s="1682"/>
      <c r="V30" s="1681"/>
      <c r="W30" s="1682"/>
      <c r="X30" s="1683"/>
      <c r="Y30" s="3459"/>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5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9"/>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59"/>
      <c r="Q32" s="1616" t="str">
        <f t="shared" si="8"/>
        <v>毗邻道路的类型与等级</v>
      </c>
      <c r="R32" s="1726" t="s">
        <v>25</v>
      </c>
      <c r="S32" s="1727">
        <f t="shared" si="10"/>
        <v>100</v>
      </c>
      <c r="T32" s="1726" t="s">
        <v>25</v>
      </c>
      <c r="U32" s="1727">
        <f t="shared" si="11"/>
        <v>100</v>
      </c>
      <c r="V32" s="1726" t="s">
        <v>25</v>
      </c>
      <c r="W32" s="1727">
        <f t="shared" si="12"/>
        <v>100</v>
      </c>
      <c r="X32" s="1666"/>
      <c r="Y32" s="345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59"/>
      <c r="Q33" s="1616"/>
      <c r="R33" s="1726"/>
      <c r="S33" s="1727"/>
      <c r="T33" s="1726"/>
      <c r="U33" s="1727"/>
      <c r="V33" s="1726"/>
      <c r="W33" s="1727"/>
      <c r="X33" s="1666"/>
      <c r="Y33" s="3459"/>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59"/>
      <c r="Q34" s="1616" t="str">
        <f t="shared" si="8"/>
        <v>土地级别</v>
      </c>
      <c r="R34" s="1726" t="s">
        <v>25</v>
      </c>
      <c r="S34" s="1727">
        <f t="shared" si="10"/>
        <v>100</v>
      </c>
      <c r="T34" s="1726" t="s">
        <v>25</v>
      </c>
      <c r="U34" s="1727">
        <f t="shared" si="11"/>
        <v>100</v>
      </c>
      <c r="V34" s="1726" t="s">
        <v>25</v>
      </c>
      <c r="W34" s="1727">
        <f t="shared" si="12"/>
        <v>100</v>
      </c>
      <c r="X34" s="1666"/>
      <c r="Y34" s="345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59"/>
      <c r="Q35" s="1616">
        <f t="shared" si="8"/>
        <v>111</v>
      </c>
      <c r="R35" s="1726" t="s">
        <v>25</v>
      </c>
      <c r="S35" s="1727">
        <f t="shared" si="10"/>
        <v>100</v>
      </c>
      <c r="T35" s="1726" t="s">
        <v>25</v>
      </c>
      <c r="U35" s="1727">
        <f t="shared" si="11"/>
        <v>100</v>
      </c>
      <c r="V35" s="1726" t="s">
        <v>25</v>
      </c>
      <c r="W35" s="1727">
        <f t="shared" si="12"/>
        <v>100</v>
      </c>
      <c r="X35" s="1666"/>
      <c r="Y35" s="345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81" t="s">
        <v>2275</v>
      </c>
      <c r="Q36" s="1616">
        <f t="shared" si="8"/>
        <v>111</v>
      </c>
      <c r="R36" s="1726" t="s">
        <v>25</v>
      </c>
      <c r="S36" s="1727">
        <f t="shared" si="10"/>
        <v>100</v>
      </c>
      <c r="T36" s="1726" t="s">
        <v>25</v>
      </c>
      <c r="U36" s="1727">
        <f t="shared" si="11"/>
        <v>100</v>
      </c>
      <c r="V36" s="1726" t="s">
        <v>25</v>
      </c>
      <c r="W36" s="1727">
        <f t="shared" si="12"/>
        <v>100</v>
      </c>
      <c r="X36" s="1666"/>
      <c r="Y36" s="3463"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63"/>
      <c r="Q37" s="1616">
        <f t="shared" si="8"/>
        <v>111</v>
      </c>
      <c r="R37" s="1768" t="s">
        <v>25</v>
      </c>
      <c r="S37" s="1769">
        <f t="shared" si="10"/>
        <v>100</v>
      </c>
      <c r="T37" s="1768" t="s">
        <v>25</v>
      </c>
      <c r="U37" s="1769">
        <f t="shared" si="11"/>
        <v>100</v>
      </c>
      <c r="V37" s="1768" t="s">
        <v>25</v>
      </c>
      <c r="W37" s="1769">
        <f t="shared" si="12"/>
        <v>100</v>
      </c>
      <c r="X37" s="1770"/>
      <c r="Y37" s="3463"/>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63"/>
      <c r="Q38" s="1616" t="str">
        <f>B38</f>
        <v>宗地面积</v>
      </c>
      <c r="R38" s="1726" t="s">
        <v>25</v>
      </c>
      <c r="S38" s="1727" t="e">
        <f t="shared" si="10"/>
        <v>#N/A</v>
      </c>
      <c r="T38" s="1726" t="s">
        <v>25</v>
      </c>
      <c r="U38" s="1727" t="e">
        <f t="shared" si="11"/>
        <v>#N/A</v>
      </c>
      <c r="V38" s="1726" t="s">
        <v>25</v>
      </c>
      <c r="W38" s="1727" t="e">
        <f t="shared" si="12"/>
        <v>#N/A</v>
      </c>
      <c r="X38" s="1666"/>
      <c r="Y38" s="3463"/>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63"/>
      <c r="Q39" s="1616" t="str">
        <f t="shared" ref="Q39:Q45" si="14">B39</f>
        <v>宗地形状</v>
      </c>
      <c r="R39" s="1726" t="s">
        <v>25</v>
      </c>
      <c r="S39" s="1727">
        <f t="shared" si="10"/>
        <v>100</v>
      </c>
      <c r="T39" s="1726" t="s">
        <v>25</v>
      </c>
      <c r="U39" s="1727">
        <f t="shared" si="11"/>
        <v>100</v>
      </c>
      <c r="V39" s="1726" t="s">
        <v>25</v>
      </c>
      <c r="W39" s="1727">
        <f t="shared" si="12"/>
        <v>100</v>
      </c>
      <c r="X39" s="1666"/>
      <c r="Y39" s="3463"/>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63"/>
      <c r="Q40" s="1616" t="str">
        <f t="shared" si="14"/>
        <v>临街宽度及深度</v>
      </c>
      <c r="R40" s="1726" t="s">
        <v>25</v>
      </c>
      <c r="S40" s="1727">
        <f t="shared" si="10"/>
        <v>100</v>
      </c>
      <c r="T40" s="1726" t="s">
        <v>25</v>
      </c>
      <c r="U40" s="1727">
        <f t="shared" si="11"/>
        <v>100</v>
      </c>
      <c r="V40" s="1726" t="s">
        <v>25</v>
      </c>
      <c r="W40" s="1727">
        <f t="shared" si="12"/>
        <v>100</v>
      </c>
      <c r="X40" s="1666"/>
      <c r="Y40" s="3463"/>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63"/>
      <c r="Q41" s="1616" t="str">
        <f t="shared" si="14"/>
        <v>宗地开发程度</v>
      </c>
      <c r="R41" s="1681" t="s">
        <v>25</v>
      </c>
      <c r="S41" s="1682">
        <f t="shared" si="10"/>
        <v>100</v>
      </c>
      <c r="T41" s="1681" t="s">
        <v>25</v>
      </c>
      <c r="U41" s="1682">
        <f t="shared" si="11"/>
        <v>100</v>
      </c>
      <c r="V41" s="1681" t="s">
        <v>25</v>
      </c>
      <c r="W41" s="1682">
        <f t="shared" si="12"/>
        <v>100</v>
      </c>
      <c r="X41" s="1683"/>
      <c r="Y41" s="3463"/>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63" t="s">
        <v>2275</v>
      </c>
      <c r="Q42" s="1616" t="str">
        <f t="shared" si="14"/>
        <v>工程地质条件</v>
      </c>
      <c r="R42" s="1726" t="s">
        <v>25</v>
      </c>
      <c r="S42" s="1727">
        <f t="shared" si="10"/>
        <v>100</v>
      </c>
      <c r="T42" s="1726" t="s">
        <v>25</v>
      </c>
      <c r="U42" s="1727">
        <f t="shared" si="11"/>
        <v>100</v>
      </c>
      <c r="V42" s="1726" t="s">
        <v>25</v>
      </c>
      <c r="W42" s="1727">
        <f t="shared" si="12"/>
        <v>100</v>
      </c>
      <c r="X42" s="1666"/>
      <c r="Y42" s="3463"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63"/>
      <c r="Q43" s="1616">
        <f t="shared" si="14"/>
        <v>111</v>
      </c>
      <c r="R43" s="1726" t="s">
        <v>25</v>
      </c>
      <c r="S43" s="1727">
        <f t="shared" si="10"/>
        <v>100</v>
      </c>
      <c r="T43" s="1726" t="s">
        <v>25</v>
      </c>
      <c r="U43" s="1727">
        <f t="shared" si="11"/>
        <v>100</v>
      </c>
      <c r="V43" s="1726" t="s">
        <v>25</v>
      </c>
      <c r="W43" s="1727">
        <f t="shared" si="12"/>
        <v>100</v>
      </c>
      <c r="X43" s="1666"/>
      <c r="Y43" s="346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63"/>
      <c r="Q44" s="1616">
        <f t="shared" si="14"/>
        <v>111</v>
      </c>
      <c r="R44" s="1726" t="s">
        <v>25</v>
      </c>
      <c r="S44" s="1727">
        <f t="shared" si="10"/>
        <v>100</v>
      </c>
      <c r="T44" s="1726" t="s">
        <v>25</v>
      </c>
      <c r="U44" s="1727">
        <f t="shared" si="11"/>
        <v>100</v>
      </c>
      <c r="V44" s="1726" t="s">
        <v>25</v>
      </c>
      <c r="W44" s="1727">
        <f t="shared" si="12"/>
        <v>100</v>
      </c>
      <c r="X44" s="1666"/>
      <c r="Y44" s="3463"/>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63"/>
      <c r="Q45" s="1616">
        <f t="shared" si="14"/>
        <v>111</v>
      </c>
      <c r="R45" s="1768" t="s">
        <v>25</v>
      </c>
      <c r="S45" s="1769">
        <f t="shared" si="10"/>
        <v>100</v>
      </c>
      <c r="T45" s="1768" t="s">
        <v>25</v>
      </c>
      <c r="U45" s="1769">
        <f t="shared" si="11"/>
        <v>100</v>
      </c>
      <c r="V45" s="1768" t="s">
        <v>25</v>
      </c>
      <c r="W45" s="1769">
        <f t="shared" si="12"/>
        <v>100</v>
      </c>
      <c r="X45" s="1770"/>
      <c r="Y45" s="3463"/>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69" t="str">
        <f>A46</f>
        <v>成交单价</v>
      </c>
      <c r="Q46" s="3469"/>
      <c r="R46" s="3451">
        <f>E46</f>
        <v>0</v>
      </c>
      <c r="S46" s="3451"/>
      <c r="T46" s="3451">
        <f>G46</f>
        <v>0</v>
      </c>
      <c r="U46" s="3451"/>
      <c r="V46" s="3451">
        <f>I46</f>
        <v>0</v>
      </c>
      <c r="W46" s="3451"/>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469" t="str">
        <f>A47</f>
        <v>比较价值（元/平方米）</v>
      </c>
      <c r="Q47" s="3469"/>
      <c r="R47" s="3524" t="e">
        <f>ROUND(PRODUCT(R46,AA7:AA45),0)</f>
        <v>#DIV/0!</v>
      </c>
      <c r="S47" s="3524"/>
      <c r="T47" s="3524" t="e">
        <f>ROUND(PRODUCT(T46,AB7:AB45),0)</f>
        <v>#DIV/0!</v>
      </c>
      <c r="U47" s="3524"/>
      <c r="V47" s="3524" t="e">
        <f>ROUND(PRODUCT(V46,AC7:AC45),0)</f>
        <v>#DIV/0!</v>
      </c>
      <c r="W47" s="3524"/>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75" t="str">
        <f>A48</f>
        <v>估价对象XX用房的比较价值（楼面单价，元/平方米）</v>
      </c>
      <c r="Q48" s="3476"/>
      <c r="R48" s="3525" t="e">
        <f>ROUND(IF(D47="简单平均",AVERAGE(R47:W47),R47*F47+T47*H47+V47*J47),0)</f>
        <v>#DIV/0!</v>
      </c>
      <c r="S48" s="3525"/>
      <c r="T48" s="3525"/>
      <c r="U48" s="3525"/>
      <c r="V48" s="3525"/>
      <c r="W48" s="3525"/>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2014-7-1</v>
      </c>
      <c r="D68" s="2041">
        <f>EDATE(C68,-3)</f>
        <v>41730</v>
      </c>
      <c r="E68" s="2041">
        <f t="shared" ref="E68:O68" si="18">EDATE(D68,-3)</f>
        <v>41640</v>
      </c>
      <c r="F68" s="2041">
        <f t="shared" si="18"/>
        <v>41548</v>
      </c>
      <c r="G68" s="2041">
        <f t="shared" si="18"/>
        <v>41456</v>
      </c>
      <c r="H68" s="2041">
        <f t="shared" si="18"/>
        <v>41365</v>
      </c>
      <c r="I68" s="2041">
        <f t="shared" si="18"/>
        <v>41275</v>
      </c>
      <c r="J68" s="2041">
        <f t="shared" si="18"/>
        <v>41183</v>
      </c>
      <c r="K68" s="2041">
        <f t="shared" si="18"/>
        <v>41091</v>
      </c>
      <c r="L68" s="2041">
        <f t="shared" si="18"/>
        <v>41000</v>
      </c>
      <c r="M68" s="2041">
        <f t="shared" si="18"/>
        <v>40909</v>
      </c>
      <c r="N68" s="2041">
        <f t="shared" si="18"/>
        <v>40817</v>
      </c>
      <c r="O68" s="2041">
        <f t="shared" si="18"/>
        <v>40725</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2014-3</v>
      </c>
      <c r="D70" s="2049" t="str">
        <f>YEAR(D68)&amp;"-"&amp;ROUNDUP(MONTH(D68)/3,0)</f>
        <v>2014-2</v>
      </c>
      <c r="E70" s="2049" t="str">
        <f t="shared" ref="E70:O70" si="19">YEAR(E68)&amp;"-"&amp;ROUNDUP(MONTH(E68)/3,0)</f>
        <v>2014-1</v>
      </c>
      <c r="F70" s="2049" t="str">
        <f t="shared" si="19"/>
        <v>2013-4</v>
      </c>
      <c r="G70" s="2049" t="str">
        <f t="shared" si="19"/>
        <v>2013-3</v>
      </c>
      <c r="H70" s="2049" t="str">
        <f t="shared" si="19"/>
        <v>2013-2</v>
      </c>
      <c r="I70" s="2049" t="str">
        <f t="shared" si="19"/>
        <v>2013-1</v>
      </c>
      <c r="J70" s="2049" t="str">
        <f t="shared" si="19"/>
        <v>2012-4</v>
      </c>
      <c r="K70" s="2049" t="str">
        <f t="shared" si="19"/>
        <v>2012-3</v>
      </c>
      <c r="L70" s="2049" t="str">
        <f t="shared" si="19"/>
        <v>2012-2</v>
      </c>
      <c r="M70" s="2049" t="str">
        <f t="shared" si="19"/>
        <v>2012-1</v>
      </c>
      <c r="N70" s="2049" t="str">
        <f t="shared" si="19"/>
        <v>2011-4</v>
      </c>
      <c r="O70" s="2049" t="str">
        <f t="shared" si="19"/>
        <v>2011-3</v>
      </c>
      <c r="P70" s="2050"/>
    </row>
    <row r="71" spans="1:17" s="1685" customFormat="1" ht="29.25" customHeight="1">
      <c r="A71" s="2052" t="s">
        <v>2475</v>
      </c>
      <c r="B71" s="2053" t="str">
        <f>"北京市平均增长率"&amp;TEXT(SUMIF(基准地价修正!N21:N25,A71,基准地价修正!P21:P25),"0.00%")</f>
        <v>北京市平均增长率1.95%</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4" t="s">
        <v>2247</v>
      </c>
      <c r="D4" s="3495"/>
      <c r="E4" s="3496" t="s">
        <v>2248</v>
      </c>
      <c r="F4" s="3497"/>
      <c r="G4" s="3494" t="s">
        <v>2249</v>
      </c>
      <c r="H4" s="3495"/>
      <c r="I4" s="3494" t="s">
        <v>2250</v>
      </c>
      <c r="J4" s="3495"/>
      <c r="K4" s="496" t="s">
        <v>2251</v>
      </c>
      <c r="L4" s="3025"/>
      <c r="M4" s="3026"/>
      <c r="N4" s="3026"/>
      <c r="O4" s="3026"/>
      <c r="P4" s="3498" t="s">
        <v>2252</v>
      </c>
      <c r="Q4" s="3499"/>
      <c r="R4" s="3504" t="s">
        <v>2248</v>
      </c>
      <c r="S4" s="3505"/>
      <c r="T4" s="3504" t="s">
        <v>2249</v>
      </c>
      <c r="U4" s="3505"/>
      <c r="V4" s="3510" t="s">
        <v>2250</v>
      </c>
      <c r="W4" s="3510"/>
      <c r="X4" s="1335"/>
      <c r="Y4" s="3504" t="s">
        <v>2252</v>
      </c>
      <c r="Z4" s="3505"/>
      <c r="AA4" s="3491" t="s">
        <v>2248</v>
      </c>
      <c r="AB4" s="3492" t="s">
        <v>2249</v>
      </c>
      <c r="AC4" s="3491" t="s">
        <v>2250</v>
      </c>
    </row>
    <row r="5" spans="1:29" ht="15">
      <c r="A5" s="297"/>
      <c r="B5" s="298"/>
      <c r="C5" s="3487" t="s">
        <v>2253</v>
      </c>
      <c r="D5" s="3488"/>
      <c r="E5" s="3511" t="s">
        <v>2254</v>
      </c>
      <c r="F5" s="3512"/>
      <c r="G5" s="3487" t="s">
        <v>2255</v>
      </c>
      <c r="H5" s="3488"/>
      <c r="I5" s="3487" t="s">
        <v>2256</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2257</v>
      </c>
      <c r="D6" s="3485"/>
      <c r="E6" s="3482" t="s">
        <v>2257</v>
      </c>
      <c r="F6" s="3483"/>
      <c r="G6" s="3484" t="s">
        <v>2257</v>
      </c>
      <c r="H6" s="3485"/>
      <c r="I6" s="3484" t="s">
        <v>2257</v>
      </c>
      <c r="J6" s="3485"/>
      <c r="K6" s="496" t="s">
        <v>2258</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2259</v>
      </c>
      <c r="B7" s="302"/>
      <c r="C7" s="303">
        <f>'数据-取费表'!B2</f>
        <v>41829</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9" t="s">
        <v>2260</v>
      </c>
      <c r="Q7" s="3513"/>
      <c r="R7" s="627" t="s">
        <v>25</v>
      </c>
      <c r="S7" s="628">
        <f t="shared" ref="S7:S15" si="0">F7</f>
        <v>0</v>
      </c>
      <c r="T7" s="627" t="s">
        <v>25</v>
      </c>
      <c r="U7" s="628">
        <f t="shared" ref="U7:U15" si="1">H7</f>
        <v>0</v>
      </c>
      <c r="V7" s="627" t="s">
        <v>25</v>
      </c>
      <c r="W7" s="628">
        <f t="shared" ref="W7:W15" si="2">J7</f>
        <v>0</v>
      </c>
      <c r="X7" s="629"/>
      <c r="Y7" s="3489" t="s">
        <v>2260</v>
      </c>
      <c r="Z7" s="3490"/>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9" t="s">
        <v>2263</v>
      </c>
      <c r="Q8" s="3490"/>
      <c r="R8" s="627" t="s">
        <v>25</v>
      </c>
      <c r="S8" s="628">
        <f t="shared" si="0"/>
        <v>0</v>
      </c>
      <c r="T8" s="627" t="s">
        <v>25</v>
      </c>
      <c r="U8" s="628">
        <f t="shared" si="1"/>
        <v>0</v>
      </c>
      <c r="V8" s="627" t="s">
        <v>25</v>
      </c>
      <c r="W8" s="628">
        <f t="shared" si="2"/>
        <v>0</v>
      </c>
      <c r="X8" s="629"/>
      <c r="Y8" s="3489" t="s">
        <v>2263</v>
      </c>
      <c r="Z8" s="3490"/>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6" t="s">
        <v>2266</v>
      </c>
      <c r="Q9" s="1327" t="str">
        <f t="shared" ref="Q9:Q15" si="6">B9</f>
        <v>用途</v>
      </c>
      <c r="R9" s="627" t="s">
        <v>25</v>
      </c>
      <c r="S9" s="628">
        <f t="shared" si="0"/>
        <v>100</v>
      </c>
      <c r="T9" s="627" t="s">
        <v>25</v>
      </c>
      <c r="U9" s="628">
        <f t="shared" si="1"/>
        <v>100</v>
      </c>
      <c r="V9" s="627" t="s">
        <v>25</v>
      </c>
      <c r="W9" s="628">
        <f t="shared" si="2"/>
        <v>100</v>
      </c>
      <c r="X9" s="629"/>
      <c r="Y9" s="3516"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486"/>
      <c r="Q10" s="1327" t="str">
        <f t="shared" si="6"/>
        <v>土地使用年限（年）</v>
      </c>
      <c r="R10" s="627" t="s">
        <v>25</v>
      </c>
      <c r="S10" s="628" t="e">
        <f t="shared" si="0"/>
        <v>#DIV/0!</v>
      </c>
      <c r="T10" s="627" t="s">
        <v>25</v>
      </c>
      <c r="U10" s="628" t="e">
        <f t="shared" si="1"/>
        <v>#DIV/0!</v>
      </c>
      <c r="V10" s="627" t="s">
        <v>25</v>
      </c>
      <c r="W10" s="628" t="e">
        <f t="shared" si="2"/>
        <v>#DIV/0!</v>
      </c>
      <c r="X10" s="629"/>
      <c r="Y10" s="3516"/>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14" t="s">
        <v>2271</v>
      </c>
      <c r="Q15" s="1334" t="str">
        <f t="shared" si="6"/>
        <v>产业集聚程度</v>
      </c>
      <c r="R15" s="631" t="s">
        <v>25</v>
      </c>
      <c r="S15" s="632">
        <f t="shared" si="0"/>
        <v>100</v>
      </c>
      <c r="T15" s="631" t="s">
        <v>25</v>
      </c>
      <c r="U15" s="632">
        <f t="shared" si="1"/>
        <v>100</v>
      </c>
      <c r="V15" s="631" t="s">
        <v>25</v>
      </c>
      <c r="W15" s="632">
        <f t="shared" si="2"/>
        <v>100</v>
      </c>
      <c r="X15" s="1335"/>
      <c r="Y15" s="3514"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15"/>
      <c r="Q16" s="1334"/>
      <c r="R16" s="631"/>
      <c r="S16" s="632"/>
      <c r="T16" s="631"/>
      <c r="U16" s="632"/>
      <c r="V16" s="631"/>
      <c r="W16" s="632"/>
      <c r="X16" s="1335"/>
      <c r="Y16" s="3515"/>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15"/>
      <c r="Q18" s="1334"/>
      <c r="R18" s="631"/>
      <c r="S18" s="632"/>
      <c r="T18" s="631"/>
      <c r="U18" s="632"/>
      <c r="V18" s="631"/>
      <c r="W18" s="632"/>
      <c r="X18" s="1335"/>
      <c r="Y18" s="3515"/>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15"/>
      <c r="Q19" s="1334" t="str">
        <f t="shared" ref="Q19:Q33" si="8">B19</f>
        <v>区域土地利用方向</v>
      </c>
      <c r="R19" s="631" t="s">
        <v>25</v>
      </c>
      <c r="S19" s="632">
        <f>F19</f>
        <v>100</v>
      </c>
      <c r="T19" s="631" t="s">
        <v>25</v>
      </c>
      <c r="U19" s="632">
        <f>H19</f>
        <v>100</v>
      </c>
      <c r="V19" s="631" t="s">
        <v>25</v>
      </c>
      <c r="W19" s="632">
        <f>J19</f>
        <v>100</v>
      </c>
      <c r="X19" s="1335"/>
      <c r="Y19" s="351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15"/>
      <c r="Q20" s="1334"/>
      <c r="R20" s="631"/>
      <c r="S20" s="632"/>
      <c r="T20" s="631"/>
      <c r="U20" s="632"/>
      <c r="V20" s="631"/>
      <c r="W20" s="632"/>
      <c r="X20" s="1335"/>
      <c r="Y20" s="3515"/>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15"/>
      <c r="Q21" s="1334" t="str">
        <f t="shared" si="8"/>
        <v>环境状况</v>
      </c>
      <c r="R21" s="631" t="s">
        <v>25</v>
      </c>
      <c r="S21" s="632">
        <f>F21</f>
        <v>100</v>
      </c>
      <c r="T21" s="631" t="s">
        <v>25</v>
      </c>
      <c r="U21" s="632">
        <f>H21</f>
        <v>100</v>
      </c>
      <c r="V21" s="631" t="s">
        <v>25</v>
      </c>
      <c r="W21" s="632">
        <f>J21</f>
        <v>100</v>
      </c>
      <c r="X21" s="1335"/>
      <c r="Y21" s="351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15"/>
      <c r="Q22" s="1334"/>
      <c r="R22" s="631"/>
      <c r="S22" s="632"/>
      <c r="T22" s="631"/>
      <c r="U22" s="632"/>
      <c r="V22" s="631"/>
      <c r="W22" s="632"/>
      <c r="X22" s="1335"/>
      <c r="Y22" s="3515"/>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15"/>
      <c r="Q23" s="1327" t="str">
        <f t="shared" si="8"/>
        <v>公共配套设施</v>
      </c>
      <c r="R23" s="627" t="s">
        <v>25</v>
      </c>
      <c r="S23" s="628">
        <f>F23</f>
        <v>100</v>
      </c>
      <c r="T23" s="627" t="s">
        <v>25</v>
      </c>
      <c r="U23" s="628">
        <f>H23</f>
        <v>100</v>
      </c>
      <c r="V23" s="627" t="s">
        <v>25</v>
      </c>
      <c r="W23" s="628">
        <f>J23</f>
        <v>100</v>
      </c>
      <c r="X23" s="629"/>
      <c r="Y23" s="351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15"/>
      <c r="Q24" s="1327"/>
      <c r="R24" s="627"/>
      <c r="S24" s="628"/>
      <c r="T24" s="627"/>
      <c r="U24" s="628"/>
      <c r="V24" s="627"/>
      <c r="W24" s="628"/>
      <c r="X24" s="629"/>
      <c r="Y24" s="3515"/>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15"/>
      <c r="Q25" s="1327" t="str">
        <f t="shared" ref="Q25" si="9">B25</f>
        <v>基础设施水平</v>
      </c>
      <c r="R25" s="627" t="s">
        <v>25</v>
      </c>
      <c r="S25" s="628">
        <f>F25</f>
        <v>100</v>
      </c>
      <c r="T25" s="627" t="s">
        <v>25</v>
      </c>
      <c r="U25" s="628">
        <f>H25</f>
        <v>100</v>
      </c>
      <c r="V25" s="627" t="s">
        <v>25</v>
      </c>
      <c r="W25" s="628">
        <f>J25</f>
        <v>100</v>
      </c>
      <c r="X25" s="629"/>
      <c r="Y25" s="351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15"/>
      <c r="Q26" s="1327"/>
      <c r="R26" s="627"/>
      <c r="S26" s="628"/>
      <c r="T26" s="627"/>
      <c r="U26" s="628"/>
      <c r="V26" s="627"/>
      <c r="W26" s="628"/>
      <c r="X26" s="629"/>
      <c r="Y26" s="3515"/>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1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5"/>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15"/>
      <c r="Q28" s="1334" t="str">
        <f t="shared" si="8"/>
        <v>毗邻道路的类型与等级</v>
      </c>
      <c r="R28" s="631" t="s">
        <v>25</v>
      </c>
      <c r="S28" s="632">
        <f t="shared" si="10"/>
        <v>100</v>
      </c>
      <c r="T28" s="631" t="s">
        <v>25</v>
      </c>
      <c r="U28" s="632">
        <f t="shared" si="11"/>
        <v>100</v>
      </c>
      <c r="V28" s="631" t="s">
        <v>25</v>
      </c>
      <c r="W28" s="632">
        <f t="shared" si="12"/>
        <v>100</v>
      </c>
      <c r="X28" s="1335"/>
      <c r="Y28" s="351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15"/>
      <c r="Q29" s="1334"/>
      <c r="R29" s="631"/>
      <c r="S29" s="632"/>
      <c r="T29" s="631"/>
      <c r="U29" s="632"/>
      <c r="V29" s="631"/>
      <c r="W29" s="632"/>
      <c r="X29" s="1335"/>
      <c r="Y29" s="3515"/>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15"/>
      <c r="Q30" s="1334" t="str">
        <f t="shared" si="8"/>
        <v>土地级别</v>
      </c>
      <c r="R30" s="631" t="s">
        <v>25</v>
      </c>
      <c r="S30" s="632">
        <f t="shared" si="10"/>
        <v>100</v>
      </c>
      <c r="T30" s="631" t="s">
        <v>25</v>
      </c>
      <c r="U30" s="632">
        <f t="shared" si="11"/>
        <v>100</v>
      </c>
      <c r="V30" s="631" t="s">
        <v>25</v>
      </c>
      <c r="W30" s="632">
        <f t="shared" si="12"/>
        <v>100</v>
      </c>
      <c r="X30" s="1335"/>
      <c r="Y30" s="351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15"/>
      <c r="Q31" s="1334">
        <f t="shared" si="8"/>
        <v>111</v>
      </c>
      <c r="R31" s="631" t="s">
        <v>25</v>
      </c>
      <c r="S31" s="632">
        <f t="shared" si="10"/>
        <v>100</v>
      </c>
      <c r="T31" s="631" t="s">
        <v>25</v>
      </c>
      <c r="U31" s="632">
        <f t="shared" si="11"/>
        <v>100</v>
      </c>
      <c r="V31" s="631" t="s">
        <v>25</v>
      </c>
      <c r="W31" s="632">
        <f t="shared" si="12"/>
        <v>100</v>
      </c>
      <c r="X31" s="1335"/>
      <c r="Y31" s="351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17" t="s">
        <v>2275</v>
      </c>
      <c r="Q32" s="1334">
        <f t="shared" si="8"/>
        <v>111</v>
      </c>
      <c r="R32" s="631" t="s">
        <v>25</v>
      </c>
      <c r="S32" s="632">
        <f t="shared" si="10"/>
        <v>100</v>
      </c>
      <c r="T32" s="631" t="s">
        <v>25</v>
      </c>
      <c r="U32" s="632">
        <f t="shared" si="11"/>
        <v>100</v>
      </c>
      <c r="V32" s="631" t="s">
        <v>25</v>
      </c>
      <c r="W32" s="632">
        <f t="shared" si="12"/>
        <v>100</v>
      </c>
      <c r="X32" s="1335"/>
      <c r="Y32" s="3518"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8"/>
      <c r="Q33" s="1334">
        <f t="shared" si="8"/>
        <v>111</v>
      </c>
      <c r="R33" s="634" t="s">
        <v>25</v>
      </c>
      <c r="S33" s="635">
        <f t="shared" si="10"/>
        <v>100</v>
      </c>
      <c r="T33" s="634" t="s">
        <v>25</v>
      </c>
      <c r="U33" s="635">
        <f t="shared" si="11"/>
        <v>100</v>
      </c>
      <c r="V33" s="634" t="s">
        <v>25</v>
      </c>
      <c r="W33" s="635">
        <f t="shared" si="12"/>
        <v>100</v>
      </c>
      <c r="X33" s="636"/>
      <c r="Y33" s="3518"/>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8"/>
      <c r="Q34" s="1334" t="str">
        <f>B34</f>
        <v>宗地面积</v>
      </c>
      <c r="R34" s="631" t="s">
        <v>25</v>
      </c>
      <c r="S34" s="632" t="e">
        <f t="shared" si="10"/>
        <v>#N/A</v>
      </c>
      <c r="T34" s="631" t="s">
        <v>25</v>
      </c>
      <c r="U34" s="632" t="e">
        <f t="shared" si="11"/>
        <v>#N/A</v>
      </c>
      <c r="V34" s="631" t="s">
        <v>25</v>
      </c>
      <c r="W34" s="632" t="e">
        <f t="shared" si="12"/>
        <v>#N/A</v>
      </c>
      <c r="X34" s="1335"/>
      <c r="Y34" s="3518"/>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18"/>
      <c r="Q35" s="1334" t="str">
        <f t="shared" ref="Q35:Q40" si="14">B35</f>
        <v>宗地形状</v>
      </c>
      <c r="R35" s="631" t="s">
        <v>25</v>
      </c>
      <c r="S35" s="632">
        <f t="shared" si="10"/>
        <v>100</v>
      </c>
      <c r="T35" s="631" t="s">
        <v>25</v>
      </c>
      <c r="U35" s="632">
        <f t="shared" si="11"/>
        <v>100</v>
      </c>
      <c r="V35" s="631" t="s">
        <v>25</v>
      </c>
      <c r="W35" s="632">
        <f t="shared" si="12"/>
        <v>100</v>
      </c>
      <c r="X35" s="1335"/>
      <c r="Y35" s="3518"/>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18"/>
      <c r="Q36" s="1334" t="str">
        <f t="shared" si="14"/>
        <v>宗地开发程度</v>
      </c>
      <c r="R36" s="627" t="s">
        <v>25</v>
      </c>
      <c r="S36" s="628">
        <f t="shared" si="10"/>
        <v>100</v>
      </c>
      <c r="T36" s="627" t="s">
        <v>25</v>
      </c>
      <c r="U36" s="628">
        <f t="shared" si="11"/>
        <v>100</v>
      </c>
      <c r="V36" s="627" t="s">
        <v>25</v>
      </c>
      <c r="W36" s="628">
        <f t="shared" si="12"/>
        <v>100</v>
      </c>
      <c r="X36" s="629"/>
      <c r="Y36" s="3518"/>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18" t="s">
        <v>2275</v>
      </c>
      <c r="Q37" s="1334" t="str">
        <f t="shared" si="14"/>
        <v>工程地质条件</v>
      </c>
      <c r="R37" s="631" t="s">
        <v>25</v>
      </c>
      <c r="S37" s="632">
        <f t="shared" si="10"/>
        <v>100</v>
      </c>
      <c r="T37" s="631" t="s">
        <v>25</v>
      </c>
      <c r="U37" s="632">
        <f t="shared" si="11"/>
        <v>100</v>
      </c>
      <c r="V37" s="631" t="s">
        <v>25</v>
      </c>
      <c r="W37" s="632">
        <f t="shared" si="12"/>
        <v>100</v>
      </c>
      <c r="X37" s="1335"/>
      <c r="Y37" s="3518"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8"/>
      <c r="Q38" s="1334">
        <f t="shared" si="14"/>
        <v>111</v>
      </c>
      <c r="R38" s="631" t="s">
        <v>25</v>
      </c>
      <c r="S38" s="632">
        <f t="shared" si="10"/>
        <v>100</v>
      </c>
      <c r="T38" s="631" t="s">
        <v>25</v>
      </c>
      <c r="U38" s="632">
        <f t="shared" si="11"/>
        <v>100</v>
      </c>
      <c r="V38" s="631" t="s">
        <v>25</v>
      </c>
      <c r="W38" s="632">
        <f t="shared" si="12"/>
        <v>100</v>
      </c>
      <c r="X38" s="1335"/>
      <c r="Y38" s="351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8"/>
      <c r="Q39" s="1334">
        <f t="shared" si="14"/>
        <v>111</v>
      </c>
      <c r="R39" s="631" t="s">
        <v>25</v>
      </c>
      <c r="S39" s="632">
        <f t="shared" si="10"/>
        <v>100</v>
      </c>
      <c r="T39" s="631" t="s">
        <v>25</v>
      </c>
      <c r="U39" s="632">
        <f t="shared" si="11"/>
        <v>100</v>
      </c>
      <c r="V39" s="631" t="s">
        <v>25</v>
      </c>
      <c r="W39" s="632">
        <f t="shared" si="12"/>
        <v>100</v>
      </c>
      <c r="X39" s="1335"/>
      <c r="Y39" s="351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8"/>
      <c r="Q40" s="1334">
        <f t="shared" si="14"/>
        <v>111</v>
      </c>
      <c r="R40" s="634" t="s">
        <v>25</v>
      </c>
      <c r="S40" s="635">
        <f t="shared" si="10"/>
        <v>100</v>
      </c>
      <c r="T40" s="634" t="s">
        <v>25</v>
      </c>
      <c r="U40" s="635">
        <f t="shared" si="11"/>
        <v>100</v>
      </c>
      <c r="V40" s="634" t="s">
        <v>25</v>
      </c>
      <c r="W40" s="635">
        <f t="shared" si="12"/>
        <v>100</v>
      </c>
      <c r="X40" s="636"/>
      <c r="Y40" s="3518"/>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486" t="str">
        <f>A41</f>
        <v>成交单价</v>
      </c>
      <c r="Q41" s="3486"/>
      <c r="R41" s="3510">
        <f>E41</f>
        <v>0</v>
      </c>
      <c r="S41" s="3510"/>
      <c r="T41" s="3510">
        <f>G41</f>
        <v>0</v>
      </c>
      <c r="U41" s="3510"/>
      <c r="V41" s="3510">
        <f>I41</f>
        <v>0</v>
      </c>
      <c r="W41" s="3510"/>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486" t="str">
        <f>A42</f>
        <v>比较价值（元/平方米）</v>
      </c>
      <c r="Q42" s="3486"/>
      <c r="R42" s="3527" t="e">
        <f>ROUND(PRODUCT(R41,AA7:AA40),0)</f>
        <v>#DIV/0!</v>
      </c>
      <c r="S42" s="3527"/>
      <c r="T42" s="3527" t="e">
        <f>ROUND(PRODUCT(T41,AB7:AB40),0)</f>
        <v>#DIV/0!</v>
      </c>
      <c r="U42" s="3527"/>
      <c r="V42" s="3527" t="e">
        <f>ROUND(PRODUCT(V41,AC7:AC40),0)</f>
        <v>#DIV/0!</v>
      </c>
      <c r="W42" s="3527"/>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21" t="str">
        <f>A43</f>
        <v>估价对象XX用房的比较价值（楼面单价，元/平方米）</v>
      </c>
      <c r="Q43" s="3522"/>
      <c r="R43" s="3526" t="e">
        <f>ROUND(IF(D42="简单平均",AVERAGE(R42:W42),R42*F42+T42*H42+V42*J42),0)</f>
        <v>#DIV/0!</v>
      </c>
      <c r="S43" s="3526"/>
      <c r="T43" s="3526"/>
      <c r="U43" s="3526"/>
      <c r="V43" s="3526"/>
      <c r="W43" s="3526"/>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2014-7-1</v>
      </c>
      <c r="D63" s="1182">
        <f>EDATE(C63,-3)</f>
        <v>41730</v>
      </c>
      <c r="E63" s="1182">
        <f t="shared" ref="E63:O63" si="18">EDATE(D63,-3)</f>
        <v>41640</v>
      </c>
      <c r="F63" s="1182">
        <f t="shared" si="18"/>
        <v>41548</v>
      </c>
      <c r="G63" s="1182">
        <f t="shared" si="18"/>
        <v>41456</v>
      </c>
      <c r="H63" s="1182">
        <f t="shared" si="18"/>
        <v>41365</v>
      </c>
      <c r="I63" s="1182">
        <f t="shared" si="18"/>
        <v>41275</v>
      </c>
      <c r="J63" s="1182">
        <f t="shared" si="18"/>
        <v>41183</v>
      </c>
      <c r="K63" s="1182">
        <f t="shared" si="18"/>
        <v>41091</v>
      </c>
      <c r="L63" s="1182">
        <f t="shared" si="18"/>
        <v>41000</v>
      </c>
      <c r="M63" s="1182">
        <f t="shared" si="18"/>
        <v>40909</v>
      </c>
      <c r="N63" s="1182">
        <f t="shared" si="18"/>
        <v>40817</v>
      </c>
      <c r="O63" s="1182">
        <f t="shared" si="18"/>
        <v>40725</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2014-3</v>
      </c>
      <c r="D65" s="1183" t="str">
        <f t="shared" ref="D65:O65" si="19">YEAR(D63)&amp;"-"&amp;ROUNDUP(MONTH(D63)/3,0)</f>
        <v>2014-2</v>
      </c>
      <c r="E65" s="1183" t="str">
        <f t="shared" si="19"/>
        <v>2014-1</v>
      </c>
      <c r="F65" s="1183" t="str">
        <f t="shared" si="19"/>
        <v>2013-4</v>
      </c>
      <c r="G65" s="1183" t="str">
        <f t="shared" si="19"/>
        <v>2013-3</v>
      </c>
      <c r="H65" s="1183" t="str">
        <f t="shared" si="19"/>
        <v>2013-2</v>
      </c>
      <c r="I65" s="1183" t="str">
        <f t="shared" si="19"/>
        <v>2013-1</v>
      </c>
      <c r="J65" s="1183" t="str">
        <f t="shared" si="19"/>
        <v>2012-4</v>
      </c>
      <c r="K65" s="1183" t="str">
        <f t="shared" si="19"/>
        <v>2012-3</v>
      </c>
      <c r="L65" s="1183" t="str">
        <f t="shared" si="19"/>
        <v>2012-2</v>
      </c>
      <c r="M65" s="1183" t="str">
        <f t="shared" si="19"/>
        <v>2012-1</v>
      </c>
      <c r="N65" s="1183" t="str">
        <f t="shared" si="19"/>
        <v>2011-4</v>
      </c>
      <c r="O65" s="1183" t="str">
        <f t="shared" si="19"/>
        <v>2011-3</v>
      </c>
      <c r="P65" s="393"/>
    </row>
    <row r="66" spans="1:17" s="25" customFormat="1" ht="33.75" customHeight="1">
      <c r="A66" s="1600" t="s">
        <v>2494</v>
      </c>
      <c r="B66" s="200" t="str">
        <f>"北京市平均增长率"&amp;TEXT(基准地价修正!P24,"0.00%")</f>
        <v>北京市平均增长率1.20%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估价对象为北京市房地产，为XX所有。根据《》[]，估价对象建筑面积为118平方米。根据《》[]，估价对象（分摊）出让国有建设用地使用权面积为平方米。估价对象用途为。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2014年7月9日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本次估价的“房地产价值”是指在正常市场情况下，在价值时点2014年7月9日，估价对象规划用途为，假定未设立法定优先受偿款下的房地产市场价值。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topLeftCell="A68"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118</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1825106</v>
      </c>
      <c r="C2" s="2108" t="s">
        <v>2504</v>
      </c>
      <c r="D2" s="1602" t="s">
        <v>2505</v>
      </c>
      <c r="E2" s="2109" t="s">
        <v>2885</v>
      </c>
      <c r="F2" s="1602" t="s">
        <v>2506</v>
      </c>
      <c r="G2" s="2110" t="str">
        <f>项目基本情况!F9</f>
        <v>五级</v>
      </c>
      <c r="H2" s="1603" t="s">
        <v>2507</v>
      </c>
      <c r="I2" s="2110" t="str">
        <f>项目基本情况!F10</f>
        <v>Ⅴ-08</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28813</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15467</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20682</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45"/>
      <c r="B4" s="3546"/>
      <c r="C4" s="3546"/>
      <c r="D4" s="3547"/>
      <c r="E4" s="3547"/>
      <c r="F4" s="3547"/>
      <c r="G4" s="3547"/>
      <c r="H4" s="3547"/>
      <c r="I4" s="3547"/>
      <c r="J4" s="3548"/>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16685</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14830</v>
      </c>
      <c r="D5" s="2119">
        <f>ROUND(C6+C16,0)</f>
        <v>14830</v>
      </c>
      <c r="E5" s="2119"/>
      <c r="F5" s="2120"/>
      <c r="G5" s="2121"/>
      <c r="H5" s="2121"/>
      <c r="I5" s="2121"/>
      <c r="J5" s="2078"/>
      <c r="K5" s="1667"/>
      <c r="L5" s="2112" t="s">
        <v>2519</v>
      </c>
      <c r="M5" s="2113">
        <f>SUMPRODUCT((区片价!B76:B109=I2)*(区片价!C3:F3=E2)*(区片价!C76:F109))</f>
        <v>14830</v>
      </c>
      <c r="N5" s="2114">
        <f>SUMPRODUCT((因素修正幅度!B76:B109=I2)*(因素修正幅度!C3:F3=E2)*(因素修正幅度!C76:F109))</f>
        <v>9.8000000000000004E-2</v>
      </c>
      <c r="O5" s="3050"/>
      <c r="P5" s="3050"/>
      <c r="Q5" s="3050"/>
      <c r="R5" s="2104">
        <v>4</v>
      </c>
      <c r="S5" s="2104">
        <f>ROUND(IF(G3&gt;1,IF(R5&lt;7,SUMPRODUCT((B93:B98=R5)*(C92:N92=G2)*(C93:N98)),SUMIF(C92:N92,G2,C100:N100)),IF(R5&lt;7,SUMPRODUCT((B102:B107=R5)*(C92:N92=G2)*(C102:N107)),SUMIF(C92:N92,G2,C109:N109))),4)</f>
        <v>0.86560000000000004</v>
      </c>
      <c r="T5" s="2104">
        <f t="shared" si="0"/>
        <v>13388</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14830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11400</v>
      </c>
      <c r="U6" s="2115"/>
      <c r="V6" s="2104">
        <f t="shared" si="1"/>
        <v>0</v>
      </c>
      <c r="W6" s="2105"/>
      <c r="X6" s="2105"/>
      <c r="Y6" s="2105"/>
      <c r="Z6" s="2105"/>
      <c r="AA6" s="2105"/>
      <c r="AB6" s="2105"/>
      <c r="AC6" s="2122"/>
      <c r="AD6" s="2123"/>
      <c r="AE6" s="2123"/>
      <c r="AF6" s="2123"/>
      <c r="AG6" s="2123"/>
      <c r="AH6" s="2123"/>
      <c r="AI6" s="2123"/>
      <c r="AJ6" s="2124"/>
    </row>
    <row r="7" spans="1:36" ht="24">
      <c r="A7" s="3549"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10025</v>
      </c>
      <c r="U7" s="2115"/>
      <c r="V7" s="2104">
        <f t="shared" si="1"/>
        <v>0</v>
      </c>
      <c r="W7" s="2136" t="s">
        <v>2526</v>
      </c>
      <c r="X7" s="2137" t="str">
        <f>G2</f>
        <v>五级</v>
      </c>
      <c r="Y7" s="2137" t="s">
        <v>2527</v>
      </c>
      <c r="Z7" s="2138">
        <f>G3</f>
        <v>2.5</v>
      </c>
      <c r="AA7" s="2105"/>
      <c r="AB7" s="2105"/>
      <c r="AC7" s="2105"/>
      <c r="AD7" s="2106"/>
      <c r="AE7" s="2106"/>
      <c r="AF7" s="2106"/>
      <c r="AG7" s="2106"/>
      <c r="AH7" s="2106"/>
      <c r="AI7" s="2106"/>
      <c r="AJ7" s="2107"/>
    </row>
    <row r="8" spans="1:36" ht="15">
      <c r="A8" s="3550"/>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43" t="s">
        <v>2531</v>
      </c>
      <c r="X8" s="3544"/>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50"/>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44"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50"/>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44"/>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50"/>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44"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49">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44"/>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51"/>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44"/>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51"/>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52"/>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8">
        <f>IF(E2="办公",2,IF(E2="工业",2,IF(E2="住宅",3,IF(E2="商业",IF(C8="不临58条商业街",2,3)))))</f>
        <v>3</v>
      </c>
      <c r="B16" s="1631" t="s">
        <v>2575</v>
      </c>
      <c r="C16" s="1607">
        <f>ROUND(IF(F17="与级别开发程度一致",0,(G17-E17)/C17),0)</f>
        <v>0</v>
      </c>
      <c r="D16" s="3541" t="s">
        <v>2579</v>
      </c>
      <c r="E16" s="3542"/>
      <c r="F16" s="3541" t="s">
        <v>2576</v>
      </c>
      <c r="G16" s="3542"/>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29"/>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1.0326</v>
      </c>
      <c r="D19" s="2190" t="s">
        <v>2585</v>
      </c>
      <c r="E19" s="2191">
        <v>41640</v>
      </c>
      <c r="F19" s="2190" t="s">
        <v>2586</v>
      </c>
      <c r="G19" s="2192">
        <f>'数据-取费表'!B2</f>
        <v>41829</v>
      </c>
      <c r="H19" s="2193" t="s">
        <v>2722</v>
      </c>
      <c r="I19" s="2194" t="str">
        <f>IF(H19="季度增幅（自定义）",SUMIF(N21:N24,E2,O21:O24),"")</f>
        <v/>
      </c>
      <c r="J19" s="2195"/>
      <c r="K19" s="3052"/>
      <c r="L19" s="2076" t="s">
        <v>2587</v>
      </c>
      <c r="M19" s="2196">
        <f>ROUND(SUMIF(地价!B2:F2,E2,地价!B34:F34),0)</f>
        <v>423</v>
      </c>
      <c r="N19" s="2197" t="s">
        <v>2588</v>
      </c>
      <c r="O19" s="2198">
        <f>ROUNDDOWN(DATEDIF(E19,G19,"M")/3,0)</f>
        <v>2</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436</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1.95E-2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1.95E-2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2.1700000000000001E-2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1.01</v>
      </c>
      <c r="D24" s="2222"/>
      <c r="E24" s="2223"/>
      <c r="F24" s="2223"/>
      <c r="G24" s="2223"/>
      <c r="H24" s="2223"/>
      <c r="I24" s="2223"/>
      <c r="J24" s="2224"/>
      <c r="K24" s="3052"/>
      <c r="L24" s="3052"/>
      <c r="M24" s="3052"/>
      <c r="N24" s="2225" t="s">
        <v>2607</v>
      </c>
      <c r="O24" s="2226"/>
      <c r="P24" s="2227">
        <f>SUMPRODUCT((地价!A3:A34=YEAR(G19)&amp;"-"&amp;ROUNDUP(MONTH(G19)/3,0))*(地价!AD2:AH2=N24)*(地价!AD3:AH34))</f>
        <v>1.2E-2</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2.07E-2</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1825106</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15467</v>
      </c>
      <c r="D29" s="2244">
        <f>项目基本情况!C12</f>
        <v>118</v>
      </c>
      <c r="E29" s="2031">
        <f>ROUND(C29*D29,0)</f>
        <v>1825106</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3867</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8" t="s">
        <v>2625</v>
      </c>
      <c r="B33" s="2257" t="s">
        <v>2626</v>
      </c>
      <c r="C33" s="54">
        <f>ROUND(D5*C19*C20*C24*F33,0)</f>
        <v>10827</v>
      </c>
      <c r="D33" s="2244"/>
      <c r="E33" s="50">
        <f t="shared" ref="E33:E39" si="6">ROUND(C33*D33,0)</f>
        <v>0</v>
      </c>
      <c r="F33" s="50">
        <f>SUMIF(修正!A45:A56,G2,修正!B45:B56)</f>
        <v>0.7</v>
      </c>
      <c r="G33" s="50">
        <f t="shared" ref="G33" si="7">ROUND(IF(E2="工业",C33*$M$39,C33*$M$38),0)</f>
        <v>2707</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39"/>
      <c r="B34" s="2162" t="s">
        <v>2627</v>
      </c>
      <c r="C34" s="54">
        <f>ROUND(D5*C19*C20*C24*F34,0)</f>
        <v>6187</v>
      </c>
      <c r="D34" s="2244"/>
      <c r="E34" s="50">
        <f t="shared" si="6"/>
        <v>0</v>
      </c>
      <c r="F34" s="50">
        <f>SUMIF(修正!A45:A56,G2,修正!C45:C56)</f>
        <v>0.4</v>
      </c>
      <c r="G34" s="50">
        <f>ROUND(IF(E2="工业",C34*$M$39,C34*$M$38),0)</f>
        <v>1547</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39"/>
      <c r="B35" s="2162" t="s">
        <v>2628</v>
      </c>
      <c r="C35" s="54">
        <f>ROUND(D5*C19*C20*C24*F35,0)</f>
        <v>4331</v>
      </c>
      <c r="D35" s="2244"/>
      <c r="E35" s="50">
        <f t="shared" si="6"/>
        <v>0</v>
      </c>
      <c r="F35" s="50">
        <f>SUMIF(修正!A45:A56,G2,修正!D45:D56)</f>
        <v>0.28000000000000003</v>
      </c>
      <c r="G35" s="50">
        <f>ROUND(IF(E2="工业",C35*$M$39,C35*$M$38),0)</f>
        <v>1083</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0"/>
      <c r="B36" s="2162" t="s">
        <v>2629</v>
      </c>
      <c r="C36" s="54">
        <f>ROUND(D5*C19*C20*C24*F36,0)</f>
        <v>3867</v>
      </c>
      <c r="D36" s="2244"/>
      <c r="E36" s="50">
        <f t="shared" si="6"/>
        <v>0</v>
      </c>
      <c r="F36" s="50">
        <f>SUMIF(修正!A45:A56,G2,修正!E45:E56)</f>
        <v>0.25</v>
      </c>
      <c r="G36" s="50">
        <f>ROUND(IF(E2="工业",C36*$M$39,C36*$M$38),0)</f>
        <v>967</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3867</v>
      </c>
      <c r="D37" s="2244"/>
      <c r="E37" s="50">
        <f t="shared" si="6"/>
        <v>0</v>
      </c>
      <c r="F37" s="54">
        <f>SUMIF(修正!A45:A56,G2,修正!F45:F56)</f>
        <v>0.25</v>
      </c>
      <c r="G37" s="50">
        <f>ROUND(IF(E2="工业",C37*$M$39,C37*$M$38),0)</f>
        <v>967</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1.01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30</v>
      </c>
      <c r="D70" s="2283">
        <f t="shared" ref="D70:D78" si="20">SUMIF($J$69:$N$69,C70,J70:N70)</f>
        <v>6.7999999999999996E-3</v>
      </c>
      <c r="E70" s="2284">
        <f>ROUND(SUM(D70:D78),4)</f>
        <v>0.01</v>
      </c>
      <c r="F70" s="2285">
        <f>IF(E2="住宅",SUMIF(L1:L12,G2,N1:N12),"——")</f>
        <v>9.8000000000000004E-2</v>
      </c>
      <c r="G70" s="2286">
        <f>H70</f>
        <v>6.7999999999999996E-3</v>
      </c>
      <c r="H70" s="2287">
        <f t="shared" ref="H70:H78" si="21">IFERROR(ROUNDDOWN($F$70*I70/2,4),"——")</f>
        <v>6.7999999999999996E-3</v>
      </c>
      <c r="I70" s="2288">
        <v>0.14000000000000001</v>
      </c>
      <c r="J70" s="2289">
        <f t="shared" ref="J70:J78" si="22">K70+$G70</f>
        <v>1.3599999999999999E-2</v>
      </c>
      <c r="K70" s="2289">
        <f t="shared" ref="K70:K78" si="23">$L70+$G70</f>
        <v>6.7999999999999996E-3</v>
      </c>
      <c r="L70" s="2289">
        <v>0</v>
      </c>
      <c r="M70" s="2289">
        <f t="shared" ref="M70:N78" si="24">L70-$G70</f>
        <v>-6.7999999999999996E-3</v>
      </c>
      <c r="N70" s="2289">
        <f t="shared" si="24"/>
        <v>-1.3599999999999999E-2</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32</v>
      </c>
      <c r="D71" s="2283">
        <f t="shared" si="20"/>
        <v>-1.47E-2</v>
      </c>
      <c r="E71" s="2291"/>
      <c r="F71" s="2285"/>
      <c r="G71" s="2286">
        <f t="shared" ref="G71:G78" si="25">H71</f>
        <v>1.47E-2</v>
      </c>
      <c r="H71" s="2287">
        <f t="shared" si="21"/>
        <v>1.47E-2</v>
      </c>
      <c r="I71" s="2288">
        <v>0.3</v>
      </c>
      <c r="J71" s="2289">
        <f t="shared" si="22"/>
        <v>2.9399999999999999E-2</v>
      </c>
      <c r="K71" s="2289">
        <f t="shared" si="23"/>
        <v>1.47E-2</v>
      </c>
      <c r="L71" s="2289">
        <v>0</v>
      </c>
      <c r="M71" s="2289">
        <f t="shared" si="24"/>
        <v>-1.47E-2</v>
      </c>
      <c r="N71" s="2289">
        <f t="shared" si="24"/>
        <v>-2.9399999999999999E-2</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31</v>
      </c>
      <c r="D72" s="2283">
        <f t="shared" si="20"/>
        <v>0</v>
      </c>
      <c r="E72" s="2291"/>
      <c r="F72" s="2285"/>
      <c r="G72" s="2286">
        <f t="shared" si="25"/>
        <v>3.8999999999999998E-3</v>
      </c>
      <c r="H72" s="2287">
        <f t="shared" si="21"/>
        <v>3.8999999999999998E-3</v>
      </c>
      <c r="I72" s="2288">
        <v>0.08</v>
      </c>
      <c r="J72" s="2289">
        <f t="shared" si="22"/>
        <v>7.7999999999999996E-3</v>
      </c>
      <c r="K72" s="2289">
        <f t="shared" si="23"/>
        <v>3.8999999999999998E-3</v>
      </c>
      <c r="L72" s="2289">
        <v>0</v>
      </c>
      <c r="M72" s="2289">
        <f t="shared" si="24"/>
        <v>-3.8999999999999998E-3</v>
      </c>
      <c r="N72" s="2289">
        <f t="shared" si="24"/>
        <v>-7.7999999999999996E-3</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31</v>
      </c>
      <c r="D73" s="2283">
        <f t="shared" si="20"/>
        <v>0</v>
      </c>
      <c r="E73" s="2291"/>
      <c r="F73" s="2285"/>
      <c r="G73" s="2286">
        <f t="shared" si="25"/>
        <v>1.9E-3</v>
      </c>
      <c r="H73" s="2287">
        <f t="shared" si="21"/>
        <v>1.9E-3</v>
      </c>
      <c r="I73" s="2288">
        <v>0.04</v>
      </c>
      <c r="J73" s="2289">
        <f t="shared" si="22"/>
        <v>3.8E-3</v>
      </c>
      <c r="K73" s="2289">
        <f t="shared" si="23"/>
        <v>1.9E-3</v>
      </c>
      <c r="L73" s="2289">
        <v>0</v>
      </c>
      <c r="M73" s="2289">
        <f t="shared" si="24"/>
        <v>-1.9E-3</v>
      </c>
      <c r="N73" s="2289">
        <f t="shared" si="24"/>
        <v>-3.8E-3</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30</v>
      </c>
      <c r="D74" s="2283">
        <f t="shared" si="20"/>
        <v>3.8999999999999998E-3</v>
      </c>
      <c r="E74" s="2291"/>
      <c r="F74" s="2285"/>
      <c r="G74" s="2286">
        <f t="shared" si="25"/>
        <v>3.8999999999999998E-3</v>
      </c>
      <c r="H74" s="2287">
        <f t="shared" si="21"/>
        <v>3.8999999999999998E-3</v>
      </c>
      <c r="I74" s="2288">
        <v>0.08</v>
      </c>
      <c r="J74" s="2289">
        <f t="shared" si="22"/>
        <v>7.7999999999999996E-3</v>
      </c>
      <c r="K74" s="2289">
        <f t="shared" si="23"/>
        <v>3.8999999999999998E-3</v>
      </c>
      <c r="L74" s="2289">
        <v>0</v>
      </c>
      <c r="M74" s="2289">
        <f t="shared" si="24"/>
        <v>-3.8999999999999998E-3</v>
      </c>
      <c r="N74" s="2289">
        <f t="shared" si="24"/>
        <v>-7.7999999999999996E-3</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1.1599999999999999E-2</v>
      </c>
      <c r="E75" s="2291"/>
      <c r="F75" s="2285"/>
      <c r="G75" s="2286">
        <f t="shared" si="25"/>
        <v>5.7999999999999996E-3</v>
      </c>
      <c r="H75" s="2287">
        <f t="shared" si="21"/>
        <v>5.7999999999999996E-3</v>
      </c>
      <c r="I75" s="2288">
        <v>0.12</v>
      </c>
      <c r="J75" s="2289">
        <f t="shared" si="22"/>
        <v>1.1599999999999999E-2</v>
      </c>
      <c r="K75" s="2289">
        <f t="shared" si="23"/>
        <v>5.7999999999999996E-3</v>
      </c>
      <c r="L75" s="2289">
        <v>0</v>
      </c>
      <c r="M75" s="2289">
        <f t="shared" si="24"/>
        <v>-5.7999999999999996E-3</v>
      </c>
      <c r="N75" s="2289">
        <f t="shared" si="24"/>
        <v>-1.1599999999999999E-2</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2.3999999999999998E-3</v>
      </c>
      <c r="E76" s="2291"/>
      <c r="F76" s="2285"/>
      <c r="G76" s="2286">
        <f t="shared" si="25"/>
        <v>2.3999999999999998E-3</v>
      </c>
      <c r="H76" s="2287">
        <f t="shared" si="21"/>
        <v>2.3999999999999998E-3</v>
      </c>
      <c r="I76" s="2288">
        <v>0.05</v>
      </c>
      <c r="J76" s="2289">
        <f t="shared" si="22"/>
        <v>4.7999999999999996E-3</v>
      </c>
      <c r="K76" s="2289">
        <f t="shared" si="23"/>
        <v>2.3999999999999998E-3</v>
      </c>
      <c r="L76" s="2289">
        <v>0</v>
      </c>
      <c r="M76" s="2289">
        <f t="shared" si="24"/>
        <v>-2.3999999999999998E-3</v>
      </c>
      <c r="N76" s="2289">
        <f t="shared" si="24"/>
        <v>-4.7999999999999996E-3</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31</v>
      </c>
      <c r="D77" s="2283">
        <f t="shared" si="20"/>
        <v>0</v>
      </c>
      <c r="E77" s="2291"/>
      <c r="F77" s="2285"/>
      <c r="G77" s="2286">
        <f t="shared" si="25"/>
        <v>7.3000000000000001E-3</v>
      </c>
      <c r="H77" s="2287">
        <f t="shared" si="21"/>
        <v>7.3000000000000001E-3</v>
      </c>
      <c r="I77" s="2288">
        <v>0.15</v>
      </c>
      <c r="J77" s="2289">
        <f t="shared" si="22"/>
        <v>1.46E-2</v>
      </c>
      <c r="K77" s="2289">
        <f t="shared" si="23"/>
        <v>7.3000000000000001E-3</v>
      </c>
      <c r="L77" s="2289">
        <v>0</v>
      </c>
      <c r="M77" s="2289">
        <f t="shared" si="24"/>
        <v>-7.3000000000000001E-3</v>
      </c>
      <c r="N77" s="2289">
        <f t="shared" si="24"/>
        <v>-1.46E-2</v>
      </c>
      <c r="Q77" s="3058"/>
      <c r="R77" s="3058"/>
      <c r="S77" s="3058"/>
      <c r="T77" s="3058"/>
      <c r="U77" s="3058"/>
      <c r="V77" s="3058"/>
      <c r="W77" s="3058"/>
      <c r="AA77" s="1624"/>
      <c r="AG77" s="2265"/>
    </row>
    <row r="78" spans="1:33" ht="24.75" thickBot="1">
      <c r="A78" s="2296" t="s">
        <v>2670</v>
      </c>
      <c r="B78" s="2302"/>
      <c r="C78" s="2166" t="s">
        <v>31</v>
      </c>
      <c r="D78" s="2283">
        <f t="shared" si="20"/>
        <v>0</v>
      </c>
      <c r="E78" s="2298"/>
      <c r="F78" s="2285"/>
      <c r="G78" s="2286">
        <f t="shared" si="25"/>
        <v>1.9E-3</v>
      </c>
      <c r="H78" s="2287">
        <f t="shared" si="21"/>
        <v>1.9E-3</v>
      </c>
      <c r="I78" s="2299">
        <v>0.04</v>
      </c>
      <c r="J78" s="2289">
        <f t="shared" si="22"/>
        <v>3.8E-3</v>
      </c>
      <c r="K78" s="2289">
        <f t="shared" si="23"/>
        <v>1.9E-3</v>
      </c>
      <c r="L78" s="2289">
        <v>0</v>
      </c>
      <c r="M78" s="2289">
        <f t="shared" si="24"/>
        <v>-1.9E-3</v>
      </c>
      <c r="N78" s="2289">
        <f t="shared" si="24"/>
        <v>-3.8E-3</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30" t="s">
        <v>2674</v>
      </c>
      <c r="B90" s="3530"/>
      <c r="C90" s="3530"/>
      <c r="D90" s="3530"/>
      <c r="E90" s="3530"/>
      <c r="F90" s="3530"/>
      <c r="G90" s="3530"/>
      <c r="H90" s="3530"/>
      <c r="I90" s="3530"/>
      <c r="J90" s="3530"/>
      <c r="K90" s="2306"/>
      <c r="L90" s="2306"/>
      <c r="M90" s="2306"/>
      <c r="N90" s="2306"/>
      <c r="Q90" s="3058"/>
      <c r="R90" s="3058"/>
      <c r="S90" s="3058"/>
      <c r="T90" s="3058"/>
      <c r="U90" s="3058"/>
      <c r="V90" s="3058"/>
      <c r="W90" s="3058"/>
    </row>
    <row r="91" spans="1:33">
      <c r="A91" s="3532" t="s">
        <v>2675</v>
      </c>
      <c r="B91" s="3532"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532"/>
      <c r="B92" s="3532"/>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33"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4"/>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4"/>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4"/>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4"/>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4"/>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4"/>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35"/>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3"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534"/>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34"/>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34"/>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34"/>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34"/>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34"/>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34"/>
      <c r="B108" s="3536"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35"/>
      <c r="B109" s="3537"/>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31" t="s">
        <v>2682</v>
      </c>
      <c r="B110" s="3531"/>
      <c r="C110" s="3531"/>
      <c r="D110" s="3531"/>
      <c r="E110" s="3531"/>
      <c r="F110" s="3531"/>
      <c r="G110" s="3531"/>
      <c r="H110" s="3531"/>
      <c r="I110" s="3531"/>
      <c r="J110" s="3531"/>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五级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3" t="s">
        <v>779</v>
      </c>
      <c r="B1" s="355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9.8000000000000004E-2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3" t="s">
        <v>105</v>
      </c>
      <c r="B1" s="3553"/>
      <c r="C1" s="3553"/>
      <c r="D1" s="3553"/>
      <c r="E1" s="3553"/>
      <c r="F1" s="355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4" t="s">
        <v>118</v>
      </c>
      <c r="B2" s="3554"/>
      <c r="C2" s="3554"/>
      <c r="D2" s="3554"/>
      <c r="E2" s="3554"/>
      <c r="F2" s="355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14830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7" t="s">
        <v>132</v>
      </c>
      <c r="B18" s="768" t="s">
        <v>517</v>
      </c>
      <c r="C18" s="769" t="s">
        <v>518</v>
      </c>
      <c r="D18" s="770"/>
      <c r="E18" s="768">
        <v>1</v>
      </c>
      <c r="F18" s="771" t="s">
        <v>519</v>
      </c>
      <c r="G18" s="772"/>
      <c r="H18" s="764"/>
      <c r="I18" s="764"/>
    </row>
    <row r="19" spans="1:9" s="773" customFormat="1" ht="19.5" customHeight="1">
      <c r="A19" s="3557"/>
      <c r="B19" s="3557" t="s">
        <v>520</v>
      </c>
      <c r="C19" s="769" t="s">
        <v>521</v>
      </c>
      <c r="D19" s="770"/>
      <c r="E19" s="768">
        <v>0.9</v>
      </c>
      <c r="F19" s="771" t="s">
        <v>522</v>
      </c>
      <c r="G19" s="772"/>
      <c r="H19" s="764"/>
      <c r="I19" s="764"/>
    </row>
    <row r="20" spans="1:9" s="773" customFormat="1" ht="19.5" customHeight="1">
      <c r="A20" s="3557"/>
      <c r="B20" s="3557"/>
      <c r="C20" s="769" t="s">
        <v>523</v>
      </c>
      <c r="D20" s="770"/>
      <c r="E20" s="768">
        <v>1.1000000000000001</v>
      </c>
      <c r="F20" s="771" t="s">
        <v>524</v>
      </c>
      <c r="G20" s="772"/>
      <c r="H20" s="764"/>
      <c r="I20" s="764"/>
    </row>
    <row r="21" spans="1:9" s="773" customFormat="1" ht="19.5" customHeight="1">
      <c r="A21" s="3557"/>
      <c r="B21" s="3557"/>
      <c r="C21" s="769" t="s">
        <v>525</v>
      </c>
      <c r="D21" s="770"/>
      <c r="E21" s="768">
        <v>0.8</v>
      </c>
      <c r="F21" s="771" t="s">
        <v>526</v>
      </c>
      <c r="G21" s="772"/>
      <c r="H21" s="764"/>
      <c r="I21" s="764"/>
    </row>
    <row r="22" spans="1:9" s="773" customFormat="1" ht="19.5" customHeight="1">
      <c r="A22" s="3557"/>
      <c r="B22" s="3557"/>
      <c r="C22" s="769" t="s">
        <v>527</v>
      </c>
      <c r="D22" s="770"/>
      <c r="E22" s="768">
        <v>0.5</v>
      </c>
      <c r="F22" s="771"/>
      <c r="G22" s="772"/>
      <c r="H22" s="764"/>
      <c r="I22" s="764"/>
    </row>
    <row r="23" spans="1:9" s="773" customFormat="1" ht="19.5" customHeight="1">
      <c r="A23" s="3557" t="s">
        <v>133</v>
      </c>
      <c r="B23" s="768" t="s">
        <v>517</v>
      </c>
      <c r="C23" s="769" t="s">
        <v>528</v>
      </c>
      <c r="D23" s="770"/>
      <c r="E23" s="768">
        <v>1</v>
      </c>
      <c r="F23" s="771" t="s">
        <v>529</v>
      </c>
      <c r="G23" s="772"/>
      <c r="H23" s="764"/>
      <c r="I23" s="764"/>
    </row>
    <row r="24" spans="1:9" s="773" customFormat="1" ht="19.5" customHeight="1">
      <c r="A24" s="3557"/>
      <c r="B24" s="3557" t="s">
        <v>520</v>
      </c>
      <c r="C24" s="769" t="s">
        <v>530</v>
      </c>
      <c r="D24" s="770"/>
      <c r="E24" s="768">
        <v>0.5</v>
      </c>
      <c r="F24" s="771"/>
      <c r="G24" s="772"/>
      <c r="H24" s="764"/>
      <c r="I24" s="764"/>
    </row>
    <row r="25" spans="1:9" s="773" customFormat="1" ht="19.5" customHeight="1">
      <c r="A25" s="3557"/>
      <c r="B25" s="3557"/>
      <c r="C25" s="769" t="s">
        <v>531</v>
      </c>
      <c r="D25" s="770"/>
      <c r="E25" s="768">
        <v>1.1000000000000001</v>
      </c>
      <c r="F25" s="771"/>
      <c r="G25" s="772"/>
      <c r="H25" s="764"/>
      <c r="I25" s="764"/>
    </row>
    <row r="26" spans="1:9" s="773" customFormat="1" ht="19.5" customHeight="1">
      <c r="A26" s="3557"/>
      <c r="B26" s="3557"/>
      <c r="C26" s="769" t="s">
        <v>532</v>
      </c>
      <c r="D26" s="770"/>
      <c r="E26" s="768">
        <v>1.1000000000000001</v>
      </c>
      <c r="F26" s="771"/>
      <c r="G26" s="772"/>
      <c r="H26" s="764"/>
      <c r="I26" s="764"/>
    </row>
    <row r="27" spans="1:9" s="773" customFormat="1" ht="19.5" customHeight="1">
      <c r="A27" s="3557"/>
      <c r="B27" s="3557"/>
      <c r="C27" s="769" t="s">
        <v>533</v>
      </c>
      <c r="D27" s="770"/>
      <c r="E27" s="768">
        <v>0.9</v>
      </c>
      <c r="F27" s="771" t="s">
        <v>534</v>
      </c>
      <c r="G27" s="772"/>
      <c r="H27" s="764"/>
      <c r="I27" s="764"/>
    </row>
    <row r="28" spans="1:9" s="773" customFormat="1" ht="19.5" customHeight="1">
      <c r="A28" s="3557"/>
      <c r="B28" s="3557"/>
      <c r="C28" s="769" t="s">
        <v>535</v>
      </c>
      <c r="D28" s="770"/>
      <c r="E28" s="768">
        <v>0.9</v>
      </c>
      <c r="F28" s="771" t="s">
        <v>536</v>
      </c>
      <c r="G28" s="772"/>
      <c r="H28" s="764"/>
      <c r="I28" s="764"/>
    </row>
    <row r="29" spans="1:9" s="773" customFormat="1" ht="19.5" customHeight="1">
      <c r="A29" s="3557"/>
      <c r="B29" s="3557"/>
      <c r="C29" s="769" t="s">
        <v>537</v>
      </c>
      <c r="D29" s="770"/>
      <c r="E29" s="768">
        <v>0.9</v>
      </c>
      <c r="F29" s="771" t="s">
        <v>538</v>
      </c>
      <c r="G29" s="772"/>
      <c r="H29" s="764"/>
      <c r="I29" s="764"/>
    </row>
    <row r="30" spans="1:9" s="773" customFormat="1" ht="19.5" customHeight="1">
      <c r="A30" s="3557"/>
      <c r="B30" s="3557"/>
      <c r="C30" s="769" t="s">
        <v>539</v>
      </c>
      <c r="D30" s="770"/>
      <c r="E30" s="768">
        <v>0.9</v>
      </c>
      <c r="F30" s="771" t="s">
        <v>540</v>
      </c>
      <c r="G30" s="772"/>
      <c r="H30" s="764"/>
      <c r="I30" s="764"/>
    </row>
    <row r="31" spans="1:9" s="773" customFormat="1" ht="19.5" customHeight="1">
      <c r="A31" s="3557"/>
      <c r="B31" s="3557"/>
      <c r="C31" s="769" t="s">
        <v>541</v>
      </c>
      <c r="D31" s="770"/>
      <c r="E31" s="768">
        <v>0.8</v>
      </c>
      <c r="F31" s="771" t="s">
        <v>542</v>
      </c>
      <c r="G31" s="772"/>
      <c r="H31" s="764"/>
      <c r="I31" s="764"/>
    </row>
    <row r="32" spans="1:9" s="773" customFormat="1" ht="19.5" customHeight="1">
      <c r="A32" s="3557"/>
      <c r="B32" s="3557"/>
      <c r="C32" s="769" t="s">
        <v>543</v>
      </c>
      <c r="D32" s="770"/>
      <c r="E32" s="768">
        <v>0.8</v>
      </c>
      <c r="F32" s="771" t="s">
        <v>544</v>
      </c>
      <c r="G32" s="772"/>
      <c r="H32" s="764"/>
      <c r="I32" s="764"/>
    </row>
    <row r="33" spans="1:9" s="773" customFormat="1" ht="19.5" customHeight="1">
      <c r="A33" s="3557" t="s">
        <v>134</v>
      </c>
      <c r="B33" s="768" t="s">
        <v>517</v>
      </c>
      <c r="C33" s="769" t="s">
        <v>545</v>
      </c>
      <c r="D33" s="770"/>
      <c r="E33" s="768">
        <v>1</v>
      </c>
      <c r="F33" s="771" t="s">
        <v>546</v>
      </c>
      <c r="G33" s="772"/>
      <c r="H33" s="764"/>
      <c r="I33" s="764"/>
    </row>
    <row r="34" spans="1:9" s="773" customFormat="1" ht="19.5" customHeight="1">
      <c r="A34" s="3557"/>
      <c r="B34" s="768" t="s">
        <v>520</v>
      </c>
      <c r="C34" s="769" t="s">
        <v>547</v>
      </c>
      <c r="D34" s="770"/>
      <c r="E34" s="768">
        <v>1.5</v>
      </c>
      <c r="F34" s="771" t="s">
        <v>548</v>
      </c>
      <c r="G34" s="772"/>
      <c r="H34" s="764"/>
      <c r="I34" s="764"/>
    </row>
    <row r="35" spans="1:9" s="773" customFormat="1" ht="19.5" customHeight="1">
      <c r="A35" s="3557" t="s">
        <v>135</v>
      </c>
      <c r="B35" s="768" t="s">
        <v>517</v>
      </c>
      <c r="C35" s="769" t="s">
        <v>549</v>
      </c>
      <c r="D35" s="770"/>
      <c r="E35" s="768">
        <v>1</v>
      </c>
      <c r="F35" s="771" t="s">
        <v>550</v>
      </c>
      <c r="G35" s="772"/>
      <c r="H35" s="764"/>
      <c r="I35" s="764"/>
    </row>
    <row r="36" spans="1:9" s="773" customFormat="1" ht="19.5" customHeight="1">
      <c r="A36" s="3557"/>
      <c r="B36" s="3557" t="s">
        <v>520</v>
      </c>
      <c r="C36" s="769" t="s">
        <v>551</v>
      </c>
      <c r="D36" s="770"/>
      <c r="E36" s="768">
        <v>1</v>
      </c>
      <c r="F36" s="771" t="s">
        <v>552</v>
      </c>
      <c r="G36" s="772"/>
      <c r="H36" s="764"/>
      <c r="I36" s="764"/>
    </row>
    <row r="37" spans="1:9" s="773" customFormat="1" ht="19.5" customHeight="1">
      <c r="A37" s="3557"/>
      <c r="B37" s="3557"/>
      <c r="C37" s="769" t="s">
        <v>553</v>
      </c>
      <c r="D37" s="770"/>
      <c r="E37" s="768">
        <v>1.5</v>
      </c>
      <c r="F37" s="771" t="s">
        <v>554</v>
      </c>
      <c r="G37" s="772"/>
      <c r="H37" s="764"/>
      <c r="I37" s="764"/>
    </row>
    <row r="38" spans="1:9" s="773" customFormat="1" ht="19.5" customHeight="1">
      <c r="A38" s="3557"/>
      <c r="B38" s="3557"/>
      <c r="C38" s="769" t="s">
        <v>555</v>
      </c>
      <c r="D38" s="770"/>
      <c r="E38" s="768">
        <v>1</v>
      </c>
      <c r="F38" s="771" t="s">
        <v>556</v>
      </c>
      <c r="G38" s="772"/>
      <c r="H38" s="764"/>
      <c r="I38" s="764"/>
    </row>
    <row r="39" spans="1:9" s="773" customFormat="1" ht="19.5" customHeight="1">
      <c r="A39" s="3557"/>
      <c r="B39" s="355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7" t="s">
        <v>571</v>
      </c>
      <c r="C61" s="682" t="s">
        <v>572</v>
      </c>
      <c r="D61" s="682" t="s">
        <v>573</v>
      </c>
      <c r="E61" s="781">
        <v>0.5</v>
      </c>
      <c r="F61" s="768">
        <v>80</v>
      </c>
    </row>
    <row r="62" spans="1:8" s="764" customFormat="1" ht="24">
      <c r="A62" s="768">
        <v>2</v>
      </c>
      <c r="B62" s="3557"/>
      <c r="C62" s="682" t="s">
        <v>574</v>
      </c>
      <c r="D62" s="682" t="s">
        <v>575</v>
      </c>
      <c r="E62" s="781">
        <v>0.5</v>
      </c>
      <c r="F62" s="768">
        <v>80</v>
      </c>
    </row>
    <row r="63" spans="1:8" s="764" customFormat="1" ht="36">
      <c r="A63" s="768">
        <v>3</v>
      </c>
      <c r="B63" s="3557"/>
      <c r="C63" s="682" t="s">
        <v>576</v>
      </c>
      <c r="D63" s="682" t="s">
        <v>577</v>
      </c>
      <c r="E63" s="781">
        <v>0.5</v>
      </c>
      <c r="F63" s="768">
        <v>80</v>
      </c>
    </row>
    <row r="64" spans="1:8" s="764" customFormat="1" ht="36">
      <c r="A64" s="768">
        <v>4</v>
      </c>
      <c r="B64" s="3557"/>
      <c r="C64" s="682" t="s">
        <v>578</v>
      </c>
      <c r="D64" s="682" t="s">
        <v>579</v>
      </c>
      <c r="E64" s="781">
        <v>0.4</v>
      </c>
      <c r="F64" s="768">
        <v>60</v>
      </c>
    </row>
    <row r="65" spans="1:6" s="764" customFormat="1" ht="36">
      <c r="A65" s="768">
        <v>5</v>
      </c>
      <c r="B65" s="3557"/>
      <c r="C65" s="682" t="s">
        <v>580</v>
      </c>
      <c r="D65" s="682" t="s">
        <v>581</v>
      </c>
      <c r="E65" s="781">
        <v>0.2</v>
      </c>
      <c r="F65" s="768">
        <v>30</v>
      </c>
    </row>
    <row r="66" spans="1:6" s="764" customFormat="1" ht="36">
      <c r="A66" s="768">
        <v>6</v>
      </c>
      <c r="B66" s="3557"/>
      <c r="C66" s="682" t="s">
        <v>582</v>
      </c>
      <c r="D66" s="682" t="s">
        <v>583</v>
      </c>
      <c r="E66" s="781">
        <v>0.3</v>
      </c>
      <c r="F66" s="768">
        <v>50</v>
      </c>
    </row>
    <row r="67" spans="1:6" s="764" customFormat="1" ht="36">
      <c r="A67" s="768">
        <v>7</v>
      </c>
      <c r="B67" s="3557"/>
      <c r="C67" s="682" t="s">
        <v>584</v>
      </c>
      <c r="D67" s="682" t="s">
        <v>585</v>
      </c>
      <c r="E67" s="781">
        <v>0.2</v>
      </c>
      <c r="F67" s="768">
        <v>30</v>
      </c>
    </row>
    <row r="68" spans="1:6" s="764" customFormat="1" ht="36">
      <c r="A68" s="768">
        <v>8</v>
      </c>
      <c r="B68" s="3557"/>
      <c r="C68" s="682" t="s">
        <v>586</v>
      </c>
      <c r="D68" s="682" t="s">
        <v>587</v>
      </c>
      <c r="E68" s="781">
        <v>0.2</v>
      </c>
      <c r="F68" s="768">
        <v>30</v>
      </c>
    </row>
    <row r="69" spans="1:6" s="764" customFormat="1" ht="36">
      <c r="A69" s="768">
        <v>9</v>
      </c>
      <c r="B69" s="3557"/>
      <c r="C69" s="682" t="s">
        <v>588</v>
      </c>
      <c r="D69" s="682" t="s">
        <v>589</v>
      </c>
      <c r="E69" s="781">
        <v>0.2</v>
      </c>
      <c r="F69" s="768">
        <v>30</v>
      </c>
    </row>
    <row r="70" spans="1:6" s="764" customFormat="1" ht="48">
      <c r="A70" s="768">
        <v>10</v>
      </c>
      <c r="B70" s="3557"/>
      <c r="C70" s="682" t="s">
        <v>590</v>
      </c>
      <c r="D70" s="682" t="s">
        <v>591</v>
      </c>
      <c r="E70" s="781">
        <v>0.2</v>
      </c>
      <c r="F70" s="768">
        <v>30</v>
      </c>
    </row>
    <row r="71" spans="1:6" s="764" customFormat="1" ht="48">
      <c r="A71" s="768">
        <v>11</v>
      </c>
      <c r="B71" s="3557"/>
      <c r="C71" s="682" t="s">
        <v>592</v>
      </c>
      <c r="D71" s="682" t="s">
        <v>593</v>
      </c>
      <c r="E71" s="781">
        <v>0.2</v>
      </c>
      <c r="F71" s="768">
        <v>30</v>
      </c>
    </row>
    <row r="72" spans="1:6" s="764" customFormat="1" ht="36">
      <c r="A72" s="768">
        <v>12</v>
      </c>
      <c r="B72" s="3557"/>
      <c r="C72" s="682" t="s">
        <v>594</v>
      </c>
      <c r="D72" s="682" t="s">
        <v>595</v>
      </c>
      <c r="E72" s="781">
        <v>0.5</v>
      </c>
      <c r="F72" s="768">
        <v>80</v>
      </c>
    </row>
    <row r="73" spans="1:6" s="764" customFormat="1" ht="24">
      <c r="A73" s="768">
        <v>13</v>
      </c>
      <c r="B73" s="3557"/>
      <c r="C73" s="682" t="s">
        <v>596</v>
      </c>
      <c r="D73" s="682" t="s">
        <v>597</v>
      </c>
      <c r="E73" s="781">
        <v>0.4</v>
      </c>
      <c r="F73" s="768">
        <v>60</v>
      </c>
    </row>
    <row r="74" spans="1:6" s="764" customFormat="1" ht="24">
      <c r="A74" s="768">
        <v>14</v>
      </c>
      <c r="B74" s="3557"/>
      <c r="C74" s="682" t="s">
        <v>598</v>
      </c>
      <c r="D74" s="682" t="s">
        <v>599</v>
      </c>
      <c r="E74" s="781">
        <v>0.2</v>
      </c>
      <c r="F74" s="768">
        <v>30</v>
      </c>
    </row>
    <row r="75" spans="1:6" s="764" customFormat="1" ht="24">
      <c r="A75" s="768">
        <v>15</v>
      </c>
      <c r="B75" s="3557"/>
      <c r="C75" s="682" t="s">
        <v>600</v>
      </c>
      <c r="D75" s="682" t="s">
        <v>601</v>
      </c>
      <c r="E75" s="781">
        <v>0.2</v>
      </c>
      <c r="F75" s="768">
        <v>30</v>
      </c>
    </row>
    <row r="76" spans="1:6" s="764" customFormat="1" ht="24">
      <c r="A76" s="768">
        <v>16</v>
      </c>
      <c r="B76" s="3557" t="s">
        <v>602</v>
      </c>
      <c r="C76" s="682" t="s">
        <v>603</v>
      </c>
      <c r="D76" s="682" t="s">
        <v>604</v>
      </c>
      <c r="E76" s="781">
        <v>0.5</v>
      </c>
      <c r="F76" s="768">
        <v>80</v>
      </c>
    </row>
    <row r="77" spans="1:6" s="764" customFormat="1" ht="24">
      <c r="A77" s="768">
        <v>17</v>
      </c>
      <c r="B77" s="3557"/>
      <c r="C77" s="682" t="s">
        <v>605</v>
      </c>
      <c r="D77" s="682" t="s">
        <v>606</v>
      </c>
      <c r="E77" s="781">
        <v>0.5</v>
      </c>
      <c r="F77" s="768">
        <v>80</v>
      </c>
    </row>
    <row r="78" spans="1:6" s="764" customFormat="1" ht="24">
      <c r="A78" s="768">
        <v>18</v>
      </c>
      <c r="B78" s="3557"/>
      <c r="C78" s="682" t="s">
        <v>607</v>
      </c>
      <c r="D78" s="682" t="s">
        <v>608</v>
      </c>
      <c r="E78" s="781">
        <v>0.2</v>
      </c>
      <c r="F78" s="768">
        <v>30</v>
      </c>
    </row>
    <row r="79" spans="1:6" s="764" customFormat="1" ht="24">
      <c r="A79" s="768">
        <v>19</v>
      </c>
      <c r="B79" s="3557"/>
      <c r="C79" s="682" t="s">
        <v>609</v>
      </c>
      <c r="D79" s="682" t="s">
        <v>610</v>
      </c>
      <c r="E79" s="781">
        <v>0.5</v>
      </c>
      <c r="F79" s="768">
        <v>80</v>
      </c>
    </row>
    <row r="80" spans="1:6" s="764" customFormat="1" ht="36">
      <c r="A80" s="768">
        <v>20</v>
      </c>
      <c r="B80" s="3557"/>
      <c r="C80" s="682" t="s">
        <v>611</v>
      </c>
      <c r="D80" s="682" t="s">
        <v>612</v>
      </c>
      <c r="E80" s="781">
        <v>0.2</v>
      </c>
      <c r="F80" s="768">
        <v>30</v>
      </c>
    </row>
    <row r="81" spans="1:6" s="764" customFormat="1" ht="36">
      <c r="A81" s="768">
        <v>21</v>
      </c>
      <c r="B81" s="3557"/>
      <c r="C81" s="682" t="s">
        <v>613</v>
      </c>
      <c r="D81" s="682" t="s">
        <v>614</v>
      </c>
      <c r="E81" s="781">
        <v>0.2</v>
      </c>
      <c r="F81" s="768">
        <v>30</v>
      </c>
    </row>
    <row r="82" spans="1:6" s="764" customFormat="1" ht="48">
      <c r="A82" s="768">
        <v>22</v>
      </c>
      <c r="B82" s="3557"/>
      <c r="C82" s="682" t="s">
        <v>615</v>
      </c>
      <c r="D82" s="682" t="s">
        <v>616</v>
      </c>
      <c r="E82" s="781">
        <v>0.2</v>
      </c>
      <c r="F82" s="768">
        <v>30</v>
      </c>
    </row>
    <row r="83" spans="1:6" s="764" customFormat="1" ht="48">
      <c r="A83" s="768">
        <v>23</v>
      </c>
      <c r="B83" s="3557"/>
      <c r="C83" s="682" t="s">
        <v>617</v>
      </c>
      <c r="D83" s="682" t="s">
        <v>618</v>
      </c>
      <c r="E83" s="781">
        <v>0.2</v>
      </c>
      <c r="F83" s="768">
        <v>30</v>
      </c>
    </row>
    <row r="84" spans="1:6" s="764" customFormat="1" ht="36">
      <c r="A84" s="768">
        <v>24</v>
      </c>
      <c r="B84" s="3557"/>
      <c r="C84" s="682" t="s">
        <v>619</v>
      </c>
      <c r="D84" s="682" t="s">
        <v>620</v>
      </c>
      <c r="E84" s="781">
        <v>0.2</v>
      </c>
      <c r="F84" s="768">
        <v>30</v>
      </c>
    </row>
    <row r="85" spans="1:6" s="764" customFormat="1" ht="36">
      <c r="A85" s="768">
        <v>25</v>
      </c>
      <c r="B85" s="3557"/>
      <c r="C85" s="682" t="s">
        <v>621</v>
      </c>
      <c r="D85" s="682" t="s">
        <v>622</v>
      </c>
      <c r="E85" s="781">
        <v>0.5</v>
      </c>
      <c r="F85" s="768">
        <v>80</v>
      </c>
    </row>
    <row r="86" spans="1:6" s="764" customFormat="1" ht="36">
      <c r="A86" s="768">
        <v>26</v>
      </c>
      <c r="B86" s="3557"/>
      <c r="C86" s="682" t="s">
        <v>623</v>
      </c>
      <c r="D86" s="682" t="s">
        <v>624</v>
      </c>
      <c r="E86" s="781">
        <v>0.2</v>
      </c>
      <c r="F86" s="768">
        <v>30</v>
      </c>
    </row>
    <row r="87" spans="1:6" s="764" customFormat="1" ht="36">
      <c r="A87" s="768">
        <v>27</v>
      </c>
      <c r="B87" s="3557"/>
      <c r="C87" s="682" t="s">
        <v>625</v>
      </c>
      <c r="D87" s="682" t="s">
        <v>626</v>
      </c>
      <c r="E87" s="781">
        <v>0.2</v>
      </c>
      <c r="F87" s="768">
        <v>30</v>
      </c>
    </row>
    <row r="88" spans="1:6" s="764" customFormat="1" ht="36">
      <c r="A88" s="768">
        <v>28</v>
      </c>
      <c r="B88" s="3557"/>
      <c r="C88" s="682" t="s">
        <v>627</v>
      </c>
      <c r="D88" s="682" t="s">
        <v>628</v>
      </c>
      <c r="E88" s="781">
        <v>0.2</v>
      </c>
      <c r="F88" s="768">
        <v>30</v>
      </c>
    </row>
    <row r="89" spans="1:6" s="764" customFormat="1" ht="24">
      <c r="A89" s="768">
        <v>29</v>
      </c>
      <c r="B89" s="3557"/>
      <c r="C89" s="682" t="s">
        <v>629</v>
      </c>
      <c r="D89" s="682" t="s">
        <v>630</v>
      </c>
      <c r="E89" s="781">
        <v>0.2</v>
      </c>
      <c r="F89" s="768">
        <v>30</v>
      </c>
    </row>
    <row r="90" spans="1:6" s="764" customFormat="1" ht="24">
      <c r="A90" s="768">
        <v>30</v>
      </c>
      <c r="B90" s="3557"/>
      <c r="C90" s="682" t="s">
        <v>631</v>
      </c>
      <c r="D90" s="682" t="s">
        <v>632</v>
      </c>
      <c r="E90" s="781">
        <v>0.2</v>
      </c>
      <c r="F90" s="768">
        <v>30</v>
      </c>
    </row>
    <row r="91" spans="1:6" s="764" customFormat="1" ht="36">
      <c r="A91" s="768">
        <v>31</v>
      </c>
      <c r="B91" s="3557"/>
      <c r="C91" s="682" t="s">
        <v>633</v>
      </c>
      <c r="D91" s="682" t="s">
        <v>634</v>
      </c>
      <c r="E91" s="781">
        <v>0.2</v>
      </c>
      <c r="F91" s="768">
        <v>30</v>
      </c>
    </row>
    <row r="92" spans="1:6" s="764" customFormat="1" ht="24">
      <c r="A92" s="768">
        <v>32</v>
      </c>
      <c r="B92" s="3557" t="s">
        <v>635</v>
      </c>
      <c r="C92" s="768" t="s">
        <v>636</v>
      </c>
      <c r="D92" s="682" t="s">
        <v>637</v>
      </c>
      <c r="E92" s="781">
        <v>0.2</v>
      </c>
      <c r="F92" s="768">
        <v>30</v>
      </c>
    </row>
    <row r="93" spans="1:6" s="764" customFormat="1" ht="36">
      <c r="A93" s="768">
        <v>33</v>
      </c>
      <c r="B93" s="3557"/>
      <c r="C93" s="768" t="s">
        <v>638</v>
      </c>
      <c r="D93" s="682" t="s">
        <v>639</v>
      </c>
      <c r="E93" s="781">
        <v>0.2</v>
      </c>
      <c r="F93" s="768">
        <v>30</v>
      </c>
    </row>
    <row r="94" spans="1:6" s="764" customFormat="1" ht="48">
      <c r="A94" s="768">
        <v>34</v>
      </c>
      <c r="B94" s="3557"/>
      <c r="C94" s="768" t="s">
        <v>640</v>
      </c>
      <c r="D94" s="682" t="s">
        <v>641</v>
      </c>
      <c r="E94" s="781">
        <v>0.2</v>
      </c>
      <c r="F94" s="768">
        <v>30</v>
      </c>
    </row>
    <row r="95" spans="1:6" s="764" customFormat="1" ht="36">
      <c r="A95" s="768">
        <v>35</v>
      </c>
      <c r="B95" s="3557"/>
      <c r="C95" s="768" t="s">
        <v>642</v>
      </c>
      <c r="D95" s="682" t="s">
        <v>643</v>
      </c>
      <c r="E95" s="781">
        <v>0.2</v>
      </c>
      <c r="F95" s="768">
        <v>30</v>
      </c>
    </row>
    <row r="96" spans="1:6" s="764" customFormat="1" ht="48">
      <c r="A96" s="768">
        <v>36</v>
      </c>
      <c r="B96" s="3557"/>
      <c r="C96" s="682" t="s">
        <v>644</v>
      </c>
      <c r="D96" s="682" t="s">
        <v>645</v>
      </c>
      <c r="E96" s="781">
        <v>0.2</v>
      </c>
      <c r="F96" s="768">
        <v>30</v>
      </c>
    </row>
    <row r="97" spans="1:6" s="764" customFormat="1" ht="36">
      <c r="A97" s="768">
        <v>37</v>
      </c>
      <c r="B97" s="3557"/>
      <c r="C97" s="768" t="s">
        <v>646</v>
      </c>
      <c r="D97" s="682" t="s">
        <v>647</v>
      </c>
      <c r="E97" s="781">
        <v>0.2</v>
      </c>
      <c r="F97" s="768">
        <v>30</v>
      </c>
    </row>
    <row r="98" spans="1:6" s="764" customFormat="1" ht="36">
      <c r="A98" s="768">
        <v>38</v>
      </c>
      <c r="B98" s="3557"/>
      <c r="C98" s="768" t="s">
        <v>648</v>
      </c>
      <c r="D98" s="682" t="s">
        <v>649</v>
      </c>
      <c r="E98" s="781">
        <v>0.2</v>
      </c>
      <c r="F98" s="768">
        <v>30</v>
      </c>
    </row>
    <row r="99" spans="1:6" s="764" customFormat="1" ht="36">
      <c r="A99" s="768">
        <v>39</v>
      </c>
      <c r="B99" s="3557" t="s">
        <v>650</v>
      </c>
      <c r="C99" s="768" t="s">
        <v>651</v>
      </c>
      <c r="D99" s="682" t="s">
        <v>652</v>
      </c>
      <c r="E99" s="781">
        <v>0.3</v>
      </c>
      <c r="F99" s="768">
        <v>50</v>
      </c>
    </row>
    <row r="100" spans="1:6" s="764" customFormat="1" ht="24">
      <c r="A100" s="768">
        <v>40</v>
      </c>
      <c r="B100" s="3557"/>
      <c r="C100" s="768" t="s">
        <v>653</v>
      </c>
      <c r="D100" s="682" t="s">
        <v>654</v>
      </c>
      <c r="E100" s="781">
        <v>0.2</v>
      </c>
      <c r="F100" s="768">
        <v>30</v>
      </c>
    </row>
    <row r="101" spans="1:6" s="764" customFormat="1" ht="36">
      <c r="A101" s="768">
        <v>41</v>
      </c>
      <c r="B101" s="355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7" t="s">
        <v>665</v>
      </c>
      <c r="C105" s="768" t="s">
        <v>666</v>
      </c>
      <c r="D105" s="682" t="s">
        <v>667</v>
      </c>
      <c r="E105" s="781">
        <v>0.2</v>
      </c>
      <c r="F105" s="768">
        <v>30</v>
      </c>
    </row>
    <row r="106" spans="1:6" s="764" customFormat="1" ht="36">
      <c r="A106" s="768">
        <v>46</v>
      </c>
      <c r="B106" s="3557"/>
      <c r="C106" s="768" t="s">
        <v>668</v>
      </c>
      <c r="D106" s="682" t="s">
        <v>669</v>
      </c>
      <c r="E106" s="781">
        <v>0.2</v>
      </c>
      <c r="F106" s="768">
        <v>30</v>
      </c>
    </row>
    <row r="107" spans="1:6" s="764" customFormat="1" ht="36">
      <c r="A107" s="768">
        <v>47</v>
      </c>
      <c r="B107" s="3557" t="s">
        <v>670</v>
      </c>
      <c r="C107" s="768" t="s">
        <v>671</v>
      </c>
      <c r="D107" s="682" t="s">
        <v>672</v>
      </c>
      <c r="E107" s="781">
        <v>0.3</v>
      </c>
      <c r="F107" s="768">
        <v>50</v>
      </c>
    </row>
    <row r="108" spans="1:6" s="764" customFormat="1" ht="36">
      <c r="A108" s="768">
        <v>48</v>
      </c>
      <c r="B108" s="355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7" t="s">
        <v>681</v>
      </c>
      <c r="C111" s="768" t="s">
        <v>682</v>
      </c>
      <c r="D111" s="682" t="s">
        <v>683</v>
      </c>
      <c r="E111" s="781">
        <v>0.2</v>
      </c>
      <c r="F111" s="768">
        <v>30</v>
      </c>
    </row>
    <row r="112" spans="1:6" s="764" customFormat="1" ht="24">
      <c r="A112" s="768">
        <v>52</v>
      </c>
      <c r="B112" s="3557"/>
      <c r="C112" s="768" t="s">
        <v>684</v>
      </c>
      <c r="D112" s="682" t="s">
        <v>685</v>
      </c>
      <c r="E112" s="781">
        <v>0.2</v>
      </c>
      <c r="F112" s="768">
        <v>30</v>
      </c>
    </row>
    <row r="113" spans="1:6" s="764" customFormat="1" ht="24">
      <c r="A113" s="768">
        <v>53</v>
      </c>
      <c r="B113" s="355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7" t="s">
        <v>694</v>
      </c>
      <c r="C116" s="768" t="s">
        <v>695</v>
      </c>
      <c r="D116" s="682" t="s">
        <v>696</v>
      </c>
      <c r="E116" s="781">
        <v>0.2</v>
      </c>
      <c r="F116" s="768">
        <v>30</v>
      </c>
    </row>
    <row r="117" spans="1:6" ht="36">
      <c r="A117" s="768">
        <v>57</v>
      </c>
      <c r="B117" s="355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3" t="s">
        <v>1020</v>
      </c>
      <c r="C1" s="3563"/>
      <c r="D1" s="3563"/>
      <c r="E1" s="3563"/>
      <c r="F1" s="3563"/>
      <c r="G1" s="3562" t="s">
        <v>1021</v>
      </c>
      <c r="H1" s="3562"/>
      <c r="I1" s="3562"/>
      <c r="J1" s="3562"/>
      <c r="K1" s="3562"/>
      <c r="L1" s="3562"/>
      <c r="N1" s="3562" t="s">
        <v>1022</v>
      </c>
      <c r="O1" s="3562"/>
      <c r="P1" s="3562"/>
      <c r="Q1" s="3562"/>
      <c r="S1" s="3562" t="s">
        <v>1023</v>
      </c>
      <c r="T1" s="3562"/>
      <c r="U1" s="3562"/>
      <c r="V1" s="3562"/>
      <c r="X1" s="3561" t="s">
        <v>1024</v>
      </c>
      <c r="Y1" s="3562"/>
      <c r="Z1" s="3562"/>
      <c r="AA1" s="3562"/>
      <c r="AB1" s="3562"/>
      <c r="AD1" s="3561" t="s">
        <v>1025</v>
      </c>
      <c r="AE1" s="3562"/>
      <c r="AF1" s="3562"/>
      <c r="AG1" s="3562"/>
      <c r="AH1" s="3562"/>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59">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59"/>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59"/>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68"/>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564">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59"/>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59"/>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68"/>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64">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59"/>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59"/>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60"/>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58">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59"/>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59"/>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60"/>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58">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59"/>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59"/>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60"/>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65">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66"/>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66"/>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67"/>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58">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59"/>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59"/>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60"/>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58">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59">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59">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60">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58">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59">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59">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60">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58">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59">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59">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60">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58">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59">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59">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60">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58">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59">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59">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60">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58">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59">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59">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60">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58">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59">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59">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60">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58">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59">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59">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60">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58">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59">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59">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60">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58">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59">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59">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60">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41829</v>
      </c>
      <c r="D1" s="1293" t="s">
        <v>1173</v>
      </c>
      <c r="E1" s="1299">
        <f>'数据-取费表'!B24</f>
        <v>2</v>
      </c>
      <c r="F1" s="1293" t="s">
        <v>1174</v>
      </c>
      <c r="G1" s="1300">
        <f ca="1">INDIRECT("d"&amp;$K$1)/100</f>
        <v>6.1500000000000006E-2</v>
      </c>
      <c r="H1" s="1293" t="s">
        <v>1204</v>
      </c>
      <c r="I1" s="1300">
        <f ca="1">F4/100</f>
        <v>0.03</v>
      </c>
      <c r="J1" s="1294">
        <f>IF(C1&gt;C13,0,MATCH(C1,C$13:C$105,-1))+IF(SUMIF(C13:C105,C1,D13:D105)=0,13,12)</f>
        <v>24</v>
      </c>
      <c r="K1" s="1294">
        <f>MATCH(E1,C3:C7,1)+IF(SUMIF(C3:C7,E1,D3:D7)=0,2,1)</f>
        <v>5</v>
      </c>
      <c r="L1" s="1294">
        <f>IF(C1&gt;M13,0,MATCH(C1,M$13:M$101,-1))+IF(SUMIF(M13:M101,C1,N13:N101)=0,13,12)</f>
        <v>20</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5.6</v>
      </c>
      <c r="E3" s="1241">
        <v>0.5</v>
      </c>
      <c r="F3" s="1242">
        <f ca="1">INDIRECT("p"&amp;$L$1)</f>
        <v>2.8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v>
      </c>
      <c r="E4" s="1247">
        <v>1</v>
      </c>
      <c r="F4" s="1248">
        <f ca="1">INDIRECT("q"&amp;$L$1)</f>
        <v>3</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6.15</v>
      </c>
      <c r="E5" s="1247">
        <v>2</v>
      </c>
      <c r="F5" s="1248">
        <f ca="1">INDIRECT("r"&amp;$L$1)</f>
        <v>3.75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6.4</v>
      </c>
      <c r="E6" s="1247">
        <v>3</v>
      </c>
      <c r="F6" s="1248">
        <f ca="1">INDIRECT("s"&amp;$L$1)</f>
        <v>4.25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6.55</v>
      </c>
      <c r="E7" s="1252">
        <v>5</v>
      </c>
      <c r="F7" s="1253">
        <f ca="1">INDIRECT("t"&amp;$L$1)</f>
        <v>4.75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19" sqref="A19"/>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3.5" customHeight="1">
      <c r="A3" s="1362"/>
      <c r="B3" s="1362"/>
      <c r="C3" s="1362"/>
      <c r="D3" s="1362"/>
      <c r="E3" s="1362"/>
    </row>
    <row r="4" spans="1:5" ht="19.5" thickBot="1">
      <c r="A4" s="3174" t="str">
        <f>IF(项目基本情况!D5="房地产市场价值","估价结果一览表（市场价值不需本页表格)","估价结果一览表")</f>
        <v>估价结果一览表</v>
      </c>
      <c r="B4" s="3174"/>
      <c r="C4" s="3174"/>
      <c r="D4" s="3174"/>
      <c r="E4" s="3174"/>
    </row>
    <row r="5" spans="1:5" ht="14.25" customHeight="1" thickTop="1">
      <c r="A5" s="1359"/>
      <c r="B5" s="1363" t="s">
        <v>742</v>
      </c>
      <c r="C5" s="3175" t="s">
        <v>775</v>
      </c>
      <c r="D5" s="3176"/>
      <c r="E5" s="1359"/>
    </row>
    <row r="6" spans="1:5" ht="14.25">
      <c r="A6" s="1359"/>
      <c r="B6" s="1364" t="str">
        <f>项目基本情况!I1</f>
        <v>北京市房地产</v>
      </c>
      <c r="C6" s="3177">
        <f>项目基本情况!C12</f>
        <v>118</v>
      </c>
      <c r="D6" s="3177"/>
      <c r="E6" s="1359"/>
    </row>
    <row r="7" spans="1:5" ht="14.25">
      <c r="A7" s="1359"/>
      <c r="B7" s="3171" t="s">
        <v>776</v>
      </c>
      <c r="C7" s="1365" t="str">
        <f>IF('数据-取费表'!B3="万元","总价（万元）","总价（元）")</f>
        <v>总价（元）</v>
      </c>
      <c r="D7" s="1366">
        <f>IF('数据-取费表'!E3="否",结果表!I102,'结果表 (1修多)'!I104)</f>
        <v>0</v>
      </c>
      <c r="E7" s="1359"/>
    </row>
    <row r="8" spans="1:5" ht="14.25">
      <c r="A8" s="1359"/>
      <c r="B8" s="3171"/>
      <c r="C8" s="1367" t="s">
        <v>1162</v>
      </c>
      <c r="D8" s="1368" t="str">
        <f>IF('数据-取费表'!B3="万元",NUMBERSTRING(INT(D7*10000),2)&amp;"元整",NUMBERSTRING(INT(D7),2)&amp;"元整")</f>
        <v>零元整</v>
      </c>
      <c r="E8" s="1359"/>
    </row>
    <row r="9" spans="1:5" ht="14.25">
      <c r="A9" s="1359"/>
      <c r="B9" s="3171"/>
      <c r="C9" s="1369" t="s">
        <v>1260</v>
      </c>
      <c r="D9" s="1366" t="e">
        <f>IF('数据-取费表'!E3="否",结果表!I103,'结果表 (1修多)'!I105)</f>
        <v>#DIV/0!</v>
      </c>
      <c r="E9" s="1359"/>
    </row>
    <row r="10" spans="1:5" ht="14.25">
      <c r="A10" s="1359"/>
      <c r="B10" s="317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8" t="str">
        <f>IF('数据-取费表'!E3="否",结果表!F110,'结果表 (1修多)'!F112)</f>
        <v>3.房地产抵押价值</v>
      </c>
      <c r="C15" s="1360" t="str">
        <f>C7</f>
        <v>总价（元）</v>
      </c>
      <c r="D15" s="1366">
        <f>IF('数据-取费表'!E3="否",结果表!I110,'结果表 (1修多)'!I112)</f>
        <v>0</v>
      </c>
      <c r="E15" s="1359"/>
    </row>
    <row r="16" spans="1:5" ht="14.25">
      <c r="A16" s="1359"/>
      <c r="B16" s="3178"/>
      <c r="C16" s="1367" t="s">
        <v>1162</v>
      </c>
      <c r="D16" s="1366" t="str">
        <f>IF('数据-取费表'!B3="万元",NUMBERSTRING(INT(D15*10000),2)&amp;"元整",NUMBERSTRING(INT(D15),2)&amp;"元整")</f>
        <v>零元整</v>
      </c>
      <c r="E16" s="1359"/>
    </row>
    <row r="17" spans="1:5" ht="14.25">
      <c r="A17" s="1359"/>
      <c r="B17" s="3178"/>
      <c r="C17" s="1369" t="s">
        <v>1260</v>
      </c>
      <c r="D17" s="1366" t="e">
        <f>IF('数据-取费表'!E3="否",结果表!I111,'结果表 (1修多)'!I113)</f>
        <v>#DIV/0!</v>
      </c>
      <c r="E17" s="1359"/>
    </row>
    <row r="18" spans="1:5" ht="14.25">
      <c r="A18" s="1359"/>
      <c r="B18" s="3178" t="str">
        <f>IF('数据-取费表'!E3="否",结果表!F112,'结果表 (1修多)'!F114)</f>
        <v>——</v>
      </c>
      <c r="C18" s="1360" t="str">
        <f>C7</f>
        <v>总价（元）</v>
      </c>
      <c r="D18" s="1366" t="str">
        <f>IF('数据-取费表'!E3="否",结果表!I112,'结果表 (1修多)'!I114)</f>
        <v>——</v>
      </c>
      <c r="E18" s="1359"/>
    </row>
    <row r="19" spans="1:5" ht="14.25">
      <c r="A19" s="1359"/>
      <c r="B19" s="3178"/>
      <c r="C19" s="1367" t="s">
        <v>1162</v>
      </c>
      <c r="D19" s="1366" t="e">
        <f>IF('数据-取费表'!B3="万元",NUMBERSTRING(INT(D18*10000),2)&amp;"元整",NUMBERSTRING(INT(D18),2)&amp;"元整")</f>
        <v>#VALUE!</v>
      </c>
      <c r="E19" s="1359"/>
    </row>
    <row r="20" spans="1:5" ht="14.25">
      <c r="A20" s="1359"/>
      <c r="B20" s="3178"/>
      <c r="C20" s="1369" t="s">
        <v>1260</v>
      </c>
      <c r="D20" s="1366" t="str">
        <f>IF('数据-取费表'!E3="否",结果表!I113,'结果表 (1修多)'!I115)</f>
        <v>——</v>
      </c>
      <c r="E20" s="1359"/>
    </row>
    <row r="21" spans="1:5" ht="14.25">
      <c r="A21" s="1359"/>
      <c r="B21" s="3171" t="str">
        <f>IF('数据-取费表'!E3="否",结果表!F114,'结果表 (1修多)'!F116)</f>
        <v>——</v>
      </c>
      <c r="C21" s="1365" t="str">
        <f>C7</f>
        <v>总价（元）</v>
      </c>
      <c r="D21" s="1366" t="str">
        <f>IF('数据-取费表'!E3="否",结果表!I114,'结果表 (1修多)'!I116)</f>
        <v>——</v>
      </c>
      <c r="E21" s="1359"/>
    </row>
    <row r="22" spans="1:5" ht="14.25">
      <c r="A22" s="1359"/>
      <c r="B22" s="3171"/>
      <c r="C22" s="1367" t="s">
        <v>1162</v>
      </c>
      <c r="D22" s="1368" t="e">
        <f>IF('数据-取费表'!B3="万元",NUMBERSTRING(INT(D21*10000),2)&amp;"元整",NUMBERSTRING(INT(D21),2)&amp;"元整")</f>
        <v>#VALUE!</v>
      </c>
      <c r="E22" s="1359"/>
    </row>
    <row r="23" spans="1:5" ht="15" thickBot="1">
      <c r="A23" s="1359"/>
      <c r="B23" s="3172"/>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186" t="s">
        <v>1261</v>
      </c>
      <c r="C25" s="3186"/>
      <c r="D25" s="3186"/>
      <c r="E25" s="1359"/>
    </row>
    <row r="26" spans="1:5" ht="18.75" customHeight="1" thickTop="1">
      <c r="A26" s="1359"/>
      <c r="B26" s="3189" t="s">
        <v>1161</v>
      </c>
      <c r="C26" s="3190"/>
      <c r="D26" s="3187" t="s">
        <v>1160</v>
      </c>
      <c r="E26" s="1359"/>
    </row>
    <row r="27" spans="1:5" ht="18.75" customHeight="1">
      <c r="A27" s="1359"/>
      <c r="B27" s="3191"/>
      <c r="C27" s="3192"/>
      <c r="D27" s="3188"/>
      <c r="E27" s="1359"/>
    </row>
    <row r="28" spans="1:5" ht="14.25">
      <c r="A28" s="1359"/>
      <c r="B28" s="3179" t="s">
        <v>776</v>
      </c>
      <c r="C28" s="1376" t="s">
        <v>1163</v>
      </c>
      <c r="D28" s="1377">
        <f>IF('数据-取费表'!E3="否",结果表!I102,'结果表 (1修多)'!I104)</f>
        <v>0</v>
      </c>
      <c r="E28" s="1359"/>
    </row>
    <row r="29" spans="1:5" ht="14.25">
      <c r="A29" s="1359"/>
      <c r="B29" s="3180"/>
      <c r="C29" s="1378" t="s">
        <v>1162</v>
      </c>
      <c r="D29" s="1379" t="str">
        <f>IF('数据-取费表'!B3="万元",NUMBERSTRING(INT(D28*10000),2)&amp;"元整",NUMBERSTRING(INT(D28),2)&amp;"元整")</f>
        <v>零元整</v>
      </c>
      <c r="E29" s="1359"/>
    </row>
    <row r="30" spans="1:5" ht="14.25">
      <c r="A30" s="1359"/>
      <c r="B30" s="3181"/>
      <c r="C30" s="1369" t="s">
        <v>1165</v>
      </c>
      <c r="D30" s="1380" t="e">
        <f>IF('数据-取费表'!E3="否",结果表!I103,'结果表 (1修多)'!I105)</f>
        <v>#DIV/0!</v>
      </c>
      <c r="E30" s="1359"/>
    </row>
    <row r="31" spans="1:5" ht="14.25">
      <c r="A31" s="1359"/>
      <c r="B31" s="3184" t="str">
        <f>B10</f>
        <v>2.估价师所知悉的法定优先受偿款</v>
      </c>
      <c r="C31" s="1381" t="s">
        <v>1164</v>
      </c>
      <c r="D31" s="1382">
        <f>IF('数据-取费表'!E3="否",结果表!I105,'结果表 (1修多)'!I107)</f>
        <v>0</v>
      </c>
      <c r="E31" s="1359"/>
    </row>
    <row r="32" spans="1:5" ht="14.25">
      <c r="A32" s="1359"/>
      <c r="B32" s="319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2" t="str">
        <f>B15</f>
        <v>3.房地产抵押价值</v>
      </c>
      <c r="C36" s="1381" t="str">
        <f>C28</f>
        <v>总价</v>
      </c>
      <c r="D36" s="1382">
        <f>IF('数据-取费表'!E3="否",结果表!I110,'结果表 (1修多)'!I112)</f>
        <v>0</v>
      </c>
      <c r="E36" s="1359"/>
    </row>
    <row r="37" spans="1:5" ht="14.25">
      <c r="A37" s="1359"/>
      <c r="B37" s="3182"/>
      <c r="C37" s="1378" t="s">
        <v>1162</v>
      </c>
      <c r="D37" s="1383" t="str">
        <f>IF('数据-取费表'!B3="万元",NUMBERSTRING(INT(D36*10000),2)&amp;"元整",NUMBERSTRING(INT(D36),2)&amp;"元整")</f>
        <v>零元整</v>
      </c>
      <c r="E37" s="1359"/>
    </row>
    <row r="38" spans="1:5" ht="14.25">
      <c r="A38" s="1359"/>
      <c r="B38" s="3182"/>
      <c r="C38" s="1369" t="s">
        <v>1166</v>
      </c>
      <c r="D38" s="1380" t="e">
        <f>IF('数据-取费表'!E3="否",结果表!D113,'结果表 (1修多)'!D117)</f>
        <v>#DIV/0!</v>
      </c>
      <c r="E38" s="1359"/>
    </row>
    <row r="39" spans="1:5" ht="14.25">
      <c r="A39" s="1359"/>
      <c r="B39" s="3183" t="str">
        <f>B18</f>
        <v>——</v>
      </c>
      <c r="C39" s="1381" t="str">
        <f>C28</f>
        <v>总价</v>
      </c>
      <c r="D39" s="1382" t="str">
        <f>IF('数据-取费表'!E3="否",结果表!I112,'结果表 (1修多)'!I114)</f>
        <v>——</v>
      </c>
      <c r="E39" s="1359"/>
    </row>
    <row r="40" spans="1:5" ht="14.25">
      <c r="A40" s="1359"/>
      <c r="B40" s="3183"/>
      <c r="C40" s="1378" t="s">
        <v>1162</v>
      </c>
      <c r="D40" s="1383" t="e">
        <f>IF('数据-取费表'!B3="万元",NUMBERSTRING(INT(D39*10000),2)&amp;"元整",NUMBERSTRING(INT(D39),2)&amp;"元整")</f>
        <v>#VALUE!</v>
      </c>
      <c r="E40" s="1359"/>
    </row>
    <row r="41" spans="1:5" ht="14.25">
      <c r="A41" s="1359"/>
      <c r="B41" s="3183"/>
      <c r="C41" s="1369" t="s">
        <v>1166</v>
      </c>
      <c r="D41" s="1380" t="str">
        <f>IF('数据-取费表'!E3="否",结果表!D115,'结果表 (1修多)'!D119)</f>
        <v>——</v>
      </c>
      <c r="E41" s="1359"/>
    </row>
    <row r="42" spans="1:5" ht="14.25">
      <c r="A42" s="1359"/>
      <c r="B42" s="3182" t="str">
        <f>B21</f>
        <v>——</v>
      </c>
      <c r="C42" s="1381" t="str">
        <f>C28</f>
        <v>总价</v>
      </c>
      <c r="D42" s="1382" t="str">
        <f>IF('数据-取费表'!E3="否",结果表!I114,'结果表 (1修多)'!I116)</f>
        <v>——</v>
      </c>
      <c r="E42" s="1359"/>
    </row>
    <row r="43" spans="1:5" ht="14.25">
      <c r="A43" s="1359"/>
      <c r="B43" s="3184"/>
      <c r="C43" s="1378" t="s">
        <v>1162</v>
      </c>
      <c r="D43" s="1384" t="e">
        <f>IF('数据-取费表'!B3="万元",NUMBERSTRING(INT(D42*10000),2)&amp;"元整",NUMBERSTRING(INT(D42),2)&amp;"元整")</f>
        <v>#VALUE!</v>
      </c>
      <c r="E43" s="1359"/>
    </row>
    <row r="44" spans="1:5" ht="15" thickBot="1">
      <c r="A44" s="1359"/>
      <c r="B44" s="3185"/>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0" t="str">
        <f>IF(项目基本情况!D5="房地产市场价值","估价结果一览表","结果表-2")</f>
        <v>结果表-2</v>
      </c>
      <c r="B1" s="3200"/>
      <c r="C1" s="3200"/>
      <c r="D1" s="3200"/>
      <c r="E1" s="3200"/>
      <c r="F1" s="3200"/>
      <c r="G1" s="3200"/>
      <c r="H1" s="3200"/>
      <c r="I1" s="3200"/>
    </row>
    <row r="2" spans="1:9" ht="30" customHeight="1" thickTop="1">
      <c r="A2" s="3201" t="s">
        <v>1262</v>
      </c>
      <c r="B2" s="3201" t="s">
        <v>1263</v>
      </c>
      <c r="C2" s="3201" t="s">
        <v>1264</v>
      </c>
      <c r="D2" s="3201" t="str">
        <f>IF('数据-取费表'!E3="否",结果表!D119,'结果表 (1修多)'!D123)</f>
        <v>出让国有建设用地使用权价值</v>
      </c>
      <c r="E2" s="3201"/>
      <c r="F2" s="3201" t="s">
        <v>1265</v>
      </c>
      <c r="G2" s="3201"/>
      <c r="H2" s="3201" t="s">
        <v>1266</v>
      </c>
      <c r="I2" s="3201"/>
    </row>
    <row r="3" spans="1:9" ht="15">
      <c r="A3" s="3196"/>
      <c r="B3" s="3196"/>
      <c r="C3" s="3196"/>
      <c r="D3" s="818" t="s">
        <v>1267</v>
      </c>
      <c r="E3" s="818" t="s">
        <v>1268</v>
      </c>
      <c r="F3" s="818" t="s">
        <v>1267</v>
      </c>
      <c r="G3" s="818" t="s">
        <v>1269</v>
      </c>
      <c r="H3" s="818" t="s">
        <v>1267</v>
      </c>
      <c r="I3" s="818" t="s">
        <v>1269</v>
      </c>
    </row>
    <row r="4" spans="1:9" ht="46.5" customHeight="1">
      <c r="A4" s="818" t="str">
        <f>项目基本情况!I1</f>
        <v>北京市房地产</v>
      </c>
      <c r="B4" s="818">
        <f>结果表!B121</f>
        <v>118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6" t="s">
        <v>1270</v>
      </c>
      <c r="B5" s="3196"/>
      <c r="C5" s="3196"/>
      <c r="D5" s="3194" t="str">
        <f>IF('数据-取费表'!E3="否",结果表!D122,'结果表 (1修多)'!D126)</f>
        <v>零元整</v>
      </c>
      <c r="E5" s="3194"/>
      <c r="F5" s="3194" t="str">
        <f>IF('数据-取费表'!E3="否",结果表!F122,'结果表 (1修多)'!F126)</f>
        <v>零元整</v>
      </c>
      <c r="G5" s="3194"/>
      <c r="H5" s="3194" t="str">
        <f>IF('数据-取费表'!E3="否",结果表!H122,'结果表 (1修多)'!H126)</f>
        <v>零元整</v>
      </c>
      <c r="I5" s="3194"/>
    </row>
    <row r="6" spans="1:9" ht="15.75">
      <c r="A6" s="3195" t="str">
        <f>IF('数据-取费表'!E3="否",结果表!A123,'结果表 (1修多)'!A127)</f>
        <v>估价师所知悉的法定优先受偿款</v>
      </c>
      <c r="B6" s="3195"/>
      <c r="C6" s="3195"/>
      <c r="D6" s="3195">
        <f>IF('数据-取费表'!E3="否",结果表!D123,'结果表 (1修多)'!D127)</f>
        <v>0</v>
      </c>
      <c r="E6" s="3195"/>
      <c r="F6" s="3195"/>
      <c r="G6" s="3195"/>
      <c r="H6" s="3195"/>
      <c r="I6" s="3195"/>
    </row>
    <row r="7" spans="1:9" ht="15">
      <c r="A7" s="3196" t="s">
        <v>1270</v>
      </c>
      <c r="B7" s="3196"/>
      <c r="C7" s="3196"/>
      <c r="D7" s="3197">
        <f>IF('数据-取费表'!E3="否",结果表!D124,'结果表 (1修多)'!D128)</f>
        <v>0</v>
      </c>
      <c r="E7" s="3198"/>
      <c r="F7" s="3198"/>
      <c r="G7" s="3198"/>
      <c r="H7" s="3198"/>
      <c r="I7" s="3199"/>
    </row>
    <row r="8" spans="1:9" ht="15.75">
      <c r="A8" s="3195" t="str">
        <f>IF('数据-取费表'!E3="否",结果表!A125,'结果表 (1修多)'!A129)</f>
        <v>房地产抵押价值</v>
      </c>
      <c r="B8" s="3195"/>
      <c r="C8" s="3195"/>
      <c r="D8" s="3195">
        <f>IF('数据-取费表'!E3="否",结果表!D125,'结果表 (1修多)'!D129)</f>
        <v>0</v>
      </c>
      <c r="E8" s="3195"/>
      <c r="F8" s="3195"/>
      <c r="G8" s="3195"/>
      <c r="H8" s="3195"/>
      <c r="I8" s="3195"/>
    </row>
    <row r="9" spans="1:9" ht="15">
      <c r="A9" s="3196" t="s">
        <v>1270</v>
      </c>
      <c r="B9" s="3196"/>
      <c r="C9" s="3196"/>
      <c r="D9" s="3194" t="e">
        <f>IF('数据-取费表'!E3="否",结果表!D126,'结果表 (1修多)'!D130)</f>
        <v>#DIV/0!</v>
      </c>
      <c r="E9" s="3194"/>
      <c r="F9" s="3194"/>
      <c r="G9" s="3194"/>
      <c r="H9" s="3194"/>
      <c r="I9" s="3194"/>
    </row>
    <row r="10" spans="1:9" ht="15.75">
      <c r="A10" s="3195" t="str">
        <f>IF('数据-取费表'!E3="否",结果表!A127,'结果表 (1修多)'!A131)</f>
        <v/>
      </c>
      <c r="B10" s="3195"/>
      <c r="C10" s="3195"/>
      <c r="D10" s="3195" t="e">
        <f>IF('数据-取费表'!E3="否",结果表!D127,'结果表 (1修多)'!D130)</f>
        <v>#DIV/0!</v>
      </c>
      <c r="E10" s="3195"/>
      <c r="F10" s="3195"/>
      <c r="G10" s="3195"/>
      <c r="H10" s="3195"/>
      <c r="I10" s="3195"/>
    </row>
    <row r="11" spans="1:9" ht="15">
      <c r="A11" s="3196" t="s">
        <v>1270</v>
      </c>
      <c r="B11" s="3196"/>
      <c r="C11" s="3196"/>
      <c r="D11" s="3194" t="str">
        <f>IF('数据-取费表'!E3="否",结果表!D128,'结果表 (1修多)'!D132)</f>
        <v>——</v>
      </c>
      <c r="E11" s="3194"/>
      <c r="F11" s="3194"/>
      <c r="G11" s="3194"/>
      <c r="H11" s="3194"/>
      <c r="I11" s="3194"/>
    </row>
    <row r="12" spans="1:9" ht="15.75">
      <c r="A12" s="3195" t="str">
        <f>IF('数据-取费表'!E3="否",结果表!A129,'结果表 (1修多)'!A133)</f>
        <v/>
      </c>
      <c r="B12" s="3195"/>
      <c r="C12" s="3195"/>
      <c r="D12" s="3195" t="str">
        <f>IF('数据-取费表'!E3="否",结果表!D129,'结果表 (1修多)'!D133)</f>
        <v>——</v>
      </c>
      <c r="E12" s="3195"/>
      <c r="F12" s="3195"/>
      <c r="G12" s="3195"/>
      <c r="H12" s="3195"/>
      <c r="I12" s="3195"/>
    </row>
    <row r="13" spans="1:9" ht="15.75" thickBot="1">
      <c r="A13" s="3202" t="s">
        <v>1270</v>
      </c>
      <c r="B13" s="3202"/>
      <c r="C13" s="3202"/>
      <c r="D13" s="3203">
        <f>IF('数据-取费表'!E3="否",结果表!D130,'结果表 (1修多)'!D134)</f>
        <v>0</v>
      </c>
      <c r="E13" s="3203"/>
      <c r="F13" s="3203"/>
      <c r="G13" s="3203"/>
      <c r="H13" s="3203"/>
      <c r="I13" s="3203"/>
    </row>
    <row r="14" spans="1:9" ht="15" thickTop="1">
      <c r="A14" s="3204" t="str">
        <f>IF('数据-取费表'!E3="否",结果表!A131,'结果表 (1修多)'!A135)</f>
        <v>单位：平方米、元、元/平方米（币种：人民币）</v>
      </c>
      <c r="B14" s="3204"/>
      <c r="C14" s="3204"/>
      <c r="D14" s="3204"/>
      <c r="E14" s="3204"/>
      <c r="F14" s="3204"/>
      <c r="G14" s="3204"/>
      <c r="H14" s="3204"/>
      <c r="I14" s="3204"/>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9" t="s">
        <v>1283</v>
      </c>
      <c r="B1" s="3209"/>
      <c r="C1" s="3209"/>
      <c r="D1" s="3209"/>
    </row>
    <row r="2" spans="1:4" ht="18">
      <c r="A2" s="3208" t="s">
        <v>1272</v>
      </c>
      <c r="B2" s="3208"/>
      <c r="C2" s="3208"/>
      <c r="D2" s="3208"/>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08" t="s">
        <v>1277</v>
      </c>
      <c r="B7" s="3208"/>
      <c r="C7" s="3208"/>
      <c r="D7" s="3208"/>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05" t="s">
        <v>2735</v>
      </c>
      <c r="B12" s="3207"/>
      <c r="C12" s="3207"/>
      <c r="D12" s="3207"/>
    </row>
    <row r="13" spans="1:4" ht="15.75">
      <c r="A13" s="32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7"/>
      <c r="C13" s="3207"/>
      <c r="D13" s="3207"/>
    </row>
    <row r="14" spans="1:4" ht="30" customHeight="1">
      <c r="A14" s="3205" t="str">
        <f>IF(项目基本情况!D4="抵押","3.抵押双方在办理抵押登记手续时，应使用本公司出具的正式《不动产估价报告书》，特提醒报告使用者注意。","——")</f>
        <v>——</v>
      </c>
      <c r="B14" s="3207"/>
      <c r="C14" s="3207"/>
      <c r="D14" s="3207"/>
    </row>
    <row r="15" spans="1:4" ht="15.75" customHeight="1">
      <c r="A15" s="3205" t="str">
        <f>IF(项目基本情况!D4="抵押","4.本次评估估价师所知悉的法定优先受偿款情况说明如下：","——")</f>
        <v>——</v>
      </c>
      <c r="B15" s="3207"/>
      <c r="C15" s="3207"/>
      <c r="D15" s="3207"/>
    </row>
    <row r="16" spans="1:4" ht="75" customHeight="1">
      <c r="A16" s="3205" t="str">
        <f>IF(项目基本情况!D4="抵押",CONCATENATE(项目基本情况!J13,项目基本情况!J14,项目基本情况!J15),"——")</f>
        <v>——</v>
      </c>
      <c r="B16" s="3205"/>
      <c r="C16" s="3205"/>
      <c r="D16" s="3205"/>
    </row>
    <row r="17" spans="1:4" ht="63.75" customHeight="1">
      <c r="A17" s="3206" t="s">
        <v>1285</v>
      </c>
      <c r="B17" s="3206"/>
      <c r="C17" s="3206"/>
      <c r="D17" s="3206"/>
    </row>
    <row r="18" spans="1:4" ht="15.75" customHeight="1">
      <c r="A18" s="3205" t="str">
        <f>IF(项目基本情况!D4="抵押",结果表!L106,"——")</f>
        <v>——</v>
      </c>
      <c r="B18" s="3205"/>
      <c r="C18" s="3205"/>
      <c r="D18" s="3205"/>
    </row>
    <row r="19" spans="1:4" ht="46.5" customHeight="1">
      <c r="A19" s="32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15">
      <c r="A20" s="3206" t="s">
        <v>2736</v>
      </c>
      <c r="B20" s="3206"/>
      <c r="C20" s="3206"/>
      <c r="D20" s="3206"/>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15" t="s">
        <v>1364</v>
      </c>
      <c r="B15" s="3210" t="s">
        <v>1365</v>
      </c>
      <c r="C15" s="3211"/>
    </row>
    <row r="16" spans="1:7" ht="14.25">
      <c r="A16" s="3216"/>
      <c r="B16" s="3210" t="s">
        <v>1366</v>
      </c>
      <c r="C16" s="3211"/>
    </row>
    <row r="17" spans="1:3" ht="14.25">
      <c r="A17" s="3216"/>
      <c r="B17" s="3210" t="s">
        <v>1367</v>
      </c>
      <c r="C17" s="3211"/>
    </row>
    <row r="18" spans="1:3" ht="14.25">
      <c r="A18" s="3217"/>
      <c r="B18" s="3212" t="s">
        <v>1368</v>
      </c>
      <c r="C18" s="3211"/>
    </row>
    <row r="19" spans="1:3" ht="14.25">
      <c r="A19" s="1412" t="s">
        <v>1369</v>
      </c>
      <c r="B19" s="1413"/>
      <c r="C19" s="1414"/>
    </row>
    <row r="20" spans="1:3" ht="14.25">
      <c r="A20" s="3213" t="s">
        <v>1370</v>
      </c>
      <c r="B20" s="3212" t="s">
        <v>1371</v>
      </c>
      <c r="C20" s="3211"/>
    </row>
    <row r="21" spans="1:3" ht="14.25">
      <c r="A21" s="3213"/>
      <c r="B21" s="3212" t="s">
        <v>1372</v>
      </c>
      <c r="C21" s="3211"/>
    </row>
    <row r="22" spans="1:3" ht="14.25">
      <c r="A22" s="3213"/>
      <c r="B22" s="3212" t="s">
        <v>1373</v>
      </c>
      <c r="C22" s="3211"/>
    </row>
    <row r="23" spans="1:3" ht="14.25">
      <c r="A23" s="3213"/>
      <c r="B23" s="3214" t="s">
        <v>1374</v>
      </c>
      <c r="C23" s="1415" t="s">
        <v>1375</v>
      </c>
    </row>
    <row r="24" spans="1:3" ht="14.25">
      <c r="A24" s="3213"/>
      <c r="B24" s="3214"/>
      <c r="C24" s="1415" t="s">
        <v>1376</v>
      </c>
    </row>
    <row r="25" spans="1:3" ht="14.25">
      <c r="A25" s="3213"/>
      <c r="B25" s="3214"/>
      <c r="C25" s="1415" t="s">
        <v>1377</v>
      </c>
    </row>
    <row r="26" spans="1:3" ht="14.25">
      <c r="A26" s="3213"/>
      <c r="B26" s="3214"/>
      <c r="C26" s="1415" t="s">
        <v>1378</v>
      </c>
    </row>
    <row r="27" spans="1:3" ht="14.25">
      <c r="A27" s="3213"/>
      <c r="B27" s="3214"/>
      <c r="C27" s="1415" t="s">
        <v>1379</v>
      </c>
    </row>
    <row r="28" spans="1:3" ht="14.25">
      <c r="A28" s="3213"/>
      <c r="B28" s="3214"/>
      <c r="C28" s="1415" t="s">
        <v>1380</v>
      </c>
    </row>
    <row r="29" spans="1:3" ht="14.25">
      <c r="A29" s="3213"/>
      <c r="B29" s="3214"/>
      <c r="C29" s="1415" t="s">
        <v>1381</v>
      </c>
    </row>
    <row r="30" spans="1:3" ht="14.25">
      <c r="A30" s="3213"/>
      <c r="B30" s="3214"/>
      <c r="C30" s="1415" t="s">
        <v>1382</v>
      </c>
    </row>
    <row r="31" spans="1:3" ht="14.25">
      <c r="A31" s="3213"/>
      <c r="B31" s="3214"/>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44326</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8" t="s">
        <v>762</v>
      </c>
      <c r="B17" s="3218"/>
      <c r="C17" s="3218"/>
      <c r="D17" s="3218"/>
      <c r="E17" s="3218"/>
      <c r="F17" s="3218"/>
      <c r="G17" s="3218"/>
      <c r="H17" s="3218"/>
    </row>
    <row r="18" spans="1:8" ht="24" customHeight="1">
      <c r="A18" s="3219" t="s">
        <v>763</v>
      </c>
      <c r="B18" s="3219"/>
      <c r="C18" s="3219"/>
      <c r="D18" s="3069"/>
      <c r="E18" s="3220" t="s">
        <v>764</v>
      </c>
      <c r="F18" s="3219"/>
      <c r="G18" s="3219"/>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21"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本次估价的“房地产价值”是指在正常市场情况下，在价值时点2014年7月9日，估价对象规划用途为，假定未设立法定优先受偿款下的房地产市场价值。</v>
      </c>
    </row>
    <row r="54" spans="1:4">
      <c r="A54" s="3221"/>
      <c r="B54" s="9" t="s">
        <v>1520</v>
      </c>
      <c r="C54" s="9" t="s">
        <v>1521</v>
      </c>
    </row>
    <row r="55" spans="1:4">
      <c r="A55" s="3221"/>
      <c r="B55" s="9" t="s">
        <v>1522</v>
      </c>
      <c r="C55" s="9" t="s">
        <v>1523</v>
      </c>
    </row>
    <row r="56" spans="1:4">
      <c r="A56" s="3221"/>
      <c r="B56" s="9" t="s">
        <v>1524</v>
      </c>
      <c r="C56" s="9" t="s">
        <v>1525</v>
      </c>
    </row>
    <row r="57" spans="1:4">
      <c r="A57" s="3221"/>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2021-05-10T03:47:04Z</dcterms:modified>
</cp:coreProperties>
</file>