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E15E39FD-F1AE-4850-AB03-823F9E08A533}" xr6:coauthVersionLast="47" xr6:coauthVersionMax="47" xr10:uidLastSave="{00000000-0000-0000-0000-000000000000}"/>
  <bookViews>
    <workbookView xWindow="-120" yWindow="-120" windowWidth="21840" windowHeight="13140" tabRatio="899" firstSheet="12"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Sheet1" sheetId="82" r:id="rId10"/>
    <sheet name="商业大宗" sheetId="83" r:id="rId11"/>
    <sheet name="乐华大厦" sheetId="84" r:id="rId12"/>
    <sheet name="悦荣中心" sheetId="85" r:id="rId13"/>
    <sheet name="中海金融中心" sheetId="86" r:id="rId14"/>
    <sheet name="定义" sheetId="10" r:id="rId15"/>
    <sheet name="常用公式" sheetId="78" state="hidden" r:id="rId16"/>
    <sheet name="项目基本情况" sheetId="4" r:id="rId17"/>
    <sheet name="数据-基础表" sheetId="3" r:id="rId18"/>
    <sheet name="数据-汇总表" sheetId="6" r:id="rId19"/>
    <sheet name="数据-取费表" sheetId="1" r:id="rId20"/>
    <sheet name="估价对象房地状况" sheetId="20" state="hidden" r:id="rId21"/>
    <sheet name="系统读取表" sheetId="74" r:id="rId22"/>
    <sheet name="结果表" sheetId="9" r:id="rId23"/>
    <sheet name="比较法-办公" sheetId="34"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车库" sheetId="80" r:id="rId30"/>
    <sheet name="收益法-酒店模型" sheetId="77"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成本法" sheetId="68" r:id="rId41"/>
    <sheet name="基准地价修正" sheetId="43"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 r:id="rId55"/>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0" hidden="1">商业大宗!$A$1:$W$60</definedName>
    <definedName name="_xlnm._FilterDatabase" localSheetId="17"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6"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0">成本法!$A$1:$G$57</definedName>
    <definedName name="_xlnm.Print_Area" localSheetId="24">'成本法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2">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29">收益法车库!$A$1:$F$43,收益法车库!$H$3:$M$29,收益法车库!$A$46:$F$71,收益法车库!$I$46:$N$65</definedName>
    <definedName name="_xlnm.Print_Area" localSheetId="18">'数据-汇总表'!$A$1:$P$32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系统读取表!$A$1:$I$26</definedName>
    <definedName name="_xlnm.Print_Area" localSheetId="16">项目基本情况!$A$1:$I$38</definedName>
    <definedName name="八级">区片价!$P$1:$P$44</definedName>
    <definedName name="办公">定义!$Y$2</definedName>
    <definedName name="办公层高" localSheetId="10">'[4]比较法-办公'!$B$119:$M$119</definedName>
    <definedName name="办公层高">'比较法-办公'!$B$119:$M$119</definedName>
    <definedName name="办公朝向" localSheetId="10">'[4]比较法-办公'!$B$91:$M$91</definedName>
    <definedName name="办公朝向">'比较法-办公'!$B$91:$M$91</definedName>
    <definedName name="办公道路级别" localSheetId="10">'[4]比较法-办公'!$B$87:$M$87</definedName>
    <definedName name="办公道路级别">'比较法-办公'!$B$87:$M$87</definedName>
    <definedName name="办公公共部分装修" localSheetId="10">'[4]比较法-办公'!$B$108:$M$108</definedName>
    <definedName name="办公公共部分装修">'比较法-办公'!$B$108:$M$108</definedName>
    <definedName name="办公基础设施水平" localSheetId="10">'[4]比较法-办公'!$B$117:$M$117</definedName>
    <definedName name="办公基础设施水平">'比较法-办公'!$B$117:$M$117</definedName>
    <definedName name="办公集聚程度" localSheetId="10">[4]定义!$M$1:$M$6</definedName>
    <definedName name="办公集聚程度">定义!$M$1:$M$6</definedName>
    <definedName name="办公建筑结构" localSheetId="10">'[4]比较法-办公'!$B$106:$M$106</definedName>
    <definedName name="办公建筑结构">'比较法-办公'!$B$106:$M$106</definedName>
    <definedName name="办公建筑类型" localSheetId="10">'[4]比较法-办公'!$B$101:$M$101</definedName>
    <definedName name="办公建筑类型">'比较法-办公'!$B$101:$M$101</definedName>
    <definedName name="办公交易情况" localSheetId="10">'[4]比较法-办公'!$A$62:$M$62</definedName>
    <definedName name="办公交易情况">'比较法-办公'!$A$62:$M$62</definedName>
    <definedName name="办公楼层" localSheetId="10">'[4]比较法-办公'!$B$89:$M$89</definedName>
    <definedName name="办公楼层">'比较法-办公'!$B$89:$M$89</definedName>
    <definedName name="办公内部装修" localSheetId="10">'[4]比较法-办公'!$B$123:$M$123</definedName>
    <definedName name="办公内部装修">'比较法-办公'!$B$123:$M$123</definedName>
    <definedName name="办公物业管理" localSheetId="10">'[4]比较法-办公'!$B$115:$M$115</definedName>
    <definedName name="办公物业管理">'比较法-办公'!$B$115:$M$115</definedName>
    <definedName name="办公用途" localSheetId="10">'[4]比较法-办公'!$B$64:$M$64</definedName>
    <definedName name="办公用途">'比较法-办公'!$B$64:$M$64</definedName>
    <definedName name="仓储公共部分装修" localSheetId="10">'[4]比较法-仓储'!$B$77:$M$77</definedName>
    <definedName name="仓储公共部分装修">'比较法-仓储'!$B$77:$M$77</definedName>
    <definedName name="仓储交易情况" localSheetId="10">'[4]比较法-仓储'!$A$49:$M$49</definedName>
    <definedName name="仓储交易情况">'比较法-仓储'!$A$49:$M$49</definedName>
    <definedName name="仓储楼层" localSheetId="10">'[4]比较法-仓储'!$B$69:$M$69</definedName>
    <definedName name="仓储楼层">'比较法-仓储'!$B$69:$M$69</definedName>
    <definedName name="仓储物业等级" localSheetId="10">'[4]比较法-仓储'!$B$82:$M$82</definedName>
    <definedName name="仓储物业等级">'比较法-仓储'!$B$82:$M$82</definedName>
    <definedName name="仓储用途" localSheetId="10">'[4]比较法-仓储'!$B$51:$M$51</definedName>
    <definedName name="仓储用途">'比较法-仓储'!$B$51:$M$51</definedName>
    <definedName name="产业集聚程度" localSheetId="10">[4]定义!$N$1:$N$6</definedName>
    <definedName name="产业集聚程度">定义!$N$1:$N$6</definedName>
    <definedName name="车位公共部分装修" localSheetId="10">'[4]比较法-车位'!$B$83:$M$83</definedName>
    <definedName name="车位公共部分装修">'比较法-车位'!$B$83:$M$83</definedName>
    <definedName name="车位交易情况" localSheetId="10">'[4]比较法-车位'!$A$51:$M$51</definedName>
    <definedName name="车位交易情况">'比较法-车位'!$A$51:$M$51</definedName>
    <definedName name="车位类型" localSheetId="10">'[4]比较法-车位'!$B$93:$M$93</definedName>
    <definedName name="车位类型">'比较法-车位'!$B$93:$M$93</definedName>
    <definedName name="车位楼层" localSheetId="10">'[4]比较法-车位'!$B$71:$M$71</definedName>
    <definedName name="车位楼层">'比较法-车位'!$B$71:$M$71</definedName>
    <definedName name="车位配套类型" localSheetId="10">'[4]比较法-车位'!$B$79:$M$79</definedName>
    <definedName name="车位配套类型">'比较法-车位'!$B$79:$M$79</definedName>
    <definedName name="车位物业等级" localSheetId="10">'[4]比较法-车位'!$B$88:$M$88</definedName>
    <definedName name="车位物业等级">'比较法-车位'!$B$88:$M$88</definedName>
    <definedName name="车位用途" localSheetId="10">'[4]比较法-车位'!$B$53:$M$53</definedName>
    <definedName name="车位用途">'比较法-车位'!$B$53:$M$53</definedName>
    <definedName name="城镇土地纳税等级分级范围" localSheetId="10">'[4]数据-取费表'!$A$53:$A$63</definedName>
    <definedName name="城镇土地纳税等级分级范围">'数据-取费表'!$A$53:$A$63</definedName>
    <definedName name="单价内涵" localSheetId="10">[4]定义!$V$1:$V$3</definedName>
    <definedName name="单价内涵">定义!$V$1:$V$3</definedName>
    <definedName name="地类判定" localSheetId="10">[4]定义!$H$1:$H$9</definedName>
    <definedName name="地类判定">定义!$H$1:$H$9</definedName>
    <definedName name="二级">区片价!$J$1:$J$21</definedName>
    <definedName name="二级分类" localSheetId="10">[4]修正!$C$19:$C$51</definedName>
    <definedName name="二级分类">修正!$C$19:$C$53</definedName>
    <definedName name="法定最高年限" localSheetId="10">[4]定义!$G$1:$G$6</definedName>
    <definedName name="法定最高年限">定义!$G$1:$G$6</definedName>
    <definedName name="工业">定义!$AB$2:$AB$12</definedName>
    <definedName name="工业公共部分装修" localSheetId="10">'[4]比较法-工业'!$B$95:$M$95</definedName>
    <definedName name="工业公共部分装修">'比较法-工业'!$B$95:$M$95</definedName>
    <definedName name="工业基础设施水平" localSheetId="10">'[4]比较法-工业'!$B$102:$M$102</definedName>
    <definedName name="工业基础设施水平">'比较法-工业'!$B$102:$M$102</definedName>
    <definedName name="工业建筑结构" localSheetId="10">'[4]比较法-工业'!$B$93:$M$93</definedName>
    <definedName name="工业建筑结构">'比较法-工业'!$B$93:$M$93</definedName>
    <definedName name="工业建筑类型" localSheetId="10">'[4]比较法-工业'!$B$88:$M$88</definedName>
    <definedName name="工业建筑类型">'比较法-工业'!$B$88:$M$88</definedName>
    <definedName name="工业交易情况" localSheetId="10">'[4]比较法-工业'!$A$55:$M$55</definedName>
    <definedName name="工业交易情况">'比较法-工业'!$A$55:$M$55</definedName>
    <definedName name="工业内部装修" localSheetId="10">'[4]比较法-工业'!$B$104:$M$104</definedName>
    <definedName name="工业内部装修">'比较法-工业'!$B$104:$M$104</definedName>
    <definedName name="工业物业管理" localSheetId="10">'[4]比较法-工业'!$B$100:$M$100</definedName>
    <definedName name="工业物业管理">'比较法-工业'!$B$100:$M$100</definedName>
    <definedName name="工业用途" localSheetId="10">'[4]比较法-工业'!$B$57:$M$57</definedName>
    <definedName name="工业用途">'比较法-工业'!$B$57:$M$57</definedName>
    <definedName name="公共服务">定义!$Z$2:$Z$14</definedName>
    <definedName name="公共配套设施" localSheetId="10">[4]定义!$Q$1:$Q$6</definedName>
    <definedName name="公共配套设施">定义!$Q$1:$Q$6</definedName>
    <definedName name="估价范围判定" localSheetId="10">[4]定义!$D$1:$D$4</definedName>
    <definedName name="估价范围判定">定义!$D$1:$D$4</definedName>
    <definedName name="估价方法" localSheetId="10">[4]定义!$B$1:$B$50</definedName>
    <definedName name="估价方法">定义!$B$1:$B$50</definedName>
    <definedName name="环境" localSheetId="10">[4]定义!$S$1:$S$6</definedName>
    <definedName name="环境">定义!$S$1:$S$6</definedName>
    <definedName name="基础设施水平" localSheetId="10">[4]定义!$R$1:$R$6</definedName>
    <definedName name="基础设施水平">定义!$R$1:$R$6</definedName>
    <definedName name="季度">基准地价修正!$Q$19:$AD$19</definedName>
    <definedName name="价值类型2" localSheetId="10">[4]定义!$B$54:$B$56</definedName>
    <definedName name="价值类型2">定义!$B$54:$B$56</definedName>
    <definedName name="交通便捷度" localSheetId="10">[4]定义!$O$1:$O$6</definedName>
    <definedName name="交通便捷度">定义!$O$1:$O$6</definedName>
    <definedName name="九级">区片价!$Q$1:$Q$51</definedName>
    <definedName name="居住社区成熟度" localSheetId="10">[4]定义!$K$1:$K$6</definedName>
    <definedName name="居住社区成熟度">定义!$K$1:$K$6</definedName>
    <definedName name="类别" localSheetId="10">[4]定义!$J$1:$J$3</definedName>
    <definedName name="类别">定义!$J$1:$J$3</definedName>
    <definedName name="临街状况" localSheetId="10">[4]定义!$T$1:$T$5</definedName>
    <definedName name="临街状况">定义!$T$1:$T$5</definedName>
    <definedName name="六级">区片价!$N$1:$N$64</definedName>
    <definedName name="内部装修维护情况" localSheetId="10">[4]定义!$U$1:$U$6</definedName>
    <definedName name="内部装修维护情况">定义!$U$1:$U$6</definedName>
    <definedName name="七级">区片价!$O$1:$O$45</definedName>
    <definedName name="七通一平" localSheetId="10">[4]修正!$A$8:$A$16</definedName>
    <definedName name="七通一平">修正!$A$8:$A$16</definedName>
    <definedName name="区域土地利用方向" localSheetId="10">[4]定义!$P$1:$P$6</definedName>
    <definedName name="区域土地利用方向">定义!$P$1:$P$6</definedName>
    <definedName name="三级">区片价!$K$1:$K$26</definedName>
    <definedName name="商业">定义!$X$2:$X$9</definedName>
    <definedName name="商业层高" localSheetId="10">'[4]比较法-商业'!$B$116:$M$116</definedName>
    <definedName name="商业层高">'比较法-商业'!$B$116:$M$116</definedName>
    <definedName name="商业成新度">'比较法-商业'!$B$109:$M$109</definedName>
    <definedName name="商业繁华度" localSheetId="10">[4]定义!$L$1:$L$6</definedName>
    <definedName name="商业繁华度">定义!$L$1:$L$6</definedName>
    <definedName name="商业公共部分装修" localSheetId="10">'[4]比较法-商业'!$B$107:$M$107</definedName>
    <definedName name="商业公共部分装修">'比较法-商业'!$B$107:$M$107</definedName>
    <definedName name="商业基础设施水平" localSheetId="10">'[4]比较法-商业'!$B$112:$M$112</definedName>
    <definedName name="商业基础设施水平">'比较法-商业'!$B$112:$M$112</definedName>
    <definedName name="商业建筑结构" localSheetId="10">'[4]比较法-商业'!$B$105:$M$105</definedName>
    <definedName name="商业建筑结构">'比较法-商业'!$B$105:$M$105</definedName>
    <definedName name="商业交易情况" localSheetId="10">'[4]比较法-商业'!$A$61:$M$61</definedName>
    <definedName name="商业交易情况">'比较法-商业'!$A$61:$M$61</definedName>
    <definedName name="商业街名称" localSheetId="10">[4]修正!$C$71:$C$138</definedName>
    <definedName name="商业街名称">修正!$C$73:$C$140</definedName>
    <definedName name="商业进深比" localSheetId="10">'[4]比较法-商业'!$B$120:$M$120</definedName>
    <definedName name="商业进深比">'比较法-商业'!$B$120:$M$120</definedName>
    <definedName name="商业类型" localSheetId="10">'[4]比较法-商业'!$B$100:$M$100</definedName>
    <definedName name="商业类型">'比较法-商业'!$B$100:$M$100</definedName>
    <definedName name="商业临街状况" localSheetId="10">'[4]比较法-商业'!$B$86:$M$86</definedName>
    <definedName name="商业临街状况">'比较法-商业'!$B$86:$M$86</definedName>
    <definedName name="商业楼层" localSheetId="10">'[4]比较法-商业'!$B$92:$M$92</definedName>
    <definedName name="商业楼层">'比较法-商业'!$B$92:$M$92</definedName>
    <definedName name="商业内部装修" localSheetId="10">'[4]比较法-商业'!$B$122:$M$122</definedName>
    <definedName name="商业内部装修">'比较法-商业'!$B$122:$M$122</definedName>
    <definedName name="商业人流量" localSheetId="10">'[4]比较法-商业'!$B$90:$M$90</definedName>
    <definedName name="商业人流量">'比较法-商业'!$B$90:$M$90</definedName>
    <definedName name="商业业态" localSheetId="10">'[4]比较法-商业'!$B$114:$M$114</definedName>
    <definedName name="商业业态">'比较法-商业'!$B$114:$M$114</definedName>
    <definedName name="商业用途" localSheetId="10">'[4]比较法-商业'!$B$63:$M$63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0">'[4]比较法-仓储'!$B$89:$M$89</definedName>
    <definedName name="是否封闭">'比较法-仓储'!$B$89:$M$89</definedName>
    <definedName name="是否直接入户" localSheetId="10">'[4]比较法-车位'!$B$95:$M$95</definedName>
    <definedName name="是否直接入户">'比较法-车位'!$B$95:$M$95</definedName>
    <definedName name="四级">区片价!$L$1:$L$33</definedName>
    <definedName name="套工道路等级" localSheetId="10">'[4]土地比较法-工业'!$B$97:$M$97</definedName>
    <definedName name="套工道路等级">'土地比较法-工业'!$B$97:$M$97</definedName>
    <definedName name="套工地质条件" localSheetId="10">'[4]土地比较法-工业'!$B$114:$M$114</definedName>
    <definedName name="套工地质条件">'土地比较法-工业'!$B$114:$M$114</definedName>
    <definedName name="套工交易情况" localSheetId="10">'[4]土地比较法-住宅、综合'!$A$72:$M$72</definedName>
    <definedName name="套工交易情况">'土地比较法-住宅、综合'!$A$72:$M$72</definedName>
    <definedName name="套工土地级别" localSheetId="10">'[4]土地比较法-工业'!$B$99:$M$99</definedName>
    <definedName name="套工土地级别">'土地比较法-工业'!$B$99:$M$99</definedName>
    <definedName name="套工用途" localSheetId="10">'[4]土地比较法-工业'!$B$70:$M$70</definedName>
    <definedName name="套工用途">'土地比较法-工业'!$B$70:$M$70</definedName>
    <definedName name="套工宗地开发程度" localSheetId="10">'[4]土地比较法-工业'!$B$112:$M$112</definedName>
    <definedName name="套工宗地开发程度">'土地比较法-工业'!$B$112:$M$112</definedName>
    <definedName name="套工宗地形状" localSheetId="10">'[4]土地比较法-工业'!$B$110:$M$110</definedName>
    <definedName name="套工宗地形状">'土地比较法-工业'!$B$110:$M$110</definedName>
    <definedName name="套综道路等级" localSheetId="10">'[4]土地比较法-住宅、综合'!$B$105:$M$105</definedName>
    <definedName name="套综道路等级">'土地比较法-住宅、综合'!$B$105:$M$105</definedName>
    <definedName name="套综工程地质条件" localSheetId="10">'[4]土地比较法-住宅、综合'!$B$124:$M$124</definedName>
    <definedName name="套综工程地质条件">'土地比较法-住宅、综合'!$B$124:$M$124</definedName>
    <definedName name="套综交易情况" localSheetId="10">'[4]土地比较法-住宅、综合'!$A$72:$M$72</definedName>
    <definedName name="套综交易情况">'土地比较法-住宅、综合'!$A$72:$M$72</definedName>
    <definedName name="套综临街宽度及深度" localSheetId="10">'[4]土地比较法-住宅、综合'!$B$120:$M$120</definedName>
    <definedName name="套综临街宽度及深度">'土地比较法-住宅、综合'!$B$120:$M$120</definedName>
    <definedName name="套综土地级别" localSheetId="10">'[4]土地比较法-住宅、综合'!$B$107:$M$107</definedName>
    <definedName name="套综土地级别">'土地比较法-住宅、综合'!$B$107:$M$107</definedName>
    <definedName name="套综用途" localSheetId="10">'[4]土地比较法-住宅、综合'!$B$74:$M$74</definedName>
    <definedName name="套综用途">'土地比较法-住宅、综合'!$B$74:$M$74</definedName>
    <definedName name="套综宗地内开发程度" localSheetId="10">'[4]土地比较法-住宅、综合'!$B$122:$M$122</definedName>
    <definedName name="套综宗地内开发程度">'土地比较法-住宅、综合'!$B$122:$M$122</definedName>
    <definedName name="套综宗地形状" localSheetId="10">'[4]土地比较法-住宅、综合'!$B$118:$M$118</definedName>
    <definedName name="套综宗地形状">'土地比较法-住宅、综合'!$B$118:$M$118</definedName>
    <definedName name="土地估价师">估价师及机构信息!$D$3:$D$24</definedName>
    <definedName name="土地级别" localSheetId="10">[4]定义!$C$1:$C$14</definedName>
    <definedName name="土地级别">定义!$C$1:$C$14</definedName>
    <definedName name="土地利用方向">定义!$P$1:$P$6</definedName>
    <definedName name="土地年限区间">定义!$I$1:$I$16</definedName>
    <definedName name="位置" localSheetId="10">[4]定义!$E$2:$E$4</definedName>
    <definedName name="位置">定义!$E$2:$E$4</definedName>
    <definedName name="五等判定" localSheetId="10">[4]定义!$W$1:$W$6</definedName>
    <definedName name="五等判定">定义!$W$1:$W$6</definedName>
    <definedName name="五级">区片价!$M$1:$M$41</definedName>
    <definedName name="项目类型" localSheetId="10">'[4]数据-汇总表'!$C$17:$C$26</definedName>
    <definedName name="项目类型" localSheetId="30">'[1]数据-汇总表'!$C$17:$C$26</definedName>
    <definedName name="项目类型">'数据-汇总表'!$C$17:$C$26</definedName>
    <definedName name="写字楼等级" localSheetId="10">'[4]比较法-办公'!$B$113:$M$113</definedName>
    <definedName name="写字楼等级">'比较法-办公'!$B$113:$M$113</definedName>
    <definedName name="一级">区片价!$I$1:$I$6</definedName>
    <definedName name="一修多修正项2" localSheetId="10">[4]典型户型修正!$5:$5</definedName>
    <definedName name="一修多修正项2">典型户型修正!$5:$5</definedName>
    <definedName name="一修多修正项3" localSheetId="10">[4]典型户型修正!$7:$7</definedName>
    <definedName name="一修多修正项3">典型户型修正!$7:$7</definedName>
    <definedName name="一修多修正项4" localSheetId="10">[4]典型户型修正!$9:$9</definedName>
    <definedName name="一修多修正项4">典型户型修正!$9:$9</definedName>
    <definedName name="一修多修正项5" localSheetId="10">[4]典型户型修正!$11:$11</definedName>
    <definedName name="一修多修正项5">典型户型修正!$11:$11</definedName>
    <definedName name="一修多修正项6" localSheetId="10">[4]典型户型修正!$13:$13</definedName>
    <definedName name="一修多修正项6">典型户型修正!$13:$13</definedName>
    <definedName name="一修多修正项7" localSheetId="10">[4]典型户型修正!$15:$15</definedName>
    <definedName name="一修多修正项7">典型户型修正!$15:$15</definedName>
    <definedName name="一修多修正项8" localSheetId="10">[4]典型户型修正!$17:$17</definedName>
    <definedName name="一修多修正项8">典型户型修正!$17:$17</definedName>
    <definedName name="用途明细" localSheetId="10">[4]定义!$A$1:$A$50</definedName>
    <definedName name="用途明细">定义!$A$1:$A$50</definedName>
    <definedName name="有无电梯" localSheetId="10">'[4]比较法-仓储'!$B$84:$M$84</definedName>
    <definedName name="有无电梯">'比较法-仓储'!$B$84:$M$84</definedName>
    <definedName name="主用途" localSheetId="10">[4]定义!$F$1:$F$12</definedName>
    <definedName name="主用途">定义!$F$1:$F$12</definedName>
    <definedName name="住宅">定义!$AA$2</definedName>
    <definedName name="住宅朝向" localSheetId="10">'[4]比较法-住宅'!$B$88:$M$88</definedName>
    <definedName name="住宅朝向">'比较法-住宅'!$B$88:$M$88</definedName>
    <definedName name="住宅房型" localSheetId="10">'[4]比较法-住宅'!$B$118:$M$118</definedName>
    <definedName name="住宅房型">'比较法-住宅'!$B$118:$M$118</definedName>
    <definedName name="住宅公共部分装修" localSheetId="10">'[4]比较法-住宅'!$B$109:$M$109</definedName>
    <definedName name="住宅公共部分装修">'比较法-住宅'!$B$109:$M$109</definedName>
    <definedName name="住宅基础设施水平" localSheetId="10">'[4]比较法-住宅'!$B$116:$M$116</definedName>
    <definedName name="住宅基础设施水平">'比较法-住宅'!$B$116:$M$116</definedName>
    <definedName name="住宅建筑结构" localSheetId="10">'[4]比较法-住宅'!$B$105:$M$105</definedName>
    <definedName name="住宅建筑结构">'比较法-住宅'!$B$105:$M$105</definedName>
    <definedName name="住宅建筑类型" localSheetId="10">'[4]比较法-住宅'!$B$100:$M$100</definedName>
    <definedName name="住宅建筑类型">'比较法-住宅'!$B$100:$M$100</definedName>
    <definedName name="住宅建筑品质" localSheetId="10">'[4]比较法-住宅'!$B$107:$M$107</definedName>
    <definedName name="住宅建筑品质">'比较法-住宅'!$B$107:$M$107</definedName>
    <definedName name="住宅交易情况" localSheetId="10">'[4]比较法-住宅'!$A$61:$M$61</definedName>
    <definedName name="住宅交易情况">'比较法-住宅'!$A$61:$M$61</definedName>
    <definedName name="住宅楼层" localSheetId="10">'[4]比较法-住宅'!$B$86:$M$86</definedName>
    <definedName name="住宅楼层">'比较法-住宅'!$B$86:$M$86</definedName>
    <definedName name="住宅内部装修" localSheetId="10">'[4]比较法-住宅'!$B$122:$M$122</definedName>
    <definedName name="住宅内部装修">'比较法-住宅'!$B$122:$M$122</definedName>
    <definedName name="住宅物业管理" localSheetId="10">'[4]比较法-住宅'!$B$114:$M$114</definedName>
    <definedName name="住宅物业管理">'比较法-住宅'!$B$114:$M$114</definedName>
    <definedName name="住宅用途" localSheetId="10">'[4]比较法-住宅'!$B$63:$M$63</definedName>
    <definedName name="住宅用途">'比较法-住宅'!$B$63:$M$63</definedName>
    <definedName name="住宅主力户型面积">'比较法-住宅'!$B$120:$M$120</definedName>
    <definedName name="注册房地产估价师" localSheetId="10">[4]估价师及机构信息!$A$3:$A$16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20" i="1" l="1"/>
  <c r="K17" i="1"/>
  <c r="U19" i="1"/>
  <c r="C14" i="74"/>
  <c r="B14" i="74"/>
  <c r="D39" i="6"/>
  <c r="E39" i="6"/>
  <c r="E37" i="6"/>
  <c r="N14" i="1"/>
  <c r="L14" i="1"/>
  <c r="C14" i="34"/>
  <c r="K128" i="34"/>
  <c r="L128" i="34" s="1"/>
  <c r="D128" i="34"/>
  <c r="E74" i="34"/>
  <c r="F74" i="34" s="1"/>
  <c r="G74" i="34" s="1"/>
  <c r="H74" i="34" s="1"/>
  <c r="I74" i="34" s="1"/>
  <c r="AC59" i="34"/>
  <c r="Z59" i="34"/>
  <c r="AA59" i="34" s="1"/>
  <c r="AB59" i="34" s="1"/>
  <c r="P59" i="34"/>
  <c r="Q59" i="34" s="1"/>
  <c r="R59" i="34" s="1"/>
  <c r="S59" i="34" s="1"/>
  <c r="T59" i="34" s="1"/>
  <c r="U59" i="34" s="1"/>
  <c r="V59" i="34" s="1"/>
  <c r="W59" i="34" s="1"/>
  <c r="X59" i="34" s="1"/>
  <c r="Y59" i="34" s="1"/>
  <c r="I48" i="34"/>
  <c r="G48" i="34"/>
  <c r="E48" i="34"/>
  <c r="I46" i="34"/>
  <c r="G46" i="34"/>
  <c r="E46" i="34"/>
  <c r="G33" i="6"/>
  <c r="C46" i="34" s="1"/>
  <c r="E128" i="34"/>
  <c r="F128" i="34" s="1"/>
  <c r="G128" i="34" s="1"/>
  <c r="H128" i="34" s="1"/>
  <c r="I128" i="34" s="1"/>
  <c r="J128" i="34" s="1"/>
  <c r="F105" i="34"/>
  <c r="D105" i="34"/>
  <c r="D74" i="34"/>
  <c r="I37" i="34"/>
  <c r="I34" i="34"/>
  <c r="G37" i="34"/>
  <c r="G34" i="34"/>
  <c r="E37" i="34"/>
  <c r="E34" i="34"/>
  <c r="C34" i="34"/>
  <c r="I14" i="34"/>
  <c r="G14" i="34"/>
  <c r="G13" i="34"/>
  <c r="E14" i="34"/>
  <c r="E13" i="34"/>
  <c r="I7" i="34"/>
  <c r="G7" i="34"/>
  <c r="E7" i="34"/>
  <c r="M42" i="86"/>
  <c r="N42" i="86" s="1"/>
  <c r="L42" i="86"/>
  <c r="N24" i="85"/>
  <c r="M23" i="85"/>
  <c r="M24" i="85" s="1"/>
  <c r="N20" i="85"/>
  <c r="O20" i="85" s="1"/>
  <c r="M20" i="85"/>
  <c r="N17" i="84"/>
  <c r="N18" i="84" s="1"/>
  <c r="N14" i="84"/>
  <c r="O14" i="84" s="1"/>
  <c r="M14" i="84"/>
  <c r="M17" i="84" s="1"/>
  <c r="M18" i="84" s="1"/>
  <c r="G44" i="43" l="1"/>
  <c r="D42" i="43"/>
  <c r="G20" i="6"/>
  <c r="F19" i="6"/>
  <c r="B22" i="82"/>
  <c r="AL13" i="3"/>
  <c r="K14" i="3"/>
  <c r="I13" i="3"/>
  <c r="B21" i="82"/>
  <c r="B20" i="82"/>
  <c r="B19" i="82"/>
  <c r="B15" i="82"/>
  <c r="B14" i="82"/>
  <c r="B13" i="82"/>
  <c r="F24" i="82"/>
  <c r="F23" i="82"/>
  <c r="F25" i="82"/>
  <c r="F21" i="82"/>
  <c r="B11" i="82"/>
  <c r="F26" i="82" l="1"/>
  <c r="G22" i="9" l="1"/>
  <c r="Q72" i="80"/>
  <c r="Q59" i="80"/>
  <c r="K59" i="80"/>
  <c r="P74" i="80" s="1"/>
  <c r="F59" i="80"/>
  <c r="Q58" i="80"/>
  <c r="Q51" i="80"/>
  <c r="J50" i="80"/>
  <c r="J51" i="80" s="1"/>
  <c r="M47" i="80"/>
  <c r="D46" i="80"/>
  <c r="F34" i="80"/>
  <c r="F62" i="80" s="1"/>
  <c r="F33" i="80"/>
  <c r="F61" i="80" s="1"/>
  <c r="F32" i="80"/>
  <c r="F60" i="80" s="1"/>
  <c r="F31" i="80"/>
  <c r="F28" i="80"/>
  <c r="C28" i="80" s="1"/>
  <c r="F23" i="80"/>
  <c r="D24" i="80" s="1"/>
  <c r="F21" i="80"/>
  <c r="M20" i="80"/>
  <c r="F20" i="80"/>
  <c r="M19" i="80"/>
  <c r="M18" i="80"/>
  <c r="F18" i="80"/>
  <c r="M17" i="80"/>
  <c r="F17" i="80"/>
  <c r="F15" i="80"/>
  <c r="P61" i="80" l="1"/>
  <c r="D22" i="80"/>
  <c r="D23" i="80"/>
  <c r="C36" i="77" l="1"/>
  <c r="M21" i="1" l="1"/>
  <c r="Y7" i="1" s="1"/>
  <c r="L19" i="1"/>
  <c r="M20" i="1"/>
  <c r="Y6" i="1" l="1"/>
  <c r="D3" i="4"/>
  <c r="E27" i="45"/>
  <c r="E38" i="6" l="1"/>
  <c r="D33" i="43"/>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4" i="79"/>
  <c r="T35" i="79"/>
  <c r="T33" i="79"/>
  <c r="W22" i="79"/>
  <c r="AK22" i="79" s="1"/>
  <c r="AH22" i="79"/>
  <c r="AD35" i="79"/>
  <c r="AR40" i="79"/>
  <c r="AR41" i="79" s="1"/>
  <c r="AR42" i="79" s="1"/>
  <c r="AR43" i="79" s="1"/>
  <c r="AR44" i="79" s="1"/>
  <c r="AR45" i="79" s="1"/>
  <c r="AR46" i="79" s="1"/>
  <c r="AR47" i="79" s="1"/>
  <c r="AR48" i="79" s="1"/>
  <c r="AR49" i="79" s="1"/>
  <c r="AR50" i="79" s="1"/>
  <c r="AR51" i="79" s="1"/>
  <c r="AR52" i="79" s="1"/>
  <c r="AD38" i="79"/>
  <c r="AD34" i="79"/>
  <c r="AD37" i="79"/>
  <c r="AD36"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29" i="77"/>
  <c r="D32" i="77"/>
  <c r="D38" i="77" s="1"/>
  <c r="E23" i="77"/>
  <c r="D26" i="77"/>
  <c r="C29" i="77"/>
  <c r="R35" i="77"/>
  <c r="U34" i="77" s="1"/>
  <c r="AH9" i="71"/>
  <c r="AG9" i="71"/>
  <c r="AE9" i="71"/>
  <c r="AF9" i="71" s="1"/>
  <c r="AD9" i="71"/>
  <c r="Q9" i="71"/>
  <c r="P9" i="71"/>
  <c r="O9" i="71"/>
  <c r="N9" i="71"/>
  <c r="R25" i="77" l="1"/>
  <c r="R19" i="77"/>
  <c r="R5" i="77" s="1"/>
  <c r="U5" i="77" s="1"/>
  <c r="E26" i="77"/>
  <c r="E29" i="77"/>
  <c r="AH10" i="71"/>
  <c r="AG10" i="71"/>
  <c r="AE10" i="71"/>
  <c r="AF10" i="71" s="1"/>
  <c r="AD10" i="71"/>
  <c r="Q10" i="71"/>
  <c r="P10" i="71"/>
  <c r="O10" i="71"/>
  <c r="N10" i="71"/>
  <c r="E32" i="77" l="1"/>
  <c r="E38"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D5"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F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H11" i="35" s="1"/>
  <c r="AB11" i="35" s="1"/>
  <c r="B61" i="35"/>
  <c r="B59" i="35"/>
  <c r="F12" i="35" s="1"/>
  <c r="B131" i="34"/>
  <c r="B129" i="34"/>
  <c r="H46" i="34" s="1"/>
  <c r="U46" i="34" s="1"/>
  <c r="B127" i="34"/>
  <c r="B99" i="34"/>
  <c r="B97" i="34"/>
  <c r="B95" i="34"/>
  <c r="J30" i="34" s="1"/>
  <c r="B93" i="34"/>
  <c r="B75" i="34"/>
  <c r="F14" i="34" s="1"/>
  <c r="B73" i="34"/>
  <c r="B71" i="34"/>
  <c r="J12" i="34" s="1"/>
  <c r="W12" i="34" s="1"/>
  <c r="B130" i="33"/>
  <c r="B128" i="33"/>
  <c r="B126" i="33"/>
  <c r="B98" i="33"/>
  <c r="J31" i="33" s="1"/>
  <c r="B96" i="33"/>
  <c r="B94" i="33"/>
  <c r="B74" i="33"/>
  <c r="B72" i="33"/>
  <c r="J13" i="33" s="1"/>
  <c r="B70" i="33"/>
  <c r="J12" i="33" s="1"/>
  <c r="AC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F44" i="21" s="1"/>
  <c r="AA44" i="21" s="1"/>
  <c r="B98" i="21"/>
  <c r="H31" i="21" s="1"/>
  <c r="B96" i="21"/>
  <c r="H30" i="21" s="1"/>
  <c r="B94" i="21"/>
  <c r="B92" i="21"/>
  <c r="H28" i="21" s="1"/>
  <c r="AB28" i="21" s="1"/>
  <c r="B90" i="21"/>
  <c r="J27" i="21" s="1"/>
  <c r="W27" i="21" s="1"/>
  <c r="B74" i="21"/>
  <c r="B72" i="21"/>
  <c r="F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AA36" i="34" s="1"/>
  <c r="J35" i="34"/>
  <c r="W35" i="34" s="1"/>
  <c r="H39" i="33"/>
  <c r="AB39" i="33"/>
  <c r="F26" i="33"/>
  <c r="AA26" i="33" s="1"/>
  <c r="U33" i="33"/>
  <c r="U35" i="33"/>
  <c r="S40" i="33"/>
  <c r="W39" i="33"/>
  <c r="H39" i="37"/>
  <c r="AB39" i="37" s="1"/>
  <c r="F11" i="40"/>
  <c r="AA11" i="40"/>
  <c r="H11" i="40"/>
  <c r="AB11" i="40" s="1"/>
  <c r="W8"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E100" i="39"/>
  <c r="H19" i="39"/>
  <c r="AB19" i="39" s="1"/>
  <c r="F19" i="39"/>
  <c r="AA19" i="39" s="1"/>
  <c r="H17" i="39"/>
  <c r="F17" i="39"/>
  <c r="AA17" i="39" s="1"/>
  <c r="J23" i="40"/>
  <c r="AC23" i="40"/>
  <c r="F21" i="40"/>
  <c r="J21" i="40"/>
  <c r="W21" i="40"/>
  <c r="H42" i="39"/>
  <c r="J34" i="39"/>
  <c r="AC34" i="39" s="1"/>
  <c r="J31" i="39"/>
  <c r="F100" i="39"/>
  <c r="H27" i="39"/>
  <c r="J19" i="39"/>
  <c r="AC19" i="39" s="1"/>
  <c r="J17" i="39"/>
  <c r="J27" i="39"/>
  <c r="AC27" i="39"/>
  <c r="F27" i="39"/>
  <c r="F11" i="21"/>
  <c r="S11" i="21" s="1"/>
  <c r="U34" i="21"/>
  <c r="C25" i="39"/>
  <c r="H11" i="39"/>
  <c r="S40" i="39"/>
  <c r="H32" i="33"/>
  <c r="AB32" i="33"/>
  <c r="H11" i="21"/>
  <c r="U11" i="21" s="1"/>
  <c r="J11" i="21"/>
  <c r="W11" i="21" s="1"/>
  <c r="H37" i="40"/>
  <c r="U37" i="40"/>
  <c r="H36" i="40"/>
  <c r="AB36" i="40" s="1"/>
  <c r="F35" i="40"/>
  <c r="AA35" i="40" s="1"/>
  <c r="H23" i="40"/>
  <c r="AB23" i="40" s="1"/>
  <c r="H17" i="40"/>
  <c r="U17" i="40"/>
  <c r="J15" i="40"/>
  <c r="W15" i="40" s="1"/>
  <c r="J11" i="40"/>
  <c r="AC11" i="40" s="1"/>
  <c r="W11" i="40"/>
  <c r="AB8" i="39"/>
  <c r="AB12" i="35"/>
  <c r="AB12" i="36"/>
  <c r="W32" i="40"/>
  <c r="F37" i="39"/>
  <c r="AA37" i="39" s="1"/>
  <c r="J34" i="36"/>
  <c r="W34" i="36" s="1"/>
  <c r="U30" i="36"/>
  <c r="J30" i="35"/>
  <c r="W30" i="35" s="1"/>
  <c r="H30" i="35"/>
  <c r="AB30" i="35" s="1"/>
  <c r="F22" i="35"/>
  <c r="H10" i="35"/>
  <c r="U10" i="35" s="1"/>
  <c r="F33" i="36"/>
  <c r="AA33" i="36"/>
  <c r="W30" i="36"/>
  <c r="H16" i="36"/>
  <c r="AB16" i="36"/>
  <c r="E85" i="36"/>
  <c r="F85" i="36" s="1"/>
  <c r="G85" i="36" s="1"/>
  <c r="H85" i="36" s="1"/>
  <c r="I85" i="36" s="1"/>
  <c r="J85" i="36" s="1"/>
  <c r="K85" i="36" s="1"/>
  <c r="L85" i="36" s="1"/>
  <c r="M85" i="36" s="1"/>
  <c r="J29" i="36"/>
  <c r="AC29" i="36" s="1"/>
  <c r="F12" i="36"/>
  <c r="S12" i="36" s="1"/>
  <c r="F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J23" i="34"/>
  <c r="AC23" i="34" s="1"/>
  <c r="H17" i="34"/>
  <c r="U17" i="34" s="1"/>
  <c r="F15" i="34"/>
  <c r="AA15" i="34" s="1"/>
  <c r="J15" i="34"/>
  <c r="AC15" i="34" s="1"/>
  <c r="H15" i="34"/>
  <c r="AB15" i="34" s="1"/>
  <c r="J28" i="34"/>
  <c r="F41" i="33"/>
  <c r="AA41" i="33"/>
  <c r="S38" i="33"/>
  <c r="E113" i="33"/>
  <c r="F32" i="33"/>
  <c r="AA32" i="33"/>
  <c r="J19" i="33"/>
  <c r="J15" i="33"/>
  <c r="AC15" i="33"/>
  <c r="F11" i="33"/>
  <c r="AA11" i="33" s="1"/>
  <c r="S26" i="33"/>
  <c r="U40" i="33"/>
  <c r="W40" i="33"/>
  <c r="F37" i="40"/>
  <c r="AA37" i="40" s="1"/>
  <c r="F36" i="40"/>
  <c r="AA36" i="40"/>
  <c r="H28" i="40"/>
  <c r="F23" i="40"/>
  <c r="AA23" i="40"/>
  <c r="F17" i="40"/>
  <c r="AA17" i="40" s="1"/>
  <c r="J17" i="40"/>
  <c r="W17" i="40" s="1"/>
  <c r="F15" i="40"/>
  <c r="S15" i="40" s="1"/>
  <c r="H15" i="40"/>
  <c r="AB15" i="40"/>
  <c r="AA12" i="36"/>
  <c r="AB30" i="36"/>
  <c r="F29" i="35"/>
  <c r="S29" i="35" s="1"/>
  <c r="H29" i="35"/>
  <c r="AB29" i="35" s="1"/>
  <c r="H33" i="37"/>
  <c r="F33" i="37"/>
  <c r="AA33" i="37" s="1"/>
  <c r="U34" i="37"/>
  <c r="S34" i="37"/>
  <c r="AA34" i="37"/>
  <c r="J43" i="34"/>
  <c r="W43" i="34" s="1"/>
  <c r="AB42" i="34"/>
  <c r="J40" i="34"/>
  <c r="W40" i="34" s="1"/>
  <c r="H38" i="34"/>
  <c r="AB38" i="34" s="1"/>
  <c r="J36" i="34"/>
  <c r="AC36" i="34" s="1"/>
  <c r="H37" i="34"/>
  <c r="U37" i="34" s="1"/>
  <c r="H25" i="34"/>
  <c r="AB25" i="34" s="1"/>
  <c r="J25" i="34"/>
  <c r="AC25" i="34" s="1"/>
  <c r="F17" i="34"/>
  <c r="AA17" i="34" s="1"/>
  <c r="J17" i="34"/>
  <c r="W17" i="34" s="1"/>
  <c r="S41" i="33"/>
  <c r="F113" i="33"/>
  <c r="G113" i="33" s="1"/>
  <c r="H113" i="33"/>
  <c r="I113" i="33" s="1"/>
  <c r="J113" i="33" s="1"/>
  <c r="K113" i="33" s="1"/>
  <c r="L113" i="33"/>
  <c r="M113" i="33" s="1"/>
  <c r="H37" i="33"/>
  <c r="AB37" i="33" s="1"/>
  <c r="H15" i="33"/>
  <c r="AB15" i="33" s="1"/>
  <c r="H11" i="33"/>
  <c r="AB11" i="33" s="1"/>
  <c r="F28" i="40"/>
  <c r="AA28" i="40" s="1"/>
  <c r="AA29" i="35"/>
  <c r="J37" i="34"/>
  <c r="AC37" i="34" s="1"/>
  <c r="J11" i="33"/>
  <c r="W11" i="33" s="1"/>
  <c r="I123" i="21"/>
  <c r="J123" i="21" s="1"/>
  <c r="K123" i="21" s="1"/>
  <c r="L123" i="21" s="1"/>
  <c r="M123" i="21" s="1"/>
  <c r="J42" i="21"/>
  <c r="AC42" i="21" s="1"/>
  <c r="H42" i="21"/>
  <c r="U42" i="21"/>
  <c r="J44" i="34"/>
  <c r="W44" i="34" s="1"/>
  <c r="F44" i="34"/>
  <c r="AA44" i="34" s="1"/>
  <c r="J10" i="35"/>
  <c r="AC10" i="35" s="1"/>
  <c r="J14" i="21"/>
  <c r="W14" i="21" s="1"/>
  <c r="F14" i="21"/>
  <c r="S14" i="21" s="1"/>
  <c r="H14" i="21"/>
  <c r="U14" i="21"/>
  <c r="F28" i="21"/>
  <c r="AA28" i="21"/>
  <c r="J28" i="21"/>
  <c r="W28" i="21" s="1"/>
  <c r="U30" i="21"/>
  <c r="F30" i="21"/>
  <c r="S30" i="21" s="1"/>
  <c r="J30" i="21"/>
  <c r="AC30" i="21" s="1"/>
  <c r="J44" i="21"/>
  <c r="AC44" i="21" s="1"/>
  <c r="H44" i="2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c r="I89" i="35" s="1"/>
  <c r="J89" i="35" s="1"/>
  <c r="K89" i="35" s="1"/>
  <c r="L89" i="35" s="1"/>
  <c r="M89" i="35" s="1"/>
  <c r="H10" i="36"/>
  <c r="AB10" i="36" s="1"/>
  <c r="J14" i="36"/>
  <c r="AC14" i="36"/>
  <c r="H14" i="36"/>
  <c r="U14" i="36" s="1"/>
  <c r="F28" i="36"/>
  <c r="AA28" i="36" s="1"/>
  <c r="H27" i="21"/>
  <c r="AB27" i="21"/>
  <c r="F27" i="21"/>
  <c r="AA27" i="21" s="1"/>
  <c r="J31" i="21"/>
  <c r="AC31" i="21" s="1"/>
  <c r="F31" i="21"/>
  <c r="S31" i="21" s="1"/>
  <c r="F45" i="21"/>
  <c r="AA45" i="21" s="1"/>
  <c r="F27" i="33"/>
  <c r="H13" i="33"/>
  <c r="U13" i="33" s="1"/>
  <c r="F13" i="33"/>
  <c r="S13" i="33"/>
  <c r="J29" i="33"/>
  <c r="H29" i="33"/>
  <c r="U29" i="33"/>
  <c r="F29" i="33"/>
  <c r="S29" i="33" s="1"/>
  <c r="W31" i="33"/>
  <c r="H31" i="33"/>
  <c r="F31" i="33"/>
  <c r="H45" i="33"/>
  <c r="U45" i="33"/>
  <c r="J45" i="33"/>
  <c r="W45" i="33" s="1"/>
  <c r="F45" i="33"/>
  <c r="J14" i="34"/>
  <c r="W14" i="34" s="1"/>
  <c r="H30" i="34"/>
  <c r="F30" i="34"/>
  <c r="S30" i="34" s="1"/>
  <c r="H32" i="34"/>
  <c r="F32" i="34"/>
  <c r="AA32" i="34" s="1"/>
  <c r="J32" i="34"/>
  <c r="W32" i="34" s="1"/>
  <c r="F46" i="34"/>
  <c r="S46" i="34" s="1"/>
  <c r="J46" i="34"/>
  <c r="AC46" i="34"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AA30" i="33" s="1"/>
  <c r="J30" i="33"/>
  <c r="H44" i="33"/>
  <c r="J44" i="33"/>
  <c r="AC44" i="33"/>
  <c r="F44" i="33"/>
  <c r="S44" i="33" s="1"/>
  <c r="J46" i="33"/>
  <c r="AC46" i="33"/>
  <c r="F46" i="33"/>
  <c r="AA46" i="33" s="1"/>
  <c r="H46" i="33"/>
  <c r="H13" i="34"/>
  <c r="U13" i="34" s="1"/>
  <c r="J13" i="34"/>
  <c r="W13" i="34" s="1"/>
  <c r="F13" i="34"/>
  <c r="AA13" i="34" s="1"/>
  <c r="J29" i="34"/>
  <c r="F29" i="34"/>
  <c r="S29" i="34" s="1"/>
  <c r="H29" i="34"/>
  <c r="AB29" i="34" s="1"/>
  <c r="J31" i="34"/>
  <c r="W31" i="34" s="1"/>
  <c r="AC31" i="34"/>
  <c r="H31" i="34"/>
  <c r="F31" i="34"/>
  <c r="S31" i="34" s="1"/>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c r="J38" i="37"/>
  <c r="AC38" i="37" s="1"/>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c r="AA44" i="33"/>
  <c r="AA14" i="33"/>
  <c r="J36" i="37"/>
  <c r="AC36" i="37"/>
  <c r="J10" i="36"/>
  <c r="AC10" i="36" s="1"/>
  <c r="AB26" i="33"/>
  <c r="AB30" i="21"/>
  <c r="AA14" i="37"/>
  <c r="S11" i="36"/>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AZ504" i="3" s="1"/>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AZ544" i="3"/>
  <c r="BA542" i="3"/>
  <c r="BA540" i="3"/>
  <c r="BA538" i="3"/>
  <c r="AZ538" i="3" s="1"/>
  <c r="BA536" i="3"/>
  <c r="AZ536" i="3" s="1"/>
  <c r="BA534" i="3"/>
  <c r="AZ534" i="3"/>
  <c r="BA532" i="3"/>
  <c r="AZ532" i="3" s="1"/>
  <c r="BA530" i="3"/>
  <c r="BA528" i="3"/>
  <c r="AZ528" i="3" s="1"/>
  <c r="BA526" i="3"/>
  <c r="AZ526" i="3" s="1"/>
  <c r="BA524" i="3"/>
  <c r="BA522" i="3"/>
  <c r="BA520" i="3"/>
  <c r="BA518" i="3"/>
  <c r="AZ518" i="3" s="1"/>
  <c r="BA516" i="3"/>
  <c r="AZ516" i="3" s="1"/>
  <c r="BA514" i="3"/>
  <c r="BA512" i="3"/>
  <c r="AZ512" i="3"/>
  <c r="BA510" i="3"/>
  <c r="AZ510" i="3"/>
  <c r="BA508" i="3"/>
  <c r="AZ508" i="3" s="1"/>
  <c r="BA506" i="3"/>
  <c r="AZ506" i="3" s="1"/>
  <c r="BA504" i="3"/>
  <c r="BA502" i="3"/>
  <c r="BA500" i="3"/>
  <c r="AZ500" i="3" s="1"/>
  <c r="BA498" i="3"/>
  <c r="AZ498" i="3"/>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AZ558" i="3" s="1"/>
  <c r="BA557" i="3"/>
  <c r="AZ557" i="3" s="1"/>
  <c r="AC557" i="3"/>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S28" i="31"/>
  <c r="S27" i="31"/>
  <c r="S26" i="31"/>
  <c r="W23" i="35"/>
  <c r="U39" i="37"/>
  <c r="U26" i="37"/>
  <c r="AA13" i="33"/>
  <c r="AC31" i="33"/>
  <c r="AC45" i="33"/>
  <c r="W44" i="33"/>
  <c r="U11" i="33"/>
  <c r="U19" i="21"/>
  <c r="W44"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H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55" i="3"/>
  <c r="AZ6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BL311" i="3"/>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37" i="3"/>
  <c r="AZ245" i="3"/>
  <c r="AZ269" i="3"/>
  <c r="BA379" i="3"/>
  <c r="AZ379" i="3" s="1"/>
  <c r="BL380" i="3"/>
  <c r="G381" i="3"/>
  <c r="BA383" i="3"/>
  <c r="AZ383" i="3" s="1"/>
  <c r="BL384" i="3"/>
  <c r="G385" i="3"/>
  <c r="BA387" i="3"/>
  <c r="AZ387" i="3" s="1"/>
  <c r="BL388" i="3"/>
  <c r="G389" i="3"/>
  <c r="BA391" i="3"/>
  <c r="BL392" i="3"/>
  <c r="AZ392" i="3" s="1"/>
  <c r="G393" i="3"/>
  <c r="BO5" i="3"/>
  <c r="BM5" i="3"/>
  <c r="F29" i="6" s="1"/>
  <c r="BJ5" i="3"/>
  <c r="BH5" i="3"/>
  <c r="BF5" i="3"/>
  <c r="AZ325" i="3"/>
  <c r="AZ496" i="3"/>
  <c r="G548" i="3"/>
  <c r="G538" i="3"/>
  <c r="G520" i="3"/>
  <c r="G502" i="3"/>
  <c r="BS5" i="3"/>
  <c r="BP5" i="3"/>
  <c r="BN5" i="3"/>
  <c r="G29" i="6" s="1"/>
  <c r="BK5" i="3"/>
  <c r="BI5" i="3"/>
  <c r="BG5" i="3"/>
  <c r="BE5" i="3"/>
  <c r="G17" i="3"/>
  <c r="BA17" i="3"/>
  <c r="BT5" i="3"/>
  <c r="AZ350" i="3"/>
  <c r="BA15" i="3"/>
  <c r="BB5" i="3"/>
  <c r="BR5" i="3"/>
  <c r="AZ499" i="3"/>
  <c r="G509" i="3"/>
  <c r="BL493" i="3"/>
  <c r="U36" i="40"/>
  <c r="F83" i="43"/>
  <c r="H85" i="43" s="1"/>
  <c r="F50" i="43"/>
  <c r="H54" i="43" s="1"/>
  <c r="G54" i="43" s="1"/>
  <c r="K54" i="43" s="1"/>
  <c r="J54" i="43" s="1"/>
  <c r="F72" i="43"/>
  <c r="H75" i="43" s="1"/>
  <c r="S14" i="35"/>
  <c r="U43" i="21"/>
  <c r="U35" i="21"/>
  <c r="AC35" i="21"/>
  <c r="AC11" i="39"/>
  <c r="AZ563" i="3"/>
  <c r="W37" i="37"/>
  <c r="S15" i="37"/>
  <c r="U13" i="37"/>
  <c r="U12" i="40"/>
  <c r="AA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H27" i="40"/>
  <c r="U27" i="40"/>
  <c r="J27" i="40"/>
  <c r="F27" i="40"/>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6" i="3"/>
  <c r="AZ271" i="3"/>
  <c r="AZ133" i="3"/>
  <c r="AZ74" i="3"/>
  <c r="AZ82" i="3"/>
  <c r="F23" i="39"/>
  <c r="S23" i="39" s="1"/>
  <c r="AA23" i="39"/>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D93" i="9"/>
  <c r="AC26" i="33"/>
  <c r="W26" i="33"/>
  <c r="W27" i="34"/>
  <c r="AC27" i="34"/>
  <c r="AB34" i="36"/>
  <c r="U34" i="36"/>
  <c r="AB33" i="36"/>
  <c r="AC39" i="40"/>
  <c r="W39" i="40"/>
  <c r="AA32" i="36"/>
  <c r="S32" i="36"/>
  <c r="BL14" i="3"/>
  <c r="U30" i="33"/>
  <c r="W28" i="37"/>
  <c r="S19" i="39"/>
  <c r="F12" i="33"/>
  <c r="H12" i="39"/>
  <c r="AB12" i="39"/>
  <c r="F39" i="40"/>
  <c r="AZ224" i="3"/>
  <c r="AZ286" i="3"/>
  <c r="AZ157" i="3"/>
  <c r="B12" i="1"/>
  <c r="E12" i="1" s="1"/>
  <c r="B10" i="1"/>
  <c r="E10" i="1" s="1"/>
  <c r="K12" i="1"/>
  <c r="M12" i="1" s="1"/>
  <c r="J51" i="67"/>
  <c r="C42" i="1"/>
  <c r="C24" i="12" s="1"/>
  <c r="AC34" i="33"/>
  <c r="AA34" i="33"/>
  <c r="B41" i="1"/>
  <c r="F48" i="9" s="1"/>
  <c r="O52" i="9" s="1"/>
  <c r="AB37" i="40"/>
  <c r="S35" i="40"/>
  <c r="U35" i="40"/>
  <c r="AC36" i="40"/>
  <c r="W38" i="40"/>
  <c r="AA32" i="40"/>
  <c r="S17" i="40"/>
  <c r="S23" i="40"/>
  <c r="AC17" i="40"/>
  <c r="AC15" i="40"/>
  <c r="AB27" i="40"/>
  <c r="AA19" i="40"/>
  <c r="S28" i="40"/>
  <c r="AA27" i="40"/>
  <c r="AB19" i="40"/>
  <c r="U37" i="39"/>
  <c r="S43" i="39"/>
  <c r="S37" i="39"/>
  <c r="U35" i="39"/>
  <c r="F32" i="39"/>
  <c r="AA32" i="39" s="1"/>
  <c r="F106" i="39"/>
  <c r="G106" i="39" s="1"/>
  <c r="H106" i="39" s="1"/>
  <c r="I106" i="39" s="1"/>
  <c r="J106" i="39" s="1"/>
  <c r="K106" i="39" s="1"/>
  <c r="L106" i="39" s="1"/>
  <c r="M106" i="39" s="1"/>
  <c r="U25" i="39"/>
  <c r="U31" i="39"/>
  <c r="J21" i="39"/>
  <c r="W21" i="39" s="1"/>
  <c r="F21" i="39"/>
  <c r="G94" i="39"/>
  <c r="H21" i="39"/>
  <c r="U21" i="39" s="1"/>
  <c r="W19" i="39"/>
  <c r="U19" i="39"/>
  <c r="S17" i="39"/>
  <c r="S15" i="39"/>
  <c r="AA12" i="39"/>
  <c r="S9" i="39"/>
  <c r="U14" i="39"/>
  <c r="AC13" i="39"/>
  <c r="U12" i="39"/>
  <c r="S23" i="36"/>
  <c r="U13" i="36"/>
  <c r="U26" i="36"/>
  <c r="S33" i="36"/>
  <c r="AA34" i="36"/>
  <c r="AC26" i="36"/>
  <c r="AA22" i="36"/>
  <c r="W14" i="36"/>
  <c r="AB14" i="36"/>
  <c r="U22" i="36"/>
  <c r="S16" i="36"/>
  <c r="AA25" i="36"/>
  <c r="U24" i="36"/>
  <c r="U23" i="36"/>
  <c r="AB20" i="36"/>
  <c r="U16" i="36"/>
  <c r="S14" i="36"/>
  <c r="S23" i="35"/>
  <c r="W24" i="35"/>
  <c r="AB13" i="35"/>
  <c r="U29" i="35"/>
  <c r="U28" i="35"/>
  <c r="AB27" i="35"/>
  <c r="U36" i="35"/>
  <c r="U32" i="35"/>
  <c r="AA33" i="35"/>
  <c r="AC30" i="35"/>
  <c r="S32" i="35"/>
  <c r="AA36" i="35"/>
  <c r="S28" i="35"/>
  <c r="AB16" i="35"/>
  <c r="U22" i="35"/>
  <c r="S20" i="35"/>
  <c r="AC20" i="35"/>
  <c r="U14" i="35"/>
  <c r="AA11" i="35"/>
  <c r="AC9" i="35"/>
  <c r="W9" i="35"/>
  <c r="AC12" i="35"/>
  <c r="W13" i="35"/>
  <c r="F9" i="35"/>
  <c r="S9" i="35" s="1"/>
  <c r="H9" i="35"/>
  <c r="U9" i="35" s="1"/>
  <c r="AB40" i="37"/>
  <c r="W27" i="37"/>
  <c r="AC29" i="37"/>
  <c r="U29" i="37"/>
  <c r="S32" i="37"/>
  <c r="W30" i="37"/>
  <c r="S36" i="37"/>
  <c r="AA38" i="37"/>
  <c r="W38" i="37"/>
  <c r="AC35" i="37"/>
  <c r="W39" i="37"/>
  <c r="S30" i="37"/>
  <c r="S37" i="37"/>
  <c r="AC15" i="37"/>
  <c r="J17" i="37"/>
  <c r="W17" i="37" s="1"/>
  <c r="G73" i="37"/>
  <c r="F17" i="37"/>
  <c r="AB17" i="37"/>
  <c r="F75" i="37"/>
  <c r="F19" i="37"/>
  <c r="S19" i="37" s="1"/>
  <c r="F79" i="37"/>
  <c r="F23" i="37"/>
  <c r="U23" i="37"/>
  <c r="U15" i="37"/>
  <c r="AC13" i="37"/>
  <c r="AA13" i="37"/>
  <c r="H10" i="37"/>
  <c r="AB10" i="37" s="1"/>
  <c r="F63" i="37"/>
  <c r="G63" i="37" s="1"/>
  <c r="H63" i="37" s="1"/>
  <c r="I63" i="37" s="1"/>
  <c r="F11" i="37"/>
  <c r="S11" i="37" s="1"/>
  <c r="W41" i="34"/>
  <c r="U39" i="34"/>
  <c r="AA45" i="34"/>
  <c r="U28" i="34"/>
  <c r="AA29" i="34"/>
  <c r="U27" i="34"/>
  <c r="H10" i="34"/>
  <c r="AB10" i="34" s="1"/>
  <c r="F11" i="34"/>
  <c r="S11" i="34" s="1"/>
  <c r="W42" i="33"/>
  <c r="AA35" i="33"/>
  <c r="S32" i="33"/>
  <c r="AA29" i="33"/>
  <c r="AB29" i="33"/>
  <c r="W38" i="33"/>
  <c r="H41" i="33"/>
  <c r="U42" i="33"/>
  <c r="F36" i="33"/>
  <c r="AA36" i="33" s="1"/>
  <c r="G108" i="33"/>
  <c r="H108" i="33" s="1"/>
  <c r="I108" i="33" s="1"/>
  <c r="J108" i="33" s="1"/>
  <c r="K108" i="33" s="1"/>
  <c r="L108" i="33" s="1"/>
  <c r="M108" i="33" s="1"/>
  <c r="J35" i="33"/>
  <c r="S37" i="33"/>
  <c r="AA37" i="33"/>
  <c r="S39" i="33"/>
  <c r="J32" i="33"/>
  <c r="S46" i="33"/>
  <c r="S43" i="33"/>
  <c r="F91" i="33"/>
  <c r="H27" i="33"/>
  <c r="AB27" i="33" s="1"/>
  <c r="F87" i="33"/>
  <c r="H25" i="33"/>
  <c r="F25" i="33"/>
  <c r="S25" i="33" s="1"/>
  <c r="J23" i="33"/>
  <c r="AC23" i="33" s="1"/>
  <c r="H23" i="33"/>
  <c r="F81" i="33"/>
  <c r="G81" i="33" s="1"/>
  <c r="F19" i="33"/>
  <c r="S19" i="33" s="1"/>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F34" i="67"/>
  <c r="F62" i="67" s="1"/>
  <c r="M20" i="67"/>
  <c r="F34" i="15"/>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K7" i="1"/>
  <c r="G1" i="15"/>
  <c r="G1" i="67"/>
  <c r="W23" i="40"/>
  <c r="U32" i="40"/>
  <c r="AB31" i="40"/>
  <c r="S37" i="40"/>
  <c r="W28" i="40"/>
  <c r="W34" i="40"/>
  <c r="S36" i="40"/>
  <c r="W37" i="40"/>
  <c r="AC14" i="40"/>
  <c r="S13" i="40"/>
  <c r="S33" i="40"/>
  <c r="AA15" i="40"/>
  <c r="U11" i="40"/>
  <c r="S31" i="40"/>
  <c r="AB13" i="40"/>
  <c r="U15" i="40"/>
  <c r="AB17" i="40"/>
  <c r="U8" i="40"/>
  <c r="S8" i="40"/>
  <c r="AA39" i="39"/>
  <c r="AC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A31" i="34"/>
  <c r="AA30" i="34"/>
  <c r="U25" i="34"/>
  <c r="AC32" i="34"/>
  <c r="AC29" i="34"/>
  <c r="W29" i="34"/>
  <c r="W46" i="34"/>
  <c r="S32" i="34"/>
  <c r="U30" i="34"/>
  <c r="AB30" i="34"/>
  <c r="U32" i="34"/>
  <c r="AB32" i="34"/>
  <c r="AC35" i="34"/>
  <c r="AB28" i="33"/>
  <c r="AC37" i="33"/>
  <c r="W46" i="33"/>
  <c r="U39" i="33"/>
  <c r="U38" i="33"/>
  <c r="S33" i="33"/>
  <c r="AB34" i="33"/>
  <c r="U44" i="33"/>
  <c r="AB44" i="33"/>
  <c r="S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s="1"/>
  <c r="AC38" i="21"/>
  <c r="H32" i="21"/>
  <c r="H9" i="21"/>
  <c r="U9" i="21" s="1"/>
  <c r="J9" i="21"/>
  <c r="AC9" i="21" s="1"/>
  <c r="J32" i="21"/>
  <c r="W32" i="21" s="1"/>
  <c r="F32" i="21"/>
  <c r="AA31" i="21"/>
  <c r="U17" i="21"/>
  <c r="S19" i="21"/>
  <c r="S9" i="21"/>
  <c r="AA9" i="21"/>
  <c r="K141" i="21"/>
  <c r="K144" i="21"/>
  <c r="K143" i="21"/>
  <c r="U27" i="21"/>
  <c r="AA30" i="21"/>
  <c r="W42" i="21"/>
  <c r="AC45" i="21"/>
  <c r="F10" i="21"/>
  <c r="AA10" i="21" s="1"/>
  <c r="K145" i="21"/>
  <c r="W25" i="21"/>
  <c r="W31" i="21"/>
  <c r="S27" i="21"/>
  <c r="S17" i="21"/>
  <c r="AA15" i="21"/>
  <c r="AC27" i="21"/>
  <c r="AC26" i="21"/>
  <c r="S28" i="21"/>
  <c r="AC34" i="21"/>
  <c r="AB36" i="21"/>
  <c r="C19" i="39"/>
  <c r="C15" i="40"/>
  <c r="C17" i="40"/>
  <c r="C23" i="40"/>
  <c r="C21" i="40"/>
  <c r="U30" i="40"/>
  <c r="B56" i="43"/>
  <c r="B67" i="43"/>
  <c r="B54" i="43"/>
  <c r="B58"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S32" i="39"/>
  <c r="AB21" i="39"/>
  <c r="AA21" i="39"/>
  <c r="S21" i="39"/>
  <c r="AC17" i="37"/>
  <c r="J19" i="37"/>
  <c r="W19" i="37" s="1"/>
  <c r="G75" i="37"/>
  <c r="AA19" i="37"/>
  <c r="J23" i="37"/>
  <c r="AC23" i="37" s="1"/>
  <c r="G79" i="37"/>
  <c r="J10" i="37"/>
  <c r="W10" i="37" s="1"/>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AA19" i="33"/>
  <c r="H19" i="33"/>
  <c r="U19" i="33" s="1"/>
  <c r="H17" i="33"/>
  <c r="U17" i="33" s="1"/>
  <c r="F17" i="33"/>
  <c r="S17" i="33" s="1"/>
  <c r="W17" i="33"/>
  <c r="S37" i="21"/>
  <c r="J23" i="21"/>
  <c r="F85" i="21"/>
  <c r="G85" i="21" s="1"/>
  <c r="H23" i="21"/>
  <c r="U23" i="21" s="1"/>
  <c r="AP7" i="1"/>
  <c r="AB45" i="21"/>
  <c r="AB9" i="21"/>
  <c r="AA32" i="21"/>
  <c r="S32" i="21"/>
  <c r="W9" i="21"/>
  <c r="AB32" i="21"/>
  <c r="U32" i="21"/>
  <c r="U32" i="39"/>
  <c r="AC32" i="39"/>
  <c r="J63" i="37"/>
  <c r="K63" i="37" s="1"/>
  <c r="L63" i="37" s="1"/>
  <c r="M63" i="37" s="1"/>
  <c r="J11" i="37"/>
  <c r="AC11" i="37" s="1"/>
  <c r="J11" i="34"/>
  <c r="W11" i="34" s="1"/>
  <c r="AB36" i="33"/>
  <c r="W25" i="33"/>
  <c r="AC25" i="33"/>
  <c r="AA17" i="33"/>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15"/>
  <c r="E2" i="69"/>
  <c r="E11" i="76"/>
  <c r="F3" i="73"/>
  <c r="F6" i="15"/>
  <c r="E12" i="76"/>
  <c r="D35" i="9"/>
  <c r="B10" i="76"/>
  <c r="D6" i="73"/>
  <c r="M22" i="67"/>
  <c r="F8" i="67"/>
  <c r="F38" i="67"/>
  <c r="J15" i="15"/>
  <c r="J15" i="67"/>
  <c r="C76" i="15"/>
  <c r="B13" i="76"/>
  <c r="M26" i="67"/>
  <c r="M22" i="15"/>
  <c r="M23" i="67"/>
  <c r="E7" i="76"/>
  <c r="M26" i="15"/>
  <c r="B7" i="76"/>
  <c r="F36" i="15"/>
  <c r="F26" i="67"/>
  <c r="F7" i="73"/>
  <c r="F16" i="15"/>
  <c r="F6" i="73"/>
  <c r="F36" i="67"/>
  <c r="M28" i="67"/>
  <c r="E2" i="68"/>
  <c r="E10" i="76"/>
  <c r="M28" i="15"/>
  <c r="B9" i="76"/>
  <c r="F7" i="15"/>
  <c r="AO13" i="1"/>
  <c r="B12" i="76"/>
  <c r="F38" i="15"/>
  <c r="F7" i="67"/>
  <c r="E9" i="76"/>
  <c r="F13" i="15"/>
  <c r="M23" i="15"/>
  <c r="M24" i="15"/>
  <c r="F43" i="15"/>
  <c r="F20" i="31"/>
  <c r="M8" i="67"/>
  <c r="B11" i="76"/>
  <c r="F43" i="67"/>
  <c r="E8" i="76"/>
  <c r="M24" i="67"/>
  <c r="M6" i="67"/>
  <c r="F42" i="67"/>
  <c r="F5" i="73"/>
  <c r="F42" i="15"/>
  <c r="D34" i="9"/>
  <c r="B8" i="76"/>
  <c r="F9" i="67"/>
  <c r="F6" i="67"/>
  <c r="F8" i="15"/>
  <c r="F40" i="15"/>
  <c r="M29" i="67"/>
  <c r="F13" i="67"/>
  <c r="M29" i="15"/>
  <c r="F9" i="15"/>
  <c r="L48" i="15"/>
  <c r="F40" i="67"/>
  <c r="M9" i="15"/>
  <c r="F16" i="67"/>
  <c r="C76" i="67"/>
  <c r="M6" i="15"/>
  <c r="F4" i="73"/>
  <c r="E13" i="76"/>
  <c r="AB45" i="34" l="1"/>
  <c r="S44" i="34"/>
  <c r="AC43" i="34"/>
  <c r="U43" i="34"/>
  <c r="AC40" i="34"/>
  <c r="U38" i="34"/>
  <c r="AC42" i="34"/>
  <c r="AA42" i="34"/>
  <c r="AA46" i="34"/>
  <c r="W47" i="34"/>
  <c r="AB36" i="34"/>
  <c r="W25" i="34"/>
  <c r="AA25" i="34"/>
  <c r="AC44" i="34"/>
  <c r="AC39" i="34"/>
  <c r="W36" i="34"/>
  <c r="U34" i="34"/>
  <c r="AB35" i="34"/>
  <c r="AA47" i="34"/>
  <c r="AA33" i="34"/>
  <c r="AA38" i="34"/>
  <c r="AB46" i="34"/>
  <c r="S36" i="34"/>
  <c r="AB47" i="34"/>
  <c r="AB40" i="34"/>
  <c r="S37" i="34"/>
  <c r="AC38" i="34"/>
  <c r="S35" i="34"/>
  <c r="F86" i="34"/>
  <c r="G86" i="34" s="1"/>
  <c r="H23" i="34"/>
  <c r="U23" i="34" s="1"/>
  <c r="F23" i="34"/>
  <c r="AA23" i="34" s="1"/>
  <c r="W23" i="34"/>
  <c r="J19" i="34"/>
  <c r="F19" i="34"/>
  <c r="AA19" i="34" s="1"/>
  <c r="S23" i="34"/>
  <c r="U21" i="34"/>
  <c r="S19" i="34"/>
  <c r="U19" i="34"/>
  <c r="AC17" i="34"/>
  <c r="AB17" i="34"/>
  <c r="S17" i="34"/>
  <c r="U15" i="34"/>
  <c r="W15" i="34"/>
  <c r="S14" i="34"/>
  <c r="AA14" i="34"/>
  <c r="AC14" i="34"/>
  <c r="AC13" i="34"/>
  <c r="H14" i="34"/>
  <c r="S13" i="34"/>
  <c r="AA8" i="34"/>
  <c r="AB8" i="34"/>
  <c r="B77" i="43"/>
  <c r="C15" i="39"/>
  <c r="BA14" i="3"/>
  <c r="H5" i="3"/>
  <c r="S13" i="1"/>
  <c r="AR13" i="1" s="1"/>
  <c r="B9" i="1"/>
  <c r="E9" i="1" s="1"/>
  <c r="R13" i="1"/>
  <c r="G1" i="80"/>
  <c r="AP6" i="1"/>
  <c r="C36" i="69" s="1"/>
  <c r="M24" i="1"/>
  <c r="M25" i="1" s="1"/>
  <c r="D22" i="15"/>
  <c r="M7" i="1"/>
  <c r="G7" i="1"/>
  <c r="F34" i="68"/>
  <c r="C36" i="68" s="1"/>
  <c r="O7" i="1"/>
  <c r="P7" i="1" s="1"/>
  <c r="F62" i="15"/>
  <c r="E14" i="77"/>
  <c r="D14" i="77" s="1"/>
  <c r="G1" i="69"/>
  <c r="M54" i="43"/>
  <c r="N54" i="43" s="1"/>
  <c r="D54" i="43"/>
  <c r="C40" i="69"/>
  <c r="C21" i="68"/>
  <c r="BA13" i="3"/>
  <c r="G13" i="3"/>
  <c r="H109" i="9"/>
  <c r="B16" i="53"/>
  <c r="B33" i="72" s="1"/>
  <c r="AA13" i="21"/>
  <c r="S13" i="21"/>
  <c r="AB19" i="33"/>
  <c r="AA42" i="33"/>
  <c r="S42" i="33"/>
  <c r="AA27" i="33"/>
  <c r="S27" i="33"/>
  <c r="AA40" i="21"/>
  <c r="S40" i="21"/>
  <c r="AC12" i="39"/>
  <c r="W12" i="39"/>
  <c r="AZ155" i="3"/>
  <c r="S11" i="39"/>
  <c r="AA11" i="39"/>
  <c r="S26" i="36"/>
  <c r="AA26" i="36"/>
  <c r="AC19" i="33"/>
  <c r="W19" i="33"/>
  <c r="AB23" i="21"/>
  <c r="W23" i="37"/>
  <c r="AB25" i="21"/>
  <c r="AC45" i="34"/>
  <c r="D121" i="9"/>
  <c r="D7" i="52" s="1"/>
  <c r="D6" i="52"/>
  <c r="W12" i="33"/>
  <c r="AC43" i="33"/>
  <c r="W43" i="33"/>
  <c r="AZ529" i="3"/>
  <c r="AA24" i="36"/>
  <c r="S24" i="36"/>
  <c r="AA21" i="40"/>
  <c r="S21" i="40"/>
  <c r="AB17" i="39"/>
  <c r="U17" i="39"/>
  <c r="AA31" i="39"/>
  <c r="S31" i="39"/>
  <c r="AB15" i="21"/>
  <c r="W30" i="40"/>
  <c r="W17" i="21"/>
  <c r="S35" i="35"/>
  <c r="U41" i="39"/>
  <c r="W19" i="40"/>
  <c r="S23" i="37"/>
  <c r="AA23" i="37"/>
  <c r="AA25" i="35"/>
  <c r="AZ311" i="3"/>
  <c r="AZ167" i="3"/>
  <c r="AZ341" i="3"/>
  <c r="G557" i="3"/>
  <c r="AC5" i="3"/>
  <c r="U44" i="21"/>
  <c r="AB44" i="21"/>
  <c r="U28" i="40"/>
  <c r="AB28" i="40"/>
  <c r="AA28" i="34"/>
  <c r="S28" i="34"/>
  <c r="U27" i="39"/>
  <c r="AB27" i="39"/>
  <c r="AB42" i="39"/>
  <c r="U42" i="39"/>
  <c r="AB21" i="40"/>
  <c r="U21" i="40"/>
  <c r="U41" i="34"/>
  <c r="AB41" i="34"/>
  <c r="U38" i="21"/>
  <c r="AB38" i="21"/>
  <c r="H13" i="21"/>
  <c r="J13" i="21"/>
  <c r="J29" i="21"/>
  <c r="H29" i="21"/>
  <c r="B94" i="43"/>
  <c r="B51" i="43"/>
  <c r="AC8" i="34"/>
  <c r="W8" i="34"/>
  <c r="W27" i="33"/>
  <c r="AA23" i="21"/>
  <c r="B62" i="43"/>
  <c r="F29" i="21"/>
  <c r="AA29" i="21" s="1"/>
  <c r="AA17" i="37"/>
  <c r="S17" i="37"/>
  <c r="U33" i="34"/>
  <c r="AC27" i="40"/>
  <c r="W27" i="40"/>
  <c r="AB32" i="37"/>
  <c r="U32" i="37"/>
  <c r="AZ370" i="3"/>
  <c r="U31" i="37"/>
  <c r="AB31" i="37"/>
  <c r="AB14" i="40"/>
  <c r="U14" i="40"/>
  <c r="W28" i="34"/>
  <c r="AC28" i="34"/>
  <c r="AA22" i="35"/>
  <c r="S22" i="35"/>
  <c r="AZ391" i="3"/>
  <c r="AZ364" i="3"/>
  <c r="AZ329" i="3"/>
  <c r="AZ306" i="3"/>
  <c r="AZ513" i="3"/>
  <c r="AZ575" i="3"/>
  <c r="AA45" i="33"/>
  <c r="S45" i="33"/>
  <c r="AZ406" i="3"/>
  <c r="AZ322" i="3"/>
  <c r="AZ313" i="3"/>
  <c r="AZ394" i="3"/>
  <c r="AZ519" i="3"/>
  <c r="AZ531" i="3"/>
  <c r="AZ573" i="3"/>
  <c r="AZ583" i="3"/>
  <c r="AZ451" i="3"/>
  <c r="S36" i="33"/>
  <c r="W33" i="34"/>
  <c r="AA40" i="34"/>
  <c r="S43" i="34"/>
  <c r="AZ14" i="3"/>
  <c r="AZ345" i="3"/>
  <c r="AZ334" i="3"/>
  <c r="AZ372" i="3"/>
  <c r="AZ347" i="3"/>
  <c r="AZ337" i="3"/>
  <c r="AZ192" i="3"/>
  <c r="AZ376" i="3"/>
  <c r="AZ309" i="3"/>
  <c r="AC12" i="37"/>
  <c r="AZ515" i="3"/>
  <c r="AZ523" i="3"/>
  <c r="AZ547" i="3"/>
  <c r="AZ569" i="3"/>
  <c r="AZ571" i="3"/>
  <c r="AZ579" i="3"/>
  <c r="AZ524" i="3"/>
  <c r="AZ546" i="3"/>
  <c r="AZ564" i="3"/>
  <c r="AZ580" i="3"/>
  <c r="AB46" i="33"/>
  <c r="U46" i="33"/>
  <c r="BA586" i="3"/>
  <c r="BL585" i="3"/>
  <c r="AZ585" i="3" s="1"/>
  <c r="F9" i="34"/>
  <c r="AA9" i="34" s="1"/>
  <c r="J9" i="34"/>
  <c r="H9" i="34"/>
  <c r="AZ413" i="3"/>
  <c r="BL398" i="3"/>
  <c r="G402" i="3"/>
  <c r="BL403" i="3"/>
  <c r="G406" i="3"/>
  <c r="BA408" i="3"/>
  <c r="AZ408" i="3" s="1"/>
  <c r="BA409" i="3"/>
  <c r="AZ409" i="3" s="1"/>
  <c r="BA411" i="3"/>
  <c r="AZ411" i="3" s="1"/>
  <c r="BL414" i="3"/>
  <c r="BL415" i="3"/>
  <c r="BA417" i="3"/>
  <c r="BL421" i="3"/>
  <c r="BL422" i="3"/>
  <c r="AZ422" i="3" s="1"/>
  <c r="BL425" i="3"/>
  <c r="BL426" i="3"/>
  <c r="BA428" i="3"/>
  <c r="BA429" i="3"/>
  <c r="AZ429" i="3" s="1"/>
  <c r="BA430" i="3"/>
  <c r="AZ430" i="3" s="1"/>
  <c r="BA432" i="3"/>
  <c r="BA434" i="3"/>
  <c r="BA436" i="3"/>
  <c r="BA438" i="3"/>
  <c r="G442" i="3"/>
  <c r="G443" i="3"/>
  <c r="BA446" i="3"/>
  <c r="AZ446" i="3" s="1"/>
  <c r="BA450" i="3"/>
  <c r="BA453" i="3"/>
  <c r="BA455" i="3"/>
  <c r="AZ455" i="3" s="1"/>
  <c r="BL457" i="3"/>
  <c r="BL460" i="3"/>
  <c r="BL461" i="3"/>
  <c r="BL463" i="3"/>
  <c r="G465" i="3"/>
  <c r="BA478" i="3"/>
  <c r="F12" i="34"/>
  <c r="S12" i="34" s="1"/>
  <c r="H39" i="40"/>
  <c r="G551" i="3"/>
  <c r="BL550" i="3"/>
  <c r="G542" i="3"/>
  <c r="BL15" i="3"/>
  <c r="AZ15" i="3" s="1"/>
  <c r="BA398" i="3"/>
  <c r="AZ398" i="3" s="1"/>
  <c r="BA399" i="3"/>
  <c r="AZ399" i="3" s="1"/>
  <c r="BL401" i="3"/>
  <c r="AZ401" i="3" s="1"/>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4" i="3"/>
  <c r="BA457" i="3"/>
  <c r="AZ457" i="3" s="1"/>
  <c r="BA459" i="3"/>
  <c r="BA460" i="3"/>
  <c r="AZ460" i="3" s="1"/>
  <c r="BA461" i="3"/>
  <c r="BL464" i="3"/>
  <c r="AZ464" i="3" s="1"/>
  <c r="BL466" i="3"/>
  <c r="AZ466" i="3" s="1"/>
  <c r="G468" i="3"/>
  <c r="G469" i="3"/>
  <c r="BL475" i="3"/>
  <c r="BL479" i="3"/>
  <c r="AZ566" i="3"/>
  <c r="AZ574" i="3"/>
  <c r="AZ582" i="3"/>
  <c r="AZ540" i="3"/>
  <c r="AZ502" i="3"/>
  <c r="S44" i="39"/>
  <c r="AC12" i="34"/>
  <c r="U34" i="40"/>
  <c r="U9" i="40"/>
  <c r="S27" i="35"/>
  <c r="W33" i="33"/>
  <c r="J33" i="36"/>
  <c r="AC33" i="36" s="1"/>
  <c r="U9" i="39"/>
  <c r="G585" i="3"/>
  <c r="BL587" i="3"/>
  <c r="AZ587" i="3" s="1"/>
  <c r="BL586" i="3"/>
  <c r="H12" i="34"/>
  <c r="G574" i="3"/>
  <c r="AZ403" i="3"/>
  <c r="BA404" i="3"/>
  <c r="BA405" i="3"/>
  <c r="AZ405" i="3" s="1"/>
  <c r="BL410" i="3"/>
  <c r="AZ410" i="3" s="1"/>
  <c r="G412" i="3"/>
  <c r="AZ419" i="3"/>
  <c r="AZ444" i="3"/>
  <c r="AZ448" i="3"/>
  <c r="BL476" i="3"/>
  <c r="AZ476" i="3" s="1"/>
  <c r="BL477" i="3"/>
  <c r="U31" i="36"/>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1" i="3"/>
  <c r="G462" i="3"/>
  <c r="BA465" i="3"/>
  <c r="AZ465" i="3" s="1"/>
  <c r="BA467" i="3"/>
  <c r="BA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AZ218" i="3" s="1"/>
  <c r="BL218" i="3"/>
  <c r="BL220" i="3"/>
  <c r="AZ220" i="3" s="1"/>
  <c r="BL221" i="3"/>
  <c r="G222" i="3"/>
  <c r="BL223" i="3"/>
  <c r="G224" i="3"/>
  <c r="BA227" i="3"/>
  <c r="AZ227" i="3" s="1"/>
  <c r="BA229" i="3"/>
  <c r="AZ229" i="3" s="1"/>
  <c r="BL229" i="3"/>
  <c r="BL231" i="3"/>
  <c r="G233" i="3"/>
  <c r="BL233" i="3"/>
  <c r="AZ233" i="3" s="1"/>
  <c r="G235" i="3"/>
  <c r="BL235" i="3"/>
  <c r="AZ235" i="3" s="1"/>
  <c r="BL236" i="3"/>
  <c r="BL238" i="3"/>
  <c r="BL243" i="3"/>
  <c r="BA247" i="3"/>
  <c r="AZ247" i="3" s="1"/>
  <c r="BL247" i="3"/>
  <c r="BA249" i="3"/>
  <c r="AZ249" i="3" s="1"/>
  <c r="BL249" i="3"/>
  <c r="BA251" i="3"/>
  <c r="AZ251" i="3" s="1"/>
  <c r="BL251" i="3"/>
  <c r="BA255" i="3"/>
  <c r="BL261" i="3"/>
  <c r="BA265" i="3"/>
  <c r="AZ265" i="3" s="1"/>
  <c r="BA267" i="3"/>
  <c r="AZ267" i="3" s="1"/>
  <c r="BL278" i="3"/>
  <c r="BL225" i="3"/>
  <c r="BL226" i="3"/>
  <c r="BA239" i="3"/>
  <c r="BL239" i="3"/>
  <c r="BA241" i="3"/>
  <c r="BL241" i="3"/>
  <c r="BA244" i="3"/>
  <c r="BL244" i="3"/>
  <c r="BA246" i="3"/>
  <c r="BA252" i="3"/>
  <c r="AZ252" i="3" s="1"/>
  <c r="BA254" i="3"/>
  <c r="AZ254" i="3" s="1"/>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7" i="3"/>
  <c r="BA259" i="3"/>
  <c r="AZ259" i="3" s="1"/>
  <c r="BL262" i="3"/>
  <c r="BA263" i="3"/>
  <c r="G276"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AZ228" i="3"/>
  <c r="BA37" i="3"/>
  <c r="G39" i="3"/>
  <c r="BL39" i="3"/>
  <c r="AZ39" i="3" s="1"/>
  <c r="BA45" i="3"/>
  <c r="BA46" i="3"/>
  <c r="AZ46" i="3" s="1"/>
  <c r="BL49" i="3"/>
  <c r="BL50" i="3"/>
  <c r="AZ50" i="3" s="1"/>
  <c r="BL51" i="3"/>
  <c r="AZ70" i="3"/>
  <c r="BL83" i="3"/>
  <c r="D44" i="71"/>
  <c r="T44" i="71"/>
  <c r="C55" i="71"/>
  <c r="D54" i="71"/>
  <c r="D67" i="71"/>
  <c r="C66" i="71"/>
  <c r="O67" i="71"/>
  <c r="BL255" i="3"/>
  <c r="BL257" i="3"/>
  <c r="BL258" i="3"/>
  <c r="BA262" i="3"/>
  <c r="AZ262" i="3" s="1"/>
  <c r="BL265"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BL167" i="3"/>
  <c r="BL178" i="3"/>
  <c r="BA180" i="3"/>
  <c r="AZ180" i="3" s="1"/>
  <c r="BL182" i="3"/>
  <c r="BA185" i="3"/>
  <c r="BL191" i="3"/>
  <c r="AZ191" i="3" s="1"/>
  <c r="BA193" i="3"/>
  <c r="BA196" i="3"/>
  <c r="AZ196" i="3" s="1"/>
  <c r="G203" i="3"/>
  <c r="BA205" i="3"/>
  <c r="AZ205" i="3" s="1"/>
  <c r="BL20" i="3"/>
  <c r="BA21" i="3"/>
  <c r="AZ21" i="3" s="1"/>
  <c r="BA25" i="3"/>
  <c r="BL28" i="3"/>
  <c r="BA29" i="3"/>
  <c r="AZ29" i="3" s="1"/>
  <c r="AZ38" i="3"/>
  <c r="BA52" i="3"/>
  <c r="AZ52" i="3" s="1"/>
  <c r="BA53" i="3"/>
  <c r="BA54" i="3"/>
  <c r="BL57" i="3"/>
  <c r="G62" i="3"/>
  <c r="BL62" i="3"/>
  <c r="G67" i="3"/>
  <c r="BL68" i="3"/>
  <c r="BA69" i="3"/>
  <c r="BA73" i="3"/>
  <c r="G78" i="3"/>
  <c r="G79" i="3"/>
  <c r="G81" i="3"/>
  <c r="G85" i="3"/>
  <c r="BA98" i="3"/>
  <c r="C64" i="71"/>
  <c r="T64" i="71" s="1"/>
  <c r="D63" i="71"/>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BA32" i="3"/>
  <c r="G38" i="3"/>
  <c r="BA38" i="3"/>
  <c r="G47" i="3"/>
  <c r="BL48" i="3"/>
  <c r="AZ48" i="3" s="1"/>
  <c r="AZ62" i="3"/>
  <c r="G64" i="3"/>
  <c r="BA64" i="3"/>
  <c r="AZ64" i="3" s="1"/>
  <c r="BA68" i="3"/>
  <c r="BA80" i="3"/>
  <c r="BL84" i="3"/>
  <c r="D31" i="71"/>
  <c r="C32" i="71"/>
  <c r="D50" i="71"/>
  <c r="C51" i="71"/>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AZ182" i="3" s="1"/>
  <c r="BL185" i="3"/>
  <c r="G186" i="3"/>
  <c r="G187" i="3"/>
  <c r="BL193" i="3"/>
  <c r="AZ193" i="3" s="1"/>
  <c r="G194" i="3"/>
  <c r="BL194" i="3"/>
  <c r="AZ194" i="3" s="1"/>
  <c r="BA198" i="3"/>
  <c r="AZ198" i="3" s="1"/>
  <c r="G204" i="3"/>
  <c r="BL206" i="3"/>
  <c r="BA19" i="3"/>
  <c r="AZ19" i="3" s="1"/>
  <c r="G22" i="3"/>
  <c r="G24" i="3"/>
  <c r="G25" i="3"/>
  <c r="G27" i="3"/>
  <c r="BA27" i="3"/>
  <c r="G30" i="3"/>
  <c r="BL30" i="3"/>
  <c r="BL31" i="3"/>
  <c r="G35" i="3"/>
  <c r="G36" i="3"/>
  <c r="G37" i="3"/>
  <c r="G40" i="3"/>
  <c r="BL40" i="3"/>
  <c r="BL41" i="3"/>
  <c r="AZ41" i="3" s="1"/>
  <c r="G45" i="3"/>
  <c r="BL45" i="3"/>
  <c r="BA48" i="3"/>
  <c r="BA49" i="3"/>
  <c r="AZ49" i="3" s="1"/>
  <c r="BA51" i="3"/>
  <c r="AZ51" i="3" s="1"/>
  <c r="G55" i="3"/>
  <c r="BL56" i="3"/>
  <c r="BA58" i="3"/>
  <c r="BL59" i="3"/>
  <c r="AZ59" i="3" s="1"/>
  <c r="BL60" i="3"/>
  <c r="BA61" i="3"/>
  <c r="AZ61" i="3" s="1"/>
  <c r="BL69" i="3"/>
  <c r="G70" i="3"/>
  <c r="BL70" i="3"/>
  <c r="BL71" i="3"/>
  <c r="BL72" i="3"/>
  <c r="AZ72" i="3" s="1"/>
  <c r="G74" i="3"/>
  <c r="BA75" i="3"/>
  <c r="AZ75" i="3" s="1"/>
  <c r="T28" i="71"/>
  <c r="D28" i="71"/>
  <c r="U28" i="71" s="1"/>
  <c r="C27" i="71"/>
  <c r="F66" i="71"/>
  <c r="Q67" i="71"/>
  <c r="V24" i="71"/>
  <c r="E23" i="71"/>
  <c r="E22" i="71" s="1"/>
  <c r="E21" i="71" s="1"/>
  <c r="E20" i="71" s="1"/>
  <c r="BL85" i="3"/>
  <c r="BA86" i="3"/>
  <c r="AZ86" i="3" s="1"/>
  <c r="BA87" i="3"/>
  <c r="AZ87" i="3" s="1"/>
  <c r="BA91" i="3"/>
  <c r="AZ91" i="3" s="1"/>
  <c r="G96" i="3"/>
  <c r="BL97" i="3"/>
  <c r="AZ97" i="3" s="1"/>
  <c r="BL101" i="3"/>
  <c r="BL102" i="3"/>
  <c r="G104" i="3"/>
  <c r="G105" i="3"/>
  <c r="BL106" i="3"/>
  <c r="AZ106" i="3" s="1"/>
  <c r="BA108" i="3"/>
  <c r="AZ108" i="3" s="1"/>
  <c r="BA110" i="3"/>
  <c r="AZ110" i="3" s="1"/>
  <c r="F3" i="35"/>
  <c r="S21" i="33"/>
  <c r="S21" i="37"/>
  <c r="AZ103" i="3"/>
  <c r="P66" i="71"/>
  <c r="AA27" i="71"/>
  <c r="AB26" i="71"/>
  <c r="S28" i="71"/>
  <c r="C83" i="71"/>
  <c r="C79" i="71"/>
  <c r="C75" i="71"/>
  <c r="C71" i="71"/>
  <c r="O68" i="71"/>
  <c r="D46" i="71"/>
  <c r="C39" i="71"/>
  <c r="Y28" i="71"/>
  <c r="Z28" i="71" s="1"/>
  <c r="X35" i="71"/>
  <c r="C34" i="71"/>
  <c r="Y30" i="71"/>
  <c r="Z30" i="71" s="1"/>
  <c r="X28" i="71"/>
  <c r="X32" i="71"/>
  <c r="F38" i="71"/>
  <c r="F39" i="71" s="1"/>
  <c r="F40" i="71" s="1"/>
  <c r="V40" i="71" s="1"/>
  <c r="AB38" i="71"/>
  <c r="F75" i="71"/>
  <c r="F74" i="71" s="1"/>
  <c r="B79" i="71"/>
  <c r="B78" i="71" s="1"/>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U25" i="40"/>
  <c r="S21" i="34"/>
  <c r="B68" i="43"/>
  <c r="B88" i="43"/>
  <c r="AA3" i="71"/>
  <c r="D76" i="71"/>
  <c r="T68" i="71"/>
  <c r="X34" i="71"/>
  <c r="X31" i="71"/>
  <c r="F35" i="71"/>
  <c r="F36" i="71" s="1"/>
  <c r="V36" i="71" s="1"/>
  <c r="AA34" i="71"/>
  <c r="AB35" i="71"/>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31" i="3"/>
  <c r="AZ439" i="3"/>
  <c r="AZ445" i="3"/>
  <c r="AZ449" i="3"/>
  <c r="AZ452" i="3"/>
  <c r="AZ456" i="3"/>
  <c r="AZ467" i="3"/>
  <c r="AZ468" i="3"/>
  <c r="AZ470" i="3"/>
  <c r="W35" i="39"/>
  <c r="F27" i="34"/>
  <c r="C21" i="39"/>
  <c r="U9" i="36"/>
  <c r="U14" i="37"/>
  <c r="H12" i="21"/>
  <c r="G526" i="3"/>
  <c r="AZ420" i="3"/>
  <c r="AZ424"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73" i="3"/>
  <c r="G200" i="3"/>
  <c r="G207" i="3"/>
  <c r="BA23" i="3"/>
  <c r="AZ23" i="3" s="1"/>
  <c r="BA24" i="3"/>
  <c r="AZ24" i="3" s="1"/>
  <c r="BL26" i="3"/>
  <c r="AZ26" i="3" s="1"/>
  <c r="BL32" i="3"/>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F26" i="43" s="1"/>
  <c r="E29" i="6"/>
  <c r="K15" i="1" s="1"/>
  <c r="L19" i="6"/>
  <c r="L27" i="6"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M7" i="15"/>
  <c r="F50" i="15"/>
  <c r="F51" i="15"/>
  <c r="F71" i="15"/>
  <c r="C6" i="15"/>
  <c r="F66" i="67"/>
  <c r="L59" i="15"/>
  <c r="N59" i="15"/>
  <c r="L58" i="15"/>
  <c r="M59" i="15"/>
  <c r="F66" i="15"/>
  <c r="Q71" i="67"/>
  <c r="F64" i="15"/>
  <c r="C27" i="67"/>
  <c r="F71" i="67"/>
  <c r="B13" i="70"/>
  <c r="M7" i="67"/>
  <c r="F50" i="67"/>
  <c r="F68" i="67"/>
  <c r="F64" i="67"/>
  <c r="F68" i="15"/>
  <c r="D9" i="69"/>
  <c r="D9" i="68"/>
  <c r="F43" i="80"/>
  <c r="F13" i="80"/>
  <c r="M24" i="80"/>
  <c r="F40" i="80"/>
  <c r="M26" i="80"/>
  <c r="F37" i="80"/>
  <c r="M23" i="80"/>
  <c r="F37" i="15"/>
  <c r="M9" i="67"/>
  <c r="D5" i="73"/>
  <c r="L48" i="80"/>
  <c r="M9" i="80"/>
  <c r="L48" i="67"/>
  <c r="C16" i="15"/>
  <c r="L47" i="80"/>
  <c r="F26" i="80"/>
  <c r="F9" i="80"/>
  <c r="C76" i="80"/>
  <c r="C16" i="67"/>
  <c r="D3" i="73"/>
  <c r="M29" i="80"/>
  <c r="F36" i="80"/>
  <c r="F7" i="80"/>
  <c r="F8" i="80"/>
  <c r="F38" i="80"/>
  <c r="F6" i="80"/>
  <c r="J15" i="80"/>
  <c r="F26" i="15"/>
  <c r="D4" i="73"/>
  <c r="F37" i="67"/>
  <c r="M8" i="80"/>
  <c r="F42" i="80"/>
  <c r="M6" i="80"/>
  <c r="M22" i="80"/>
  <c r="D7" i="73"/>
  <c r="M28" i="80"/>
  <c r="M8" i="15"/>
  <c r="F16" i="80"/>
  <c r="L47" i="67"/>
  <c r="AB23" i="34" l="1"/>
  <c r="AC19" i="34"/>
  <c r="W19" i="34"/>
  <c r="AA12" i="34"/>
  <c r="AB14" i="34"/>
  <c r="U14" i="34"/>
  <c r="T13" i="1"/>
  <c r="Q71" i="80"/>
  <c r="C6" i="80"/>
  <c r="F65" i="80"/>
  <c r="F66" i="80"/>
  <c r="F51" i="80"/>
  <c r="F68" i="80"/>
  <c r="M7" i="80"/>
  <c r="J6" i="80" s="1"/>
  <c r="F50" i="80"/>
  <c r="C27" i="80"/>
  <c r="F64" i="80"/>
  <c r="N59" i="80"/>
  <c r="L59" i="80"/>
  <c r="L58" i="80"/>
  <c r="Q73" i="80" s="1"/>
  <c r="M59" i="80"/>
  <c r="L56" i="80"/>
  <c r="J57" i="80"/>
  <c r="J55" i="80" s="1"/>
  <c r="J58" i="80" s="1"/>
  <c r="Q50" i="80" s="1"/>
  <c r="L57" i="80"/>
  <c r="I54" i="80"/>
  <c r="J53" i="80"/>
  <c r="Q52" i="80" s="1"/>
  <c r="L60" i="80"/>
  <c r="Q57" i="80" s="1"/>
  <c r="F71" i="80"/>
  <c r="D17" i="53"/>
  <c r="B36" i="72" s="1"/>
  <c r="F11" i="80"/>
  <c r="M11" i="80"/>
  <c r="J10" i="80" s="1"/>
  <c r="J7" i="36"/>
  <c r="AC7" i="36" s="1"/>
  <c r="V36" i="36" s="1"/>
  <c r="I36" i="36" s="1"/>
  <c r="I54" i="67"/>
  <c r="J57" i="67"/>
  <c r="J55" i="67" s="1"/>
  <c r="J58" i="67" s="1"/>
  <c r="Q50" i="67" s="1"/>
  <c r="J53" i="67"/>
  <c r="F1" i="67" s="1"/>
  <c r="L56" i="67"/>
  <c r="G8" i="1"/>
  <c r="K50" i="43"/>
  <c r="M50" i="43"/>
  <c r="N50" i="43" s="1"/>
  <c r="M53" i="43"/>
  <c r="N53" i="43" s="1"/>
  <c r="K53" i="43"/>
  <c r="M55" i="43"/>
  <c r="N55" i="43" s="1"/>
  <c r="K55" i="43"/>
  <c r="M58" i="43"/>
  <c r="N58" i="43" s="1"/>
  <c r="K58" i="43"/>
  <c r="M52" i="43"/>
  <c r="N52" i="43" s="1"/>
  <c r="K52" i="43"/>
  <c r="K56" i="43"/>
  <c r="M56" i="43"/>
  <c r="N56" i="43" s="1"/>
  <c r="K57" i="43"/>
  <c r="J57" i="43" s="1"/>
  <c r="D57" i="43" s="1"/>
  <c r="M57" i="43"/>
  <c r="N57" i="43" s="1"/>
  <c r="K51" i="43"/>
  <c r="M51" i="43"/>
  <c r="N51" i="43" s="1"/>
  <c r="G26" i="43"/>
  <c r="P6" i="1"/>
  <c r="C13" i="12" s="1"/>
  <c r="Q16" i="1"/>
  <c r="F27" i="69" s="1"/>
  <c r="C47" i="69" s="1"/>
  <c r="D45" i="69" s="1"/>
  <c r="N94" i="46"/>
  <c r="H16" i="1"/>
  <c r="E26" i="43"/>
  <c r="H26" i="43"/>
  <c r="J26" i="43"/>
  <c r="N370" i="46"/>
  <c r="E59" i="40"/>
  <c r="C27" i="15"/>
  <c r="F65" i="15"/>
  <c r="F65" i="67"/>
  <c r="L58" i="67"/>
  <c r="Q60" i="67" s="1"/>
  <c r="M59" i="67"/>
  <c r="N59" i="67"/>
  <c r="L59" i="67"/>
  <c r="Q61" i="67" s="1"/>
  <c r="J6" i="67"/>
  <c r="J18" i="67" s="1"/>
  <c r="D34" i="71"/>
  <c r="C35" i="71"/>
  <c r="D79" i="71"/>
  <c r="C78" i="71"/>
  <c r="D78" i="71" s="1"/>
  <c r="AZ58" i="3"/>
  <c r="T32" i="71"/>
  <c r="D32" i="71"/>
  <c r="AZ150" i="3"/>
  <c r="C56" i="71"/>
  <c r="D55" i="71"/>
  <c r="AA25" i="37"/>
  <c r="S25" i="37"/>
  <c r="U39" i="40"/>
  <c r="AB39" i="40"/>
  <c r="AB29" i="21"/>
  <c r="U29" i="21"/>
  <c r="E28" i="6"/>
  <c r="K14" i="1" s="1"/>
  <c r="K16" i="1" s="1"/>
  <c r="AZ117" i="3"/>
  <c r="AZ475" i="3"/>
  <c r="AZ57" i="3"/>
  <c r="D83" i="71"/>
  <c r="C82" i="71"/>
  <c r="D82" i="71" s="1"/>
  <c r="AZ297" i="3"/>
  <c r="AZ31" i="3"/>
  <c r="O65" i="71"/>
  <c r="D66" i="71"/>
  <c r="O66" i="71"/>
  <c r="AZ45" i="3"/>
  <c r="AZ483" i="3"/>
  <c r="AZ257" i="3"/>
  <c r="AZ241" i="3"/>
  <c r="AB12" i="34"/>
  <c r="U12" i="34"/>
  <c r="AZ461" i="3"/>
  <c r="AZ454" i="3"/>
  <c r="AZ418" i="3"/>
  <c r="AZ428" i="3"/>
  <c r="AC29" i="21"/>
  <c r="W29" i="21"/>
  <c r="J6" i="15"/>
  <c r="J18" i="15" s="1"/>
  <c r="S9" i="34"/>
  <c r="AZ138" i="3"/>
  <c r="C70" i="71"/>
  <c r="D70" i="71" s="1"/>
  <c r="D71" i="71"/>
  <c r="C52" i="71"/>
  <c r="D51" i="71"/>
  <c r="AZ53" i="3"/>
  <c r="AZ273" i="3"/>
  <c r="AZ263" i="3"/>
  <c r="AZ404" i="3"/>
  <c r="AZ435" i="3"/>
  <c r="AZ453" i="3"/>
  <c r="AZ432" i="3"/>
  <c r="AZ417" i="3"/>
  <c r="AB9" i="34"/>
  <c r="U9" i="34"/>
  <c r="AZ586" i="3"/>
  <c r="AC13" i="21"/>
  <c r="W13" i="21"/>
  <c r="AZ112" i="3"/>
  <c r="G5" i="3"/>
  <c r="B3" i="3" s="1"/>
  <c r="E241" i="3" s="1"/>
  <c r="AZ32" i="3"/>
  <c r="AZ482" i="3"/>
  <c r="AZ215" i="3"/>
  <c r="AZ101" i="3"/>
  <c r="C40" i="71"/>
  <c r="D39" i="71"/>
  <c r="D75" i="71"/>
  <c r="C74" i="71"/>
  <c r="D74" i="71" s="1"/>
  <c r="C26" i="71"/>
  <c r="D26" i="71" s="1"/>
  <c r="D27" i="71"/>
  <c r="AZ130" i="3"/>
  <c r="AZ27" i="3"/>
  <c r="AZ69" i="3"/>
  <c r="AZ25" i="3"/>
  <c r="AZ294" i="3"/>
  <c r="AZ368" i="3"/>
  <c r="AZ353" i="3"/>
  <c r="AZ244" i="3"/>
  <c r="AZ239" i="3"/>
  <c r="AZ459" i="3"/>
  <c r="AC9" i="34"/>
  <c r="W9" i="34"/>
  <c r="AB13" i="21"/>
  <c r="U13" i="21"/>
  <c r="G16" i="1"/>
  <c r="F10" i="39" s="1"/>
  <c r="S10" i="39" s="1"/>
  <c r="J7" i="37"/>
  <c r="K1" i="73"/>
  <c r="AA26" i="37"/>
  <c r="S26" i="37"/>
  <c r="BA5" i="3"/>
  <c r="E27"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AC7" i="37"/>
  <c r="W7" i="37"/>
  <c r="U7" i="36"/>
  <c r="F7" i="33"/>
  <c r="E58" i="21"/>
  <c r="W7" i="36"/>
  <c r="F7" i="37"/>
  <c r="M17" i="67"/>
  <c r="M17" i="15"/>
  <c r="F59" i="15"/>
  <c r="P28" i="43"/>
  <c r="B66" i="40" s="1"/>
  <c r="P25" i="43"/>
  <c r="C49" i="67"/>
  <c r="P29" i="43"/>
  <c r="P27" i="43"/>
  <c r="B70" i="39" s="1"/>
  <c r="C49" i="15"/>
  <c r="C32" i="67"/>
  <c r="M11" i="67"/>
  <c r="J10" i="67" s="1"/>
  <c r="F11" i="15"/>
  <c r="M11" i="15"/>
  <c r="J10" i="15" s="1"/>
  <c r="F11" i="67"/>
  <c r="F1" i="15"/>
  <c r="Q52" i="15"/>
  <c r="C32" i="15"/>
  <c r="Q60" i="15"/>
  <c r="Q73" i="15"/>
  <c r="Q74" i="15"/>
  <c r="Q61" i="15"/>
  <c r="AE11" i="1"/>
  <c r="AE9" i="1"/>
  <c r="AE8" i="1"/>
  <c r="AE12" i="1"/>
  <c r="AE10" i="1"/>
  <c r="G1" i="73"/>
  <c r="C16" i="80"/>
  <c r="F41" i="67"/>
  <c r="AE6" i="1"/>
  <c r="D26" i="43" l="1"/>
  <c r="C25" i="43" s="1"/>
  <c r="E30" i="6"/>
  <c r="E519" i="3"/>
  <c r="E118" i="3"/>
  <c r="Q60" i="80"/>
  <c r="J5" i="80"/>
  <c r="J26" i="80" s="1"/>
  <c r="F1" i="80"/>
  <c r="Q66" i="80"/>
  <c r="K26" i="6"/>
  <c r="M26" i="6" s="1"/>
  <c r="I26" i="6" s="1"/>
  <c r="S26" i="6" s="1"/>
  <c r="Q74" i="80"/>
  <c r="Q61" i="80"/>
  <c r="J18" i="80"/>
  <c r="J19" i="80"/>
  <c r="C32" i="80"/>
  <c r="C33" i="80"/>
  <c r="C49" i="80"/>
  <c r="C61" i="80" s="1"/>
  <c r="E139" i="3"/>
  <c r="E108" i="3"/>
  <c r="E445" i="3"/>
  <c r="F28" i="12"/>
  <c r="C29" i="12" s="1"/>
  <c r="D28" i="12" s="1"/>
  <c r="C53" i="80"/>
  <c r="C10" i="80"/>
  <c r="C5" i="80" s="1"/>
  <c r="F67" i="39"/>
  <c r="Q52" i="67"/>
  <c r="E514" i="3"/>
  <c r="E85" i="3"/>
  <c r="E63" i="3"/>
  <c r="E369" i="3"/>
  <c r="E275" i="3"/>
  <c r="E133" i="3"/>
  <c r="E429" i="3"/>
  <c r="E132" i="3"/>
  <c r="E261" i="3"/>
  <c r="E153" i="3"/>
  <c r="E385" i="3"/>
  <c r="E182" i="3"/>
  <c r="E270" i="3"/>
  <c r="N6" i="3"/>
  <c r="E474" i="3"/>
  <c r="E510" i="3"/>
  <c r="E135" i="3"/>
  <c r="E345" i="3"/>
  <c r="E585" i="3"/>
  <c r="E394" i="3"/>
  <c r="E179" i="3"/>
  <c r="E246" i="3"/>
  <c r="E387" i="3"/>
  <c r="E465" i="3"/>
  <c r="E505" i="3"/>
  <c r="E320" i="3"/>
  <c r="S6" i="3"/>
  <c r="E339" i="3"/>
  <c r="E142" i="3"/>
  <c r="E487" i="3"/>
  <c r="E148" i="3"/>
  <c r="AI6" i="3"/>
  <c r="E69" i="3"/>
  <c r="E311" i="3"/>
  <c r="E327" i="3"/>
  <c r="E495" i="3"/>
  <c r="E508" i="3"/>
  <c r="E567" i="3"/>
  <c r="E61" i="3"/>
  <c r="E334" i="3"/>
  <c r="E120" i="3"/>
  <c r="E379" i="3"/>
  <c r="E297" i="3"/>
  <c r="E543" i="3"/>
  <c r="E240" i="3"/>
  <c r="E483" i="3"/>
  <c r="E200" i="3"/>
  <c r="E191" i="3"/>
  <c r="E189" i="3"/>
  <c r="AJ6" i="3"/>
  <c r="E106" i="3"/>
  <c r="E91" i="3"/>
  <c r="E441" i="3"/>
  <c r="E562" i="3"/>
  <c r="E415" i="3"/>
  <c r="E404" i="3"/>
  <c r="E213" i="3"/>
  <c r="E257" i="3"/>
  <c r="E222" i="3"/>
  <c r="E140" i="3"/>
  <c r="E94" i="3"/>
  <c r="E219" i="3"/>
  <c r="E296" i="3"/>
  <c r="E100" i="3"/>
  <c r="E263" i="3"/>
  <c r="E172" i="3"/>
  <c r="AB6" i="3"/>
  <c r="E109" i="3"/>
  <c r="E74" i="3"/>
  <c r="E568" i="3"/>
  <c r="E439" i="3"/>
  <c r="E186" i="3"/>
  <c r="E111" i="3"/>
  <c r="E293" i="3"/>
  <c r="E358" i="3"/>
  <c r="E576" i="3"/>
  <c r="AN6" i="3"/>
  <c r="E92" i="3"/>
  <c r="E307" i="3"/>
  <c r="E265" i="3"/>
  <c r="E220" i="3"/>
  <c r="J51" i="43"/>
  <c r="D51" i="43"/>
  <c r="J56" i="43"/>
  <c r="D56" i="43"/>
  <c r="J58" i="43"/>
  <c r="D58" i="43"/>
  <c r="J53" i="43"/>
  <c r="D53" i="43"/>
  <c r="J52" i="43"/>
  <c r="D52" i="43"/>
  <c r="J55" i="43"/>
  <c r="D55" i="43"/>
  <c r="J50" i="43"/>
  <c r="D50" i="43"/>
  <c r="F27" i="11"/>
  <c r="F27" i="68"/>
  <c r="F45" i="68" s="1"/>
  <c r="F45" i="69"/>
  <c r="C29" i="69"/>
  <c r="D27" i="69" s="1"/>
  <c r="E579" i="3"/>
  <c r="E217" i="3"/>
  <c r="E211" i="3"/>
  <c r="E531" i="3"/>
  <c r="Z6" i="3"/>
  <c r="E227" i="3"/>
  <c r="E171" i="3"/>
  <c r="E587" i="3"/>
  <c r="K6" i="3"/>
  <c r="E545" i="3"/>
  <c r="E124" i="3"/>
  <c r="E134" i="3"/>
  <c r="E183" i="3"/>
  <c r="E380" i="3"/>
  <c r="E533" i="3"/>
  <c r="E555" i="3"/>
  <c r="E175" i="3"/>
  <c r="E210" i="3"/>
  <c r="E476" i="3"/>
  <c r="E515" i="3"/>
  <c r="E549" i="3"/>
  <c r="E279" i="3"/>
  <c r="E571" i="3"/>
  <c r="E573" i="3"/>
  <c r="E511" i="3"/>
  <c r="E336" i="3"/>
  <c r="E245" i="3"/>
  <c r="E260" i="3"/>
  <c r="E294" i="3"/>
  <c r="E559" i="3"/>
  <c r="E569" i="3"/>
  <c r="E480" i="3"/>
  <c r="E88" i="3"/>
  <c r="E448" i="3"/>
  <c r="E580" i="3"/>
  <c r="E55" i="3"/>
  <c r="E437" i="3"/>
  <c r="E280" i="3"/>
  <c r="E17" i="3"/>
  <c r="E418" i="3"/>
  <c r="E426" i="3"/>
  <c r="E291" i="3"/>
  <c r="E432" i="3"/>
  <c r="E357" i="3"/>
  <c r="E288" i="3"/>
  <c r="E136" i="3"/>
  <c r="E488" i="3"/>
  <c r="E47" i="3"/>
  <c r="E500" i="3"/>
  <c r="E165" i="3"/>
  <c r="E36" i="3"/>
  <c r="E372" i="3"/>
  <c r="E486" i="3"/>
  <c r="E49" i="3"/>
  <c r="E420" i="3"/>
  <c r="E332" i="3"/>
  <c r="E199" i="3"/>
  <c r="E378" i="3"/>
  <c r="E248" i="3"/>
  <c r="E131" i="3"/>
  <c r="AY6" i="3"/>
  <c r="AY50" i="3" s="1"/>
  <c r="E242" i="3"/>
  <c r="E119" i="3"/>
  <c r="X6" i="3"/>
  <c r="E423" i="3"/>
  <c r="E161" i="3"/>
  <c r="E563" i="3"/>
  <c r="E215" i="3"/>
  <c r="M6" i="3"/>
  <c r="E247" i="3"/>
  <c r="E322" i="3"/>
  <c r="E572" i="3"/>
  <c r="E28" i="3"/>
  <c r="E400" i="3"/>
  <c r="E204" i="3"/>
  <c r="E315" i="3"/>
  <c r="E454" i="3"/>
  <c r="E406" i="3"/>
  <c r="E228" i="3"/>
  <c r="E77" i="3"/>
  <c r="E586" i="3"/>
  <c r="E503" i="3"/>
  <c r="E185" i="3"/>
  <c r="E538" i="3"/>
  <c r="E337" i="3"/>
  <c r="E305" i="3"/>
  <c r="E44" i="3"/>
  <c r="E27" i="3"/>
  <c r="E477" i="3"/>
  <c r="E107" i="3"/>
  <c r="E318" i="3"/>
  <c r="E72" i="3"/>
  <c r="E457" i="3"/>
  <c r="E45" i="3"/>
  <c r="E453" i="3"/>
  <c r="E518" i="3"/>
  <c r="E117" i="3"/>
  <c r="E114" i="3"/>
  <c r="E407" i="3"/>
  <c r="E229" i="3"/>
  <c r="E282" i="3"/>
  <c r="E316" i="3"/>
  <c r="E558" i="3"/>
  <c r="E252" i="3"/>
  <c r="E274" i="3"/>
  <c r="E344" i="3"/>
  <c r="E262" i="3"/>
  <c r="E303" i="3"/>
  <c r="E169" i="3"/>
  <c r="E285" i="3"/>
  <c r="E319" i="3"/>
  <c r="E546" i="3"/>
  <c r="E207" i="3"/>
  <c r="E54" i="3"/>
  <c r="E224" i="3"/>
  <c r="E98" i="3"/>
  <c r="E163" i="3"/>
  <c r="E354" i="3"/>
  <c r="E65" i="3"/>
  <c r="E218" i="3"/>
  <c r="E38" i="3"/>
  <c r="E401" i="3"/>
  <c r="E116" i="3"/>
  <c r="E243" i="3"/>
  <c r="E22" i="3"/>
  <c r="E300" i="3"/>
  <c r="E535" i="3"/>
  <c r="E278" i="3"/>
  <c r="E335" i="3"/>
  <c r="E570" i="3"/>
  <c r="E431" i="3"/>
  <c r="E268" i="3"/>
  <c r="E273" i="3"/>
  <c r="E489" i="3"/>
  <c r="E485" i="3"/>
  <c r="E368" i="3"/>
  <c r="E214" i="3"/>
  <c r="E468" i="3"/>
  <c r="E560" i="3"/>
  <c r="AK6" i="3"/>
  <c r="E347" i="3"/>
  <c r="E301" i="3"/>
  <c r="E361" i="3"/>
  <c r="E216" i="3"/>
  <c r="AR6" i="3"/>
  <c r="E410" i="3"/>
  <c r="E343" i="3"/>
  <c r="E331" i="3"/>
  <c r="E447" i="3"/>
  <c r="E414" i="3"/>
  <c r="E269" i="3"/>
  <c r="E351" i="3"/>
  <c r="E433" i="3"/>
  <c r="E458" i="3"/>
  <c r="E99" i="3"/>
  <c r="E253" i="3"/>
  <c r="E382" i="3"/>
  <c r="E550" i="3"/>
  <c r="E130" i="3"/>
  <c r="E551" i="3"/>
  <c r="E396" i="3"/>
  <c r="E366" i="3"/>
  <c r="E121" i="3"/>
  <c r="E443" i="3"/>
  <c r="E236" i="3"/>
  <c r="E73" i="3"/>
  <c r="E481" i="3"/>
  <c r="E238" i="3"/>
  <c r="E302" i="3"/>
  <c r="E321" i="3"/>
  <c r="E359" i="3"/>
  <c r="E317" i="3"/>
  <c r="E367" i="3"/>
  <c r="E196" i="3"/>
  <c r="E537" i="3"/>
  <c r="E306" i="3"/>
  <c r="E167" i="3"/>
  <c r="E373" i="3"/>
  <c r="E209" i="3"/>
  <c r="E155" i="3"/>
  <c r="E112" i="3"/>
  <c r="E540" i="3"/>
  <c r="E419" i="3"/>
  <c r="E83" i="3"/>
  <c r="E104" i="3"/>
  <c r="E235" i="3"/>
  <c r="H10" i="40"/>
  <c r="AB10" i="40" s="1"/>
  <c r="M14" i="1"/>
  <c r="O14" i="1" s="1"/>
  <c r="O16" i="1" s="1"/>
  <c r="E363" i="3"/>
  <c r="E264" i="3"/>
  <c r="E34" i="3"/>
  <c r="E408" i="3"/>
  <c r="E356" i="3"/>
  <c r="E370" i="3"/>
  <c r="E105" i="3"/>
  <c r="E376" i="3"/>
  <c r="E202" i="3"/>
  <c r="E473" i="3"/>
  <c r="E325" i="3"/>
  <c r="E50" i="3"/>
  <c r="E141" i="3"/>
  <c r="E386" i="3"/>
  <c r="E57" i="3"/>
  <c r="E149" i="3"/>
  <c r="E542" i="3"/>
  <c r="AD6" i="3"/>
  <c r="E413" i="3"/>
  <c r="E461" i="3"/>
  <c r="E532" i="3"/>
  <c r="W6" i="3"/>
  <c r="E168" i="3"/>
  <c r="E397" i="3"/>
  <c r="U6" i="3"/>
  <c r="E547" i="3"/>
  <c r="E272" i="3"/>
  <c r="E53" i="3"/>
  <c r="E328" i="3"/>
  <c r="E390" i="3"/>
  <c r="E338" i="3"/>
  <c r="E304" i="3"/>
  <c r="E254" i="3"/>
  <c r="E353" i="3"/>
  <c r="E434" i="3"/>
  <c r="Q6" i="3"/>
  <c r="AE6" i="3"/>
  <c r="E203" i="3"/>
  <c r="I6" i="3"/>
  <c r="AG6" i="3"/>
  <c r="E581" i="3"/>
  <c r="E295" i="3"/>
  <c r="E125" i="3"/>
  <c r="E239"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J10" i="40"/>
  <c r="AC10" i="40" s="1"/>
  <c r="E177" i="3"/>
  <c r="E156" i="3"/>
  <c r="E159" i="3"/>
  <c r="E237" i="3"/>
  <c r="E523" i="3"/>
  <c r="E574" i="3"/>
  <c r="E29" i="3"/>
  <c r="E71" i="3"/>
  <c r="E411" i="3"/>
  <c r="E14" i="3"/>
  <c r="E475" i="3"/>
  <c r="E529" i="3"/>
  <c r="E127" i="3"/>
  <c r="E87" i="3"/>
  <c r="E462" i="3"/>
  <c r="E323" i="3"/>
  <c r="E244" i="3"/>
  <c r="E460" i="3"/>
  <c r="E340" i="3"/>
  <c r="E137" i="3"/>
  <c r="E333" i="3"/>
  <c r="E490" i="3"/>
  <c r="E329" i="3"/>
  <c r="E190" i="3"/>
  <c r="E469" i="3"/>
  <c r="AL6" i="3"/>
  <c r="E267" i="3"/>
  <c r="E539" i="3"/>
  <c r="R6" i="3"/>
  <c r="E56" i="3"/>
  <c r="E389" i="3"/>
  <c r="E64" i="3"/>
  <c r="E310" i="3"/>
  <c r="E233" i="3"/>
  <c r="E541" i="3"/>
  <c r="E192" i="3"/>
  <c r="E76" i="3"/>
  <c r="E103" i="3"/>
  <c r="E23" i="3"/>
  <c r="E381" i="3"/>
  <c r="E21" i="3"/>
  <c r="E75" i="3"/>
  <c r="E522" i="3"/>
  <c r="E287" i="3"/>
  <c r="E534" i="3"/>
  <c r="E360"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AA10" i="39"/>
  <c r="F10" i="40"/>
  <c r="S10" i="40" s="1"/>
  <c r="E259" i="3"/>
  <c r="E584" i="3"/>
  <c r="E436" i="3"/>
  <c r="E19" i="3"/>
  <c r="E446" i="3"/>
  <c r="E416" i="3"/>
  <c r="E51" i="3"/>
  <c r="E58" i="3"/>
  <c r="E566" i="3"/>
  <c r="E101" i="3"/>
  <c r="E62" i="3"/>
  <c r="E289" i="3"/>
  <c r="E52" i="3"/>
  <c r="E234" i="3"/>
  <c r="E79" i="3"/>
  <c r="E43" i="3"/>
  <c r="E276" i="3"/>
  <c r="E25" i="3"/>
  <c r="E498" i="3"/>
  <c r="E422" i="3"/>
  <c r="E564" i="3"/>
  <c r="E223" i="3"/>
  <c r="E158" i="3"/>
  <c r="E35" i="3"/>
  <c r="E78" i="3"/>
  <c r="E115" i="3"/>
  <c r="E452" i="3"/>
  <c r="E405" i="3"/>
  <c r="E102" i="3"/>
  <c r="E129" i="3"/>
  <c r="E198" i="3"/>
  <c r="E144" i="3"/>
  <c r="E425" i="3"/>
  <c r="E435" i="3"/>
  <c r="J10" i="39"/>
  <c r="W10" i="39" s="1"/>
  <c r="H10" i="39"/>
  <c r="U10" i="39" s="1"/>
  <c r="E3" i="6"/>
  <c r="E157" i="3"/>
  <c r="E122" i="3"/>
  <c r="E187" i="3"/>
  <c r="E195" i="3"/>
  <c r="Y6" i="3"/>
  <c r="E374" i="3"/>
  <c r="E266" i="3"/>
  <c r="E582" i="3"/>
  <c r="E48" i="3"/>
  <c r="E110" i="3"/>
  <c r="E421" i="3"/>
  <c r="E24" i="3"/>
  <c r="E348" i="3"/>
  <c r="E398" i="3"/>
  <c r="E365" i="3"/>
  <c r="E20" i="3"/>
  <c r="E147" i="3"/>
  <c r="E392" i="3"/>
  <c r="E194" i="3"/>
  <c r="E455" i="3"/>
  <c r="L6" i="3"/>
  <c r="E226" i="3"/>
  <c r="E40" i="3"/>
  <c r="AH6" i="3"/>
  <c r="E507" i="3"/>
  <c r="E493" i="3"/>
  <c r="E16" i="3"/>
  <c r="E80" i="3"/>
  <c r="E342" i="3"/>
  <c r="E428" i="3"/>
  <c r="E41" i="3"/>
  <c r="E497" i="3"/>
  <c r="E173" i="3"/>
  <c r="E251" i="3"/>
  <c r="E18" i="3"/>
  <c r="E309" i="3"/>
  <c r="E67" i="3"/>
  <c r="E409" i="3"/>
  <c r="I3" i="6"/>
  <c r="Q73" i="67"/>
  <c r="J5" i="15"/>
  <c r="J24" i="15" s="1"/>
  <c r="Q74" i="67"/>
  <c r="J5" i="67"/>
  <c r="J24" i="67" s="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95" i="3"/>
  <c r="E417" i="3"/>
  <c r="E554" i="3"/>
  <c r="E449" i="3"/>
  <c r="E442" i="3"/>
  <c r="E575" i="3"/>
  <c r="E536"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36" i="71"/>
  <c r="D35" i="71"/>
  <c r="R36" i="36"/>
  <c r="R37" i="36" s="1"/>
  <c r="T52" i="71"/>
  <c r="D52" i="71"/>
  <c r="D56" i="71"/>
  <c r="T5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E31" i="6"/>
  <c r="K24" i="6"/>
  <c r="K19" i="6"/>
  <c r="S6" i="1" s="1"/>
  <c r="AY276" i="3"/>
  <c r="AY533" i="3"/>
  <c r="AY242" i="3"/>
  <c r="AY89" i="3"/>
  <c r="AY350" i="3"/>
  <c r="AY536" i="3"/>
  <c r="AY313" i="3"/>
  <c r="AY94" i="3"/>
  <c r="AY512" i="3"/>
  <c r="AY550" i="3"/>
  <c r="AY110" i="3"/>
  <c r="AY136" i="3"/>
  <c r="AY153" i="3"/>
  <c r="AY538" i="3"/>
  <c r="AY359" i="3"/>
  <c r="AY240" i="3"/>
  <c r="D19" i="11"/>
  <c r="C19" i="11" s="1"/>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M27" i="67"/>
  <c r="F41" i="15"/>
  <c r="M27" i="80"/>
  <c r="AE7" i="1"/>
  <c r="F41" i="80" s="1"/>
  <c r="M27" i="15"/>
  <c r="R50" i="34" l="1"/>
  <c r="AC10" i="39"/>
  <c r="W10" i="40"/>
  <c r="J24" i="80"/>
  <c r="C48" i="80"/>
  <c r="C60" i="80" s="1"/>
  <c r="U10" i="40"/>
  <c r="F69" i="80"/>
  <c r="J29" i="80"/>
  <c r="G54" i="34"/>
  <c r="H54" i="34" s="1"/>
  <c r="L36" i="43"/>
  <c r="L37" i="43" s="1"/>
  <c r="O37" i="43" s="1"/>
  <c r="F24" i="80"/>
  <c r="C38" i="80"/>
  <c r="AY164" i="3"/>
  <c r="AY301" i="3"/>
  <c r="AY434" i="3"/>
  <c r="AY567" i="3"/>
  <c r="AY39" i="3"/>
  <c r="AY399" i="3"/>
  <c r="AY323" i="3"/>
  <c r="AY466" i="3"/>
  <c r="AY509" i="3"/>
  <c r="AY266" i="3"/>
  <c r="AY275" i="3"/>
  <c r="AY508" i="3"/>
  <c r="AY425" i="3"/>
  <c r="AY109" i="3"/>
  <c r="AY372" i="3"/>
  <c r="AY66" i="3"/>
  <c r="AY566" i="3"/>
  <c r="AY107" i="3"/>
  <c r="AY62" i="3"/>
  <c r="AY320" i="3"/>
  <c r="AY432" i="3"/>
  <c r="AY13" i="3"/>
  <c r="AY321" i="3"/>
  <c r="AY273" i="3"/>
  <c r="AY221" i="3"/>
  <c r="AY579" i="3"/>
  <c r="AY189" i="3"/>
  <c r="AY286" i="3"/>
  <c r="AY356" i="3"/>
  <c r="AY495" i="3"/>
  <c r="AY247" i="3"/>
  <c r="AY473" i="3"/>
  <c r="AY477" i="3"/>
  <c r="AY408" i="3"/>
  <c r="AY545" i="3"/>
  <c r="AY396" i="3"/>
  <c r="AY375" i="3"/>
  <c r="AY216" i="3"/>
  <c r="AY205" i="3"/>
  <c r="AY27" i="3"/>
  <c r="AY167" i="3"/>
  <c r="AY453" i="3"/>
  <c r="AY519" i="3"/>
  <c r="AY573" i="3"/>
  <c r="AY222" i="3"/>
  <c r="AY462" i="3"/>
  <c r="AY19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521" i="3"/>
  <c r="AY307" i="3"/>
  <c r="AY257" i="3"/>
  <c r="AY200" i="3"/>
  <c r="AY568" i="3"/>
  <c r="AY451" i="3"/>
  <c r="AY394" i="3"/>
  <c r="AY151" i="3"/>
  <c r="AY79" i="3"/>
  <c r="AY551" i="3"/>
  <c r="AY505" i="3"/>
  <c r="AY445" i="3"/>
  <c r="AY305" i="3"/>
  <c r="AY250" i="3"/>
  <c r="AY174" i="3"/>
  <c r="AY583" i="3"/>
  <c r="AY474" i="3"/>
  <c r="AY208" i="3"/>
  <c r="AY175" i="3"/>
  <c r="AY102" i="3"/>
  <c r="AY421" i="3"/>
  <c r="AY233" i="3"/>
  <c r="AY563" i="3"/>
  <c r="AY431" i="3"/>
  <c r="AY352" i="3"/>
  <c r="AY32" i="3"/>
  <c r="AY429" i="3"/>
  <c r="AY354" i="3"/>
  <c r="AY277" i="3"/>
  <c r="AY38" i="3"/>
  <c r="AY560" i="3"/>
  <c r="AY469" i="3"/>
  <c r="AY232" i="3"/>
  <c r="AY156" i="3"/>
  <c r="AY99" i="3"/>
  <c r="AY565" i="3"/>
  <c r="AY407" i="3"/>
  <c r="AY468" i="3"/>
  <c r="AY329" i="3"/>
  <c r="AY251" i="3"/>
  <c r="AY194" i="3"/>
  <c r="AY582" i="3"/>
  <c r="AY503" i="3"/>
  <c r="AY181" i="3"/>
  <c r="AY141" i="3"/>
  <c r="AY436" i="3"/>
  <c r="AY292" i="3"/>
  <c r="AY527" i="3"/>
  <c r="AY243" i="3"/>
  <c r="AY271" i="3"/>
  <c r="AY574" i="3"/>
  <c r="AY334" i="3"/>
  <c r="BF6" i="3"/>
  <c r="AY488" i="3"/>
  <c r="AY290" i="3"/>
  <c r="AY554" i="3"/>
  <c r="AY294" i="3"/>
  <c r="AY28" i="3"/>
  <c r="BK6" i="3"/>
  <c r="AY228" i="3"/>
  <c r="AY363" i="3"/>
  <c r="AY303" i="3"/>
  <c r="AY152" i="3"/>
  <c r="AY87" i="3"/>
  <c r="AY400" i="3"/>
  <c r="AY351" i="3"/>
  <c r="AY293" i="3"/>
  <c r="AY54" i="3"/>
  <c r="AY547" i="3"/>
  <c r="AY485" i="3"/>
  <c r="AY248" i="3"/>
  <c r="AY172" i="3"/>
  <c r="AY493" i="3"/>
  <c r="AY515" i="3"/>
  <c r="AY415" i="3"/>
  <c r="AY476" i="3"/>
  <c r="AY337" i="3"/>
  <c r="AY267" i="3"/>
  <c r="AY21" i="3"/>
  <c r="AY15" i="3"/>
  <c r="AY322" i="3"/>
  <c r="AY272" i="3"/>
  <c r="AY195" i="3"/>
  <c r="AY576" i="3"/>
  <c r="AY482" i="3"/>
  <c r="AY140" i="3"/>
  <c r="AY537" i="3"/>
  <c r="AY461" i="3"/>
  <c r="AY235" i="3"/>
  <c r="AY504" i="3"/>
  <c r="AY459" i="3"/>
  <c r="AY213" i="3"/>
  <c r="AY159" i="3"/>
  <c r="AY86" i="3"/>
  <c r="AY405" i="3"/>
  <c r="AY331" i="3"/>
  <c r="AY280" i="3"/>
  <c r="AY35" i="3"/>
  <c r="AY531" i="3"/>
  <c r="D3" i="6"/>
  <c r="D15" i="6" s="1"/>
  <c r="AY410" i="3"/>
  <c r="AY487" i="3"/>
  <c r="AY369" i="3"/>
  <c r="AY129" i="3"/>
  <c r="AY80" i="3"/>
  <c r="AY584" i="3"/>
  <c r="AY480" i="3"/>
  <c r="AY507" i="3"/>
  <c r="AY20" i="3"/>
  <c r="AY212" i="3"/>
  <c r="AY49" i="3"/>
  <c r="AY435" i="3"/>
  <c r="AY40" i="3"/>
  <c r="AY146" i="3"/>
  <c r="AY481" i="3"/>
  <c r="AY90" i="3"/>
  <c r="BQ6" i="3"/>
  <c r="AY348" i="3"/>
  <c r="AY166" i="3"/>
  <c r="AY397" i="3"/>
  <c r="AY133" i="3"/>
  <c r="AY61" i="3"/>
  <c r="AY420" i="3"/>
  <c r="AY26" i="3"/>
  <c r="AY261" i="3"/>
  <c r="AY225" i="3"/>
  <c r="AY115" i="3"/>
  <c r="C29" i="11"/>
  <c r="D27" i="11" s="1"/>
  <c r="C47" i="11"/>
  <c r="D45" i="11" s="1"/>
  <c r="BT6" i="3"/>
  <c r="AY443" i="3"/>
  <c r="AY386" i="3"/>
  <c r="AY143" i="3"/>
  <c r="AY71" i="3"/>
  <c r="AY500" i="3"/>
  <c r="AY315" i="3"/>
  <c r="AY265" i="3"/>
  <c r="AY19" i="3"/>
  <c r="BP6" i="3"/>
  <c r="AY522" i="3"/>
  <c r="AY402" i="3"/>
  <c r="AY479" i="3"/>
  <c r="AY361" i="3"/>
  <c r="AY113" i="3"/>
  <c r="AY64" i="3"/>
  <c r="AY413" i="3"/>
  <c r="AY339" i="3"/>
  <c r="AY288" i="3"/>
  <c r="AY22" i="3"/>
  <c r="AY528" i="3"/>
  <c r="AY330" i="3"/>
  <c r="AY203" i="3"/>
  <c r="AY575" i="3"/>
  <c r="AY492" i="3"/>
  <c r="AY298" i="3"/>
  <c r="AY511" i="3"/>
  <c r="AY490" i="3"/>
  <c r="AY224" i="3"/>
  <c r="AY148" i="3"/>
  <c r="AY91" i="3"/>
  <c r="AY437" i="3"/>
  <c r="AY362" i="3"/>
  <c r="AY285" i="3"/>
  <c r="AY46" i="3"/>
  <c r="AY570" i="3"/>
  <c r="AY14" i="3"/>
  <c r="AY426" i="3"/>
  <c r="AY312" i="3"/>
  <c r="AY380" i="3"/>
  <c r="AY137" i="3"/>
  <c r="AY65" i="3"/>
  <c r="AY543" i="3"/>
  <c r="AY309" i="3"/>
  <c r="AY384" i="3"/>
  <c r="AY69" i="3"/>
  <c r="AY43" i="3"/>
  <c r="AY523" i="3"/>
  <c r="AY464" i="3"/>
  <c r="BI6" i="3"/>
  <c r="AY25" i="3"/>
  <c r="AY390" i="3"/>
  <c r="AY98" i="3"/>
  <c r="AY427" i="3"/>
  <c r="AY349" i="3"/>
  <c r="AY24" i="3"/>
  <c r="AY214" i="3"/>
  <c r="AY138" i="3"/>
  <c r="AY108" i="3"/>
  <c r="AY465" i="3"/>
  <c r="AY409" i="3"/>
  <c r="AY74" i="3"/>
  <c r="AY253" i="3"/>
  <c r="AY144" i="3"/>
  <c r="D14" i="12"/>
  <c r="D17" i="12" s="1"/>
  <c r="C17" i="12" s="1"/>
  <c r="B4" i="77"/>
  <c r="E50" i="43"/>
  <c r="B48" i="43" s="1"/>
  <c r="C28" i="43" s="1"/>
  <c r="C47" i="68"/>
  <c r="D45" i="68" s="1"/>
  <c r="C29" i="68"/>
  <c r="D27" i="68" s="1"/>
  <c r="M16" i="1"/>
  <c r="N16" i="1" s="1"/>
  <c r="AA10" i="40"/>
  <c r="AB10" i="39"/>
  <c r="D3" i="37"/>
  <c r="D37" i="11"/>
  <c r="H6" i="3"/>
  <c r="E6" i="6"/>
  <c r="D10" i="11" s="1"/>
  <c r="C10" i="11" s="1"/>
  <c r="D3" i="33"/>
  <c r="C17" i="4"/>
  <c r="B4" i="52" s="1"/>
  <c r="B43" i="72" s="1"/>
  <c r="M18" i="9"/>
  <c r="B118" i="9" s="1"/>
  <c r="B1" i="74" s="1"/>
  <c r="D3" i="21"/>
  <c r="D116" i="43"/>
  <c r="D3" i="34"/>
  <c r="L18" i="9"/>
  <c r="AC6" i="3"/>
  <c r="F25" i="12"/>
  <c r="C26" i="12" s="1"/>
  <c r="D25" i="12" s="1"/>
  <c r="D36" i="71"/>
  <c r="T36" i="71"/>
  <c r="F22" i="68"/>
  <c r="F22" i="11"/>
  <c r="C23" i="11" s="1"/>
  <c r="F24" i="67"/>
  <c r="C24" i="67" s="1"/>
  <c r="F24" i="15"/>
  <c r="C24" i="15" s="1"/>
  <c r="F22" i="69"/>
  <c r="F41" i="69"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0" i="12"/>
  <c r="C20" i="12" s="1"/>
  <c r="D25" i="6"/>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7" i="80"/>
  <c r="C14" i="67"/>
  <c r="I54" i="34" l="1"/>
  <c r="J54" i="34" s="1"/>
  <c r="C66" i="80"/>
  <c r="D13" i="6"/>
  <c r="D23" i="6"/>
  <c r="D24" i="6"/>
  <c r="L19" i="9"/>
  <c r="D8" i="6"/>
  <c r="E61" i="40"/>
  <c r="D12" i="6"/>
  <c r="D19" i="6"/>
  <c r="D9" i="6"/>
  <c r="M19" i="9"/>
  <c r="C118" i="9" s="1"/>
  <c r="B2" i="74" s="1"/>
  <c r="D8" i="74" s="1"/>
  <c r="D22" i="6"/>
  <c r="H26" i="6"/>
  <c r="R26" i="6" s="1"/>
  <c r="D11" i="6"/>
  <c r="C18" i="4"/>
  <c r="A7" i="51" s="1"/>
  <c r="B7" i="72" s="1"/>
  <c r="D10" i="6"/>
  <c r="D26" i="6"/>
  <c r="D21" i="6"/>
  <c r="D28" i="6"/>
  <c r="D30" i="6" s="1"/>
  <c r="D5" i="6"/>
  <c r="D29" i="6"/>
  <c r="D14" i="6"/>
  <c r="D20" i="6"/>
  <c r="Q36" i="43"/>
  <c r="Q37" i="43"/>
  <c r="M37" i="43"/>
  <c r="P36" i="43"/>
  <c r="O36" i="43"/>
  <c r="N37" i="43"/>
  <c r="P37" i="43"/>
  <c r="M36" i="43"/>
  <c r="N36" i="43"/>
  <c r="E7" i="70"/>
  <c r="C24" i="80"/>
  <c r="L16" i="1"/>
  <c r="H24" i="6"/>
  <c r="R24" i="6" s="1"/>
  <c r="R11" i="1" s="1"/>
  <c r="H21" i="6"/>
  <c r="T13" i="43"/>
  <c r="V13" i="43" s="1"/>
  <c r="T16" i="43"/>
  <c r="V16" i="43" s="1"/>
  <c r="T8" i="43"/>
  <c r="V8" i="43" s="1"/>
  <c r="T6" i="43"/>
  <c r="V6" i="43" s="1"/>
  <c r="C37" i="43"/>
  <c r="C42" i="43"/>
  <c r="T11" i="43"/>
  <c r="V11" i="43" s="1"/>
  <c r="T14" i="43"/>
  <c r="V14" i="43" s="1"/>
  <c r="T4" i="43"/>
  <c r="V4" i="43" s="1"/>
  <c r="T5" i="43"/>
  <c r="V5" i="43" s="1"/>
  <c r="C41" i="43"/>
  <c r="C38" i="43"/>
  <c r="T9" i="43"/>
  <c r="V9" i="43" s="1"/>
  <c r="T12" i="43"/>
  <c r="V12" i="43" s="1"/>
  <c r="T3" i="43"/>
  <c r="V3" i="43" s="1"/>
  <c r="C33" i="43"/>
  <c r="T15" i="43"/>
  <c r="V15" i="43" s="1"/>
  <c r="T7" i="43"/>
  <c r="V7" i="43" s="1"/>
  <c r="T10" i="43"/>
  <c r="V10" i="43" s="1"/>
  <c r="T2" i="43"/>
  <c r="V2" i="43" s="1"/>
  <c r="C40" i="43"/>
  <c r="C39" i="43"/>
  <c r="E6" i="3"/>
  <c r="H22" i="6"/>
  <c r="R22" i="6" s="1"/>
  <c r="R9" i="1" s="1"/>
  <c r="H25" i="6"/>
  <c r="R25" i="6" s="1"/>
  <c r="R12" i="1" s="1"/>
  <c r="D6" i="6"/>
  <c r="C44" i="68"/>
  <c r="D41" i="68" s="1"/>
  <c r="C44" i="11"/>
  <c r="D41" i="11" s="1"/>
  <c r="C26" i="68"/>
  <c r="D22" i="68" s="1"/>
  <c r="F41" i="68"/>
  <c r="E53" i="34"/>
  <c r="F53" i="34" s="1"/>
  <c r="C26" i="11"/>
  <c r="D22"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7" i="74"/>
  <c r="C10" i="69"/>
  <c r="C8" i="69" s="1"/>
  <c r="C5" i="69" s="1"/>
  <c r="D19" i="69"/>
  <c r="F50" i="69"/>
  <c r="F50" i="11"/>
  <c r="F50" i="68"/>
  <c r="C4" i="52"/>
  <c r="B45" i="72" s="1"/>
  <c r="A10" i="51"/>
  <c r="B9"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0"/>
  <c r="C14" i="15"/>
  <c r="R21" i="6" l="1"/>
  <c r="R8" i="1" s="1"/>
  <c r="D16" i="6"/>
  <c r="D27" i="6"/>
  <c r="D31" i="6" s="1"/>
  <c r="C15" i="80"/>
  <c r="C18" i="80"/>
  <c r="E33" i="43"/>
  <c r="C34" i="43"/>
  <c r="E34" i="43" s="1"/>
  <c r="G38" i="43"/>
  <c r="I38" i="43" s="1"/>
  <c r="E38" i="43"/>
  <c r="E41" i="43"/>
  <c r="G41" i="43"/>
  <c r="I41" i="43" s="1"/>
  <c r="E39" i="43"/>
  <c r="G39" i="43"/>
  <c r="I39" i="43" s="1"/>
  <c r="E42" i="43"/>
  <c r="G42" i="43"/>
  <c r="I42" i="43" s="1"/>
  <c r="G40" i="43"/>
  <c r="I40" i="43" s="1"/>
  <c r="E40"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19" i="80" l="1"/>
  <c r="C20" i="80" s="1"/>
  <c r="C31" i="43"/>
  <c r="C30" i="43"/>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26" i="80" l="1"/>
  <c r="C23" i="80"/>
  <c r="E2" i="76"/>
  <c r="B2" i="43"/>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80"/>
  <c r="M21" i="15"/>
  <c r="F35" i="15"/>
  <c r="F35" i="67"/>
  <c r="B6" i="76"/>
  <c r="M21" i="67"/>
  <c r="F35" i="80"/>
  <c r="C29" i="80" l="1"/>
  <c r="C57" i="80" s="1"/>
  <c r="C64" i="80" s="1"/>
  <c r="J20" i="80"/>
  <c r="J17" i="80" s="1"/>
  <c r="C34" i="80"/>
  <c r="C31" i="80" s="1"/>
  <c r="F63" i="80"/>
  <c r="C62" i="80" s="1"/>
  <c r="C59" i="80" s="1"/>
  <c r="B2" i="76"/>
  <c r="B3" i="76" s="1"/>
  <c r="C6" i="68"/>
  <c r="B3" i="43"/>
  <c r="E11" i="77"/>
  <c r="E7" i="77" s="1"/>
  <c r="C27" i="77" s="1"/>
  <c r="D7" i="77"/>
  <c r="C26" i="77" s="1"/>
  <c r="C32" i="77" s="1"/>
  <c r="C38" i="77" s="1"/>
  <c r="C39" i="77" s="1"/>
  <c r="C40" i="77" s="1"/>
  <c r="C41" i="77"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J59" i="80" l="1"/>
  <c r="J60" i="80" s="1"/>
  <c r="Q48" i="80" s="1"/>
  <c r="C36" i="80"/>
  <c r="J14" i="80"/>
  <c r="J13" i="80" s="1"/>
  <c r="J23" i="80" s="1"/>
  <c r="C13" i="80"/>
  <c r="C75" i="80" s="1"/>
  <c r="Q49" i="80"/>
  <c r="I42" i="35"/>
  <c r="J42" i="35" s="1"/>
  <c r="C7" i="68"/>
  <c r="C5"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46" i="80" l="1"/>
  <c r="J22" i="80"/>
  <c r="J16" i="80" s="1"/>
  <c r="J25" i="80" s="1"/>
  <c r="C37" i="80"/>
  <c r="C30" i="80" s="1"/>
  <c r="C39" i="80" s="1"/>
  <c r="C80" i="80" s="1"/>
  <c r="C79" i="80" s="1"/>
  <c r="C56" i="80"/>
  <c r="C65" i="80" s="1"/>
  <c r="C58" i="80" s="1"/>
  <c r="C67" i="80" s="1"/>
  <c r="C68" i="80" s="1"/>
  <c r="C71" i="80" s="1"/>
  <c r="Q70" i="80"/>
  <c r="C23" i="68"/>
  <c r="C20" i="68"/>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L51" i="80"/>
  <c r="L51" i="67"/>
  <c r="C40" i="80" l="1"/>
  <c r="Q47" i="80" s="1"/>
  <c r="Q53" i="80" s="1"/>
  <c r="Q69" i="80"/>
  <c r="Q68" i="80" s="1"/>
  <c r="Q67" i="80"/>
  <c r="C39" i="15"/>
  <c r="Q69" i="15" s="1"/>
  <c r="Q68" i="15" s="1"/>
  <c r="H33" i="15"/>
  <c r="C28" i="68"/>
  <c r="C27" i="68" s="1"/>
  <c r="C25" i="68"/>
  <c r="C22" i="68" s="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5"/>
  <c r="L51" i="15"/>
  <c r="D2" i="37"/>
  <c r="D2" i="36"/>
  <c r="C46" i="80" l="1"/>
  <c r="B2" i="80"/>
  <c r="B3" i="80" s="1"/>
  <c r="Q65" i="80"/>
  <c r="Q75" i="80" s="1"/>
  <c r="Q56" i="80"/>
  <c r="Q62" i="80" s="1"/>
  <c r="C43" i="80"/>
  <c r="C83" i="80"/>
  <c r="C82" i="80" s="1"/>
  <c r="C40" i="15"/>
  <c r="C46" i="15" s="1"/>
  <c r="C80" i="15"/>
  <c r="C79" i="15" s="1"/>
  <c r="C31" i="68"/>
  <c r="C52" i="68" s="1"/>
  <c r="B2" i="68" s="1"/>
  <c r="C8" i="7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7" i="1"/>
  <c r="AO9" i="1"/>
  <c r="AO10" i="1"/>
  <c r="AO8" i="1"/>
  <c r="AO12" i="1"/>
  <c r="AO11" i="1"/>
  <c r="C19" i="9"/>
  <c r="C43" i="15" l="1"/>
  <c r="Q47" i="15"/>
  <c r="Q53" i="15" s="1"/>
  <c r="Q56" i="15"/>
  <c r="Q62" i="15" s="1"/>
  <c r="C83" i="15"/>
  <c r="C82" i="15" s="1"/>
  <c r="Q65" i="15"/>
  <c r="C57" i="68"/>
  <c r="C56" i="68" s="1"/>
  <c r="C21" i="9"/>
  <c r="C102" i="9"/>
  <c r="B3" i="68"/>
  <c r="C7" i="71"/>
  <c r="D8" i="71"/>
  <c r="L46" i="15"/>
  <c r="E2" i="77" s="1"/>
  <c r="Q66" i="15"/>
  <c r="Q75" i="15" s="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B2" i="15"/>
  <c r="B3" i="15" s="1"/>
  <c r="B2" i="77"/>
  <c r="B3" i="77"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D6" i="71"/>
  <c r="C5" i="71"/>
  <c r="D5" i="71" s="1"/>
  <c r="M24" i="43" s="1"/>
  <c r="C42" i="40"/>
  <c r="C43" i="40"/>
  <c r="E47" i="40"/>
  <c r="F47" i="40" s="1"/>
  <c r="E46" i="40"/>
  <c r="F46" i="40" s="1"/>
  <c r="I47" i="40"/>
  <c r="J47" i="40" s="1"/>
  <c r="D19" i="9"/>
  <c r="D22" i="9" l="1"/>
  <c r="G19" i="9"/>
  <c r="D14" i="74" s="1"/>
  <c r="G14" i="74" s="1"/>
  <c r="D21" i="9"/>
  <c r="D10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1" i="9" l="1"/>
  <c r="I20" i="9"/>
  <c r="D103" i="9"/>
  <c r="G20" i="9"/>
  <c r="C32" i="9" s="1"/>
  <c r="C35" i="9" s="1"/>
  <c r="C34" i="9" s="1"/>
  <c r="E14" i="74"/>
  <c r="F14" i="74"/>
  <c r="B5" i="74"/>
  <c r="D5" i="74" s="1"/>
  <c r="B6" i="74" l="1"/>
  <c r="D6" i="74" s="1"/>
  <c r="B31" i="72"/>
  <c r="D15" i="53"/>
  <c r="C73" i="9"/>
  <c r="C78" i="9"/>
  <c r="B49" i="72"/>
  <c r="D5" i="52"/>
  <c r="D119" i="9"/>
  <c r="B21" i="72"/>
  <c r="D7" i="53"/>
  <c r="B53" i="72"/>
  <c r="F5" i="52"/>
  <c r="F119" i="9"/>
  <c r="M68" i="9"/>
  <c r="L68" i="9"/>
  <c r="C86" i="9"/>
  <c r="C93" i="9"/>
  <c r="M55" i="9"/>
  <c r="D59" i="9"/>
  <c r="M67" i="9"/>
  <c r="L67" i="9"/>
  <c r="M54" i="9"/>
  <c r="D56" i="9"/>
  <c r="D58" i="9"/>
  <c r="C97" i="9"/>
  <c r="M66" i="9"/>
  <c r="L66" i="9"/>
  <c r="B32" i="72"/>
  <c r="D14" i="53"/>
  <c r="M65" i="9"/>
  <c r="L65" i="9"/>
  <c r="C81" i="9"/>
  <c r="E97" i="9"/>
  <c r="E96" i="9"/>
  <c r="C85" i="9"/>
  <c r="C95" i="9"/>
  <c r="C96" i="9"/>
  <c r="B48" i="72"/>
  <c r="E4" i="52"/>
  <c r="H5" i="52"/>
  <c r="H119" i="9"/>
  <c r="B51" i="72"/>
  <c r="F4" i="52"/>
  <c r="F118" i="9"/>
  <c r="G118" i="9"/>
  <c r="G4" i="52"/>
  <c r="B52" i="72"/>
  <c r="E81" i="9"/>
  <c r="C72" i="9"/>
  <c r="C79" i="9"/>
  <c r="C80" i="9"/>
  <c r="E80" i="9"/>
  <c r="N60" i="9"/>
  <c r="N59" i="9"/>
  <c r="N61" i="9"/>
  <c r="D9" i="52"/>
  <c r="D123" i="9"/>
  <c r="H102" i="9"/>
  <c r="C5" i="74"/>
  <c r="L63" i="9"/>
  <c r="M63" i="9"/>
  <c r="M69" i="9"/>
  <c r="N69" i="9"/>
  <c r="B20" i="72"/>
  <c r="C64" i="9"/>
  <c r="C63" i="9"/>
  <c r="C67" i="9"/>
  <c r="C68" i="9"/>
  <c r="D54" i="9"/>
  <c r="I4" i="52"/>
  <c r="C105" i="9"/>
  <c r="D13" i="53"/>
  <c r="B30" i="72"/>
  <c r="C104" i="9"/>
  <c r="H4" i="52"/>
  <c r="D122" i="9"/>
  <c r="D8" i="52"/>
  <c r="H108" i="9"/>
  <c r="C6" i="74"/>
  <c r="M48" i="9"/>
  <c r="M64" i="9"/>
  <c r="H107" i="9"/>
  <c r="M49" i="9"/>
  <c r="L64" i="9"/>
  <c r="D52" i="9"/>
  <c r="D53" i="9"/>
  <c r="E118" i="9"/>
  <c r="D118" i="9"/>
  <c r="D4" i="52"/>
  <c r="B47" i="72"/>
  <c r="N58" i="9"/>
  <c r="D45" i="9"/>
  <c r="D55" i="9"/>
  <c r="M53" i="9"/>
  <c r="N57" i="9"/>
  <c r="P57" i="9"/>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87F03A77-7DA7-496C-835F-9B77B5D7089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3C426C0-6B71-410E-BD18-9FE19A83147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1E74D57F-0176-4199-BB45-C98229CE0B6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2B04B70-0DDF-4CE6-80C4-E8FC223B9A88}">
      <text>
        <r>
          <rPr>
            <sz val="11"/>
            <color indexed="81"/>
            <rFont val="宋体"/>
            <family val="3"/>
            <charset val="134"/>
          </rPr>
          <t>在建项目均选择“是”</t>
        </r>
      </text>
    </comment>
    <comment ref="F59" authorId="1" shapeId="0" xr:uid="{B0B293DB-D811-45A1-B956-5FCC14AF00F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3B6BB2DD-D5D4-4CAF-ABB6-55F8BEB45B80}">
      <text>
        <r>
          <rPr>
            <sz val="10"/>
            <color indexed="81"/>
            <rFont val="宋体"/>
            <family val="3"/>
            <charset val="134"/>
          </rPr>
          <t xml:space="preserve">在建
</t>
        </r>
      </text>
    </comment>
    <comment ref="N59" authorId="0" shapeId="0" xr:uid="{978A914E-06F6-4BB3-B9A7-4E7FDBB56454}">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195EF14F-5937-4DAC-9F0D-5545969FFBDE}">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2A41FA93-26BF-4F4D-9D7B-705A381F3EF1}">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A8FAB3D0-6B29-4754-9BD4-558D04CB805A}">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54B1E928-6351-46C1-AD88-8F3B543F138D}">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913F143C-3EB4-41D2-8024-31B3E44F5451}">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2D21DEFE-AE8C-47D9-A6AC-C43FF35017E3}">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DDBC1CD8-CA7B-438C-9CDC-2D1E53268991}">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<sst xmlns="http://schemas.openxmlformats.org/spreadsheetml/2006/main" count="9640" uniqueCount="3955">
  <si>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</si>
  <si>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</si>
  <si>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</si>
  <si>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</si>
  <si>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</si>
  <si>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</si>
  <si>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</si>
  <si>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</si>
  <si>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</si>
  <si>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</si>
  <si>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</si>
  <si>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</si>
  <si>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</si>
  <si>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</si>
  <si>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</si>
  <si>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</si>
  <si>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</si>
  <si>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</si>
  <si>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</si>
  <si>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</si>
  <si>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</si>
  <si>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</si>
  <si>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</si>
  <si>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</si>
  <si>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</si>
  <si>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</si>
  <si>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</si>
  <si>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</si>
  <si>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</si>
  <si>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</si>
  <si>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</si>
  <si>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</si>
  <si>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</si>
  <si>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</si>
  <si>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</si>
  <si>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</si>
  <si>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</si>
  <si>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</si>
  <si>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</si>
  <si>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</si>
  <si>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</si>
  <si>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</si>
  <si>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</si>
  <si>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</si>
  <si>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</si>
  <si>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</si>
  <si>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</si>
  <si>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</si>
  <si>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</si>
  <si>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</si>
  <si>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</si>
  <si>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</si>
  <si>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</si>
  <si>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</si>
  <si>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</si>
  <si>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</si>
  <si>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</si>
  <si>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</si>
  <si>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</si>
  <si>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</si>
  <si>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</si>
  <si>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</si>
  <si>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</si>
  <si>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</si>
  <si>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</si>
  <si>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</si>
  <si>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</si>
  <si>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</si>
  <si>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</si>
  <si>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</si>
  <si>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</si>
  <si>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</si>
  <si>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</si>
  <si>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</si>
  <si>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</si>
  <si>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</si>
  <si>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</si>
  <si>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</si>
  <si>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</si>
  <si>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</si>
  <si>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</si>
  <si>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</si>
  <si>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</si>
  <si>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</si>
  <si>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</si>
  <si>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</si>
  <si>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</si>
  <si>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</si>
  <si>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</si>
  <si>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</si>
  <si>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</si>
  <si>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</si>
  <si>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</si>
  <si>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</si>
  <si>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</si>
  <si>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</si>
  <si>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</si>
  <si>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</si>
  <si>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</si>
  <si>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</si>
  <si>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</si>
  <si>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</si>
  <si>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</si>
  <si>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</si>
  <si>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</si>
  <si>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</si>
  <si>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</si>
  <si>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</si>
  <si>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</si>
  <si>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</si>
  <si>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</si>
  <si>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</si>
  <si>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</si>
  <si>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</si>
  <si>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</si>
  <si>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</si>
  <si>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</si>
  <si>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</si>
  <si>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</si>
  <si>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</si>
  <si>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</si>
  <si>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</si>
  <si>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</si>
  <si>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</si>
  <si>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</si>
  <si>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</si>
  <si>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</si>
  <si>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</si>
  <si>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</si>
  <si>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</si>
  <si>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</si>
  <si>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</si>
  <si>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</si>
  <si>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</si>
  <si>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</si>
  <si>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</si>
  <si>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</si>
  <si>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</si>
  <si>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</si>
  <si>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</si>
  <si>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</si>
  <si>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</si>
  <si>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</si>
  <si>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</si>
  <si>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</si>
  <si>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</si>
  <si>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</si>
  <si>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</si>
  <si>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</si>
  <si>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</si>
  <si>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</si>
  <si>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</si>
  <si>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</si>
  <si>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</si>
  <si>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</si>
  <si>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</si>
  <si>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</si>
  <si>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</si>
  <si>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</si>
  <si>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</si>
  <si>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</si>
  <si>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</si>
  <si>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</si>
  <si>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</si>
  <si>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</si>
  <si>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</si>
  <si>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</si>
  <si>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</si>
  <si>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</si>
  <si>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</si>
  <si>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</si>
  <si>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</si>
  <si>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</si>
  <si>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</si>
  <si>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</si>
  <si>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</si>
  <si>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</si>
  <si>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</si>
  <si>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</si>
  <si>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</si>
  <si>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</si>
  <si>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</si>
  <si>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</si>
  <si>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</si>
  <si>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</si>
  <si>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</si>
  <si>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</si>
  <si>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</si>
  <si>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</si>
  <si>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</si>
  <si>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</si>
  <si>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</si>
  <si>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</si>
  <si>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</si>
  <si>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</si>
  <si>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</si>
  <si>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</si>
  <si>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</si>
  <si>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</si>
  <si>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</si>
  <si>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</si>
  <si>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</si>
  <si>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</si>
  <si>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</si>
  <si>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</si>
  <si>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</si>
  <si>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</si>
  <si>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</si>
  <si>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</si>
  <si>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</si>
  <si>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</si>
  <si>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</si>
  <si>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</si>
  <si>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</si>
  <si>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</si>
  <si>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</si>
  <si>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</si>
  <si>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</si>
  <si>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</si>
  <si>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</si>
  <si>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</si>
  <si>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</si>
  <si>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</si>
  <si>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</si>
  <si>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</si>
  <si>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</si>
  <si>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</si>
  <si>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</si>
  <si>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</si>
  <si>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</si>
  <si>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</si>
  <si>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</si>
  <si>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</si>
  <si>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</si>
  <si>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</si>
  <si>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</si>
  <si>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</si>
  <si>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</si>
  <si>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</si>
  <si>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</si>
  <si>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</si>
  <si>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</si>
  <si>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</si>
  <si>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</si>
  <si>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</si>
  <si>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</si>
  <si>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</si>
  <si>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</si>
  <si>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</si>
  <si>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</si>
  <si>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</si>
  <si>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</si>
  <si>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</si>
  <si>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</si>
  <si>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</si>
  <si>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</si>
  <si>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</si>
  <si>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</si>
  <si>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</si>
  <si>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</si>
  <si>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</si>
  <si>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</si>
  <si>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</si>
  <si>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</si>
  <si>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</si>
  <si>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</si>
  <si>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</si>
  <si>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</si>
  <si>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</si>
  <si>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</si>
  <si>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</si>
  <si>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</si>
  <si>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</si>
  <si>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</si>
  <si>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</si>
  <si>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</si>
  <si>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</si>
  <si>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</si>
  <si>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</si>
  <si>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</si>
  <si>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</si>
  <si>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</si>
  <si>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</si>
  <si>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</si>
  <si>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</si>
  <si>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</si>
  <si>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</si>
  <si>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</si>
  <si>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</si>
  <si>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</si>
  <si>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</si>
  <si>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</si>
  <si>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</si>
  <si>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</si>
  <si>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</si>
  <si>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</si>
  <si>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</si>
  <si>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</si>
  <si>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</si>
  <si>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</si>
  <si>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</si>
  <si>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</si>
  <si>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</si>
  <si>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</si>
  <si>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</si>
  <si>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</si>
  <si>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</si>
  <si>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</si>
  <si>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</si>
  <si>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</si>
  <si>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</si>
  <si>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</si>
  <si>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</si>
  <si>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</si>
  <si>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</si>
  <si>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</si>
  <si>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</si>
  <si>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</si>
  <si>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</si>
  <si>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</si>
  <si>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</si>
  <si>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</si>
  <si>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</si>
  <si>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</si>
  <si>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</si>
  <si>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</si>
  <si>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</si>
  <si>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</si>
  <si>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</si>
  <si>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</si>
  <si>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</si>
  <si>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</si>
  <si>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</si>
  <si>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</si>
  <si>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</si>
  <si>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</si>
  <si>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</si>
  <si>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</si>
  <si>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</si>
  <si>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</si>
  <si>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</si>
  <si>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</si>
  <si>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</si>
  <si>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</si>
  <si>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</si>
  <si>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</si>
  <si>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</si>
  <si>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</si>
  <si>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</si>
  <si>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</si>
  <si>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</si>
  <si>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</si>
  <si>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</si>
  <si>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</si>
  <si>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</si>
  <si>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</si>
  <si>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</si>
  <si>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</si>
  <si>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</si>
  <si>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</si>
  <si>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</si>
  <si>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</si>
  <si>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</si>
  <si>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</si>
  <si>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</si>
  <si>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</si>
  <si>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</si>
  <si>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</si>
  <si>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</si>
  <si>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</si>
  <si>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</si>
  <si>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</si>
  <si>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</si>
  <si>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</si>
  <si>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</si>
  <si>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</si>
  <si>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</si>
  <si>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</si>
  <si>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</si>
  <si>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</si>
  <si>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</si>
  <si>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</si>
  <si>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</si>
  <si>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</si>
  <si>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</si>
  <si>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</si>
  <si>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</si>
  <si>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</si>
  <si>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</si>
  <si>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</si>
  <si>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</si>
  <si>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</si>
  <si>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</si>
  <si>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</si>
  <si>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</si>
  <si>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</si>
  <si>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</si>
  <si>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</si>
  <si>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</si>
  <si>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</si>
  <si>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</si>
  <si>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</si>
  <si>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</si>
  <si>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</si>
  <si>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</si>
  <si>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</si>
  <si>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</si>
  <si>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</si>
  <si>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</si>
  <si>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</si>
  <si>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</si>
  <si>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</si>
  <si>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</si>
  <si>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</si>
  <si>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</si>
  <si>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</si>
  <si>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</si>
  <si>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</si>
  <si>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</si>
  <si>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</si>
  <si>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</si>
  <si>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</si>
  <si>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</si>
  <si>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</si>
  <si>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</si>
  <si>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</si>
  <si>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</si>
  <si>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</si>
  <si>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</si>
  <si>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</si>
  <si>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</si>
  <si>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</si>
  <si>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</si>
  <si>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</si>
  <si>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</si>
  <si>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</si>
  <si>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</si>
  <si>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</si>
  <si>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</si>
  <si>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</si>
  <si>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</si>
  <si>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</si>
  <si>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</si>
  <si>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</si>
  <si>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</si>
  <si>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</si>
  <si>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</si>
  <si>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</si>
  <si>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</si>
  <si>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</si>
  <si>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</si>
  <si>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</si>
  <si>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</si>
  <si>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</si>
  <si>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</si>
  <si>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</si>
  <si>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</si>
  <si>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</si>
  <si>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</si>
  <si>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</si>
  <si>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</si>
  <si>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</si>
  <si>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</si>
  <si>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</si>
  <si>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</si>
  <si>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</si>
  <si>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</si>
  <si>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</si>
  <si>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</si>
  <si>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</si>
  <si>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</si>
  <si>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</si>
  <si>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</si>
  <si>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</si>
  <si>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</si>
  <si>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</si>
  <si>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</si>
  <si>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</si>
  <si>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</si>
  <si>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</si>
  <si>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</si>
  <si>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</si>
  <si>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</si>
  <si>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</si>
  <si>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</si>
  <si>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</si>
  <si>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</si>
  <si>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</si>
  <si>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</si>
  <si>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</si>
  <si>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</si>
  <si>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</si>
  <si>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</si>
  <si>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</si>
  <si>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</si>
  <si>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</si>
  <si>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</si>
  <si>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</si>
  <si>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</si>
  <si>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</si>
  <si>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</si>
  <si>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</si>
  <si>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</si>
  <si>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</si>
  <si>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</si>
  <si>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</si>
  <si>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</si>
  <si>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</si>
  <si>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</si>
  <si>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</si>
  <si>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</si>
  <si>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</si>
  <si>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</si>
  <si>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</si>
  <si>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</si>
  <si>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</si>
  <si>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</si>
  <si>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</si>
  <si>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</si>
  <si>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</si>
  <si>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</si>
  <si>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</si>
  <si>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</si>
  <si>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</si>
  <si>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</si>
  <si>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</si>
  <si>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</si>
  <si>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</si>
  <si>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</si>
  <si>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</si>
  <si>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</si>
  <si>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</si>
  <si>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</si>
  <si>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</si>
  <si>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</si>
  <si>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</si>
  <si>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</si>
  <si>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</si>
  <si>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</si>
  <si>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</si>
  <si>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</si>
  <si>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</si>
  <si>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</si>
  <si>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</si>
  <si>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</si>
  <si>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</si>
  <si>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</si>
  <si>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</si>
  <si>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</si>
  <si>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</si>
  <si>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</si>
  <si>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</si>
  <si>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</si>
  <si>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</si>
  <si>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</si>
  <si>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</si>
  <si>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</si>
  <si>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</si>
  <si>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</si>
  <si>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</si>
  <si>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</si>
  <si>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</si>
  <si>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</si>
  <si>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</si>
  <si>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</si>
  <si>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</si>
  <si>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</si>
  <si>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</si>
  <si>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</si>
  <si>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</si>
  <si>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</si>
  <si>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</si>
  <si>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</si>
  <si>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</si>
  <si>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</si>
  <si>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</si>
  <si>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</si>
  <si>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</si>
  <si>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</si>
  <si>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</si>
  <si>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</si>
  <si>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</si>
  <si>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</si>
  <si>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</si>
  <si>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</si>
  <si>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</si>
  <si>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</si>
  <si>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</si>
  <si>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</si>
  <si>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</si>
  <si>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</si>
  <si>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</si>
  <si>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</si>
  <si>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</si>
  <si>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</si>
  <si>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</si>
  <si>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</si>
  <si>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</si>
  <si>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</si>
  <si>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</si>
  <si>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</si>
  <si>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</si>
  <si>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</si>
  <si>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</si>
  <si>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</si>
  <si>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</si>
  <si>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</si>
  <si>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</si>
  <si>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</si>
  <si>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</si>
  <si>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</si>
  <si>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</si>
  <si>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</si>
  <si>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</si>
  <si>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</si>
  <si>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</si>
  <si>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</si>
  <si>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</si>
  <si>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</si>
  <si>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</si>
  <si>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</si>
  <si>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</si>
  <si>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</si>
  <si>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</si>
  <si>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</si>
  <si>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</si>
  <si>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</si>
  <si>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</si>
  <si>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</si>
  <si>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</si>
  <si>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</si>
  <si>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</si>
  <si>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</si>
  <si>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</si>
  <si>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</si>
  <si>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</si>
  <si>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</si>
  <si>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</si>
  <si>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</si>
  <si>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</si>
  <si>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</si>
  <si>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</si>
  <si>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</si>
  <si>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</si>
  <si>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</si>
  <si>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</si>
  <si>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</si>
  <si>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</si>
  <si>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</si>
  <si>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</si>
  <si>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</si>
  <si>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</si>
  <si>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</si>
  <si>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</si>
  <si>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</si>
  <si>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</si>
  <si>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</si>
  <si>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</si>
  <si>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</si>
  <si>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</si>
  <si>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</si>
  <si>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</si>
  <si>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</si>
  <si>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</si>
  <si>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</si>
  <si>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</si>
  <si>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</si>
  <si>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</si>
  <si>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</si>
  <si>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</si>
  <si>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</si>
  <si>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</si>
  <si>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</si>
  <si>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</si>
  <si>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</si>
  <si>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</si>
  <si>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</si>
  <si>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</si>
  <si>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</si>
  <si>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</si>
  <si>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</si>
  <si>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</si>
  <si>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</si>
  <si>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</si>
  <si>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</si>
  <si>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</si>
  <si>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</si>
  <si>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</si>
  <si>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</si>
  <si>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</si>
  <si>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</si>
  <si>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</si>
  <si>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</si>
  <si>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</si>
  <si>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</si>
  <si>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</si>
  <si>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</si>
  <si>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</si>
  <si>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</si>
  <si>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</si>
  <si>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</si>
  <si>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</si>
  <si>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</si>
  <si>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</si>
  <si>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</si>
  <si>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</si>
  <si>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</si>
  <si>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</si>
  <si>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</si>
  <si>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</si>
  <si>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</si>
  <si>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</si>
  <si>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</si>
  <si>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</si>
  <si>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</si>
  <si>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</si>
  <si>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</si>
  <si>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</si>
  <si>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</si>
  <si>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</si>
  <si>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</si>
  <si>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</si>
  <si>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</si>
  <si>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</si>
  <si>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</si>
  <si>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</si>
  <si>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</si>
  <si>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</si>
  <si>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</si>
  <si>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</si>
  <si>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</si>
  <si>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</si>
  <si>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</si>
  <si>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</si>
  <si>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</si>
  <si>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</si>
  <si>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</si>
  <si>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</si>
  <si>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</si>
  <si>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</si>
  <si>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</si>
  <si>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</si>
  <si>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</si>
  <si>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</si>
  <si>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</si>
  <si>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</si>
  <si>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</si>
  <si>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</si>
  <si>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</si>
  <si>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</si>
  <si>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</si>
  <si>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</si>
  <si>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</si>
  <si>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</si>
  <si>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</si>
  <si>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</si>
  <si>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</si>
  <si>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</si>
  <si>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</si>
  <si>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</si>
  <si>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</si>
  <si>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</si>
  <si>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</si>
  <si>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</si>
  <si>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</si>
  <si>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</si>
  <si>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</si>
  <si>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</si>
  <si>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</si>
  <si>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</si>
  <si>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</si>
  <si>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</si>
  <si>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</si>
  <si>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</si>
  <si>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</si>
  <si>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</si>
  <si>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</si>
  <si>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</si>
  <si>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</si>
  <si>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</si>
  <si>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</si>
  <si>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</si>
  <si>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</si>
  <si>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</si>
  <si>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</si>
  <si>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</si>
  <si>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</si>
  <si>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</si>
  <si>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</si>
  <si>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</si>
  <si>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</si>
  <si>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</si>
  <si>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</si>
  <si>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</si>
  <si>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</si>
  <si>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</si>
  <si>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</si>
  <si>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</si>
  <si>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</si>
  <si>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</si>
  <si>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</si>
  <si>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</si>
  <si>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</si>
  <si>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</si>
  <si>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</si>
  <si>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</si>
  <si>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</si>
  <si>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</si>
  <si>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</si>
  <si>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</si>
  <si>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</si>
  <si>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</si>
  <si>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</si>
  <si>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</si>
  <si>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</si>
  <si>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</si>
  <si>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</si>
  <si>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</si>
  <si>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</si>
  <si>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</si>
  <si>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</si>
  <si>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</si>
  <si>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</si>
  <si>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</si>
  <si>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</si>
  <si>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</si>
  <si>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</si>
  <si>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</si>
  <si>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</si>
  <si>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</si>
  <si>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</si>
  <si>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</si>
  <si>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</si>
  <si>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</si>
  <si>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</si>
  <si>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</si>
  <si>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</si>
  <si>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</si>
  <si>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</si>
  <si>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</si>
  <si>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</si>
  <si>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</si>
  <si>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</si>
  <si>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</si>
  <si>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</si>
  <si>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</si>
  <si>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</si>
  <si>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</si>
  <si>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</si>
  <si>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</si>
  <si>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</si>
  <si>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</si>
  <si>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</si>
  <si>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</si>
  <si>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</si>
  <si>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</si>
  <si>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</si>
  <si>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</si>
  <si>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</si>
  <si>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</si>
  <si>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</si>
  <si>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</si>
  <si>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</si>
  <si>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</si>
  <si>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</si>
  <si>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</si>
  <si>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</si>
  <si>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</si>
  <si>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</si>
  <si>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</si>
  <si>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</si>
  <si>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</si>
  <si>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</si>
  <si>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</si>
  <si>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</si>
  <si>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</si>
  <si>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</si>
  <si>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</si>
  <si>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</si>
  <si>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</si>
  <si>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</si>
  <si>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</si>
  <si>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</si>
  <si>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</si>
  <si>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</si>
  <si>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</si>
  <si>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</si>
  <si>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</si>
  <si>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</si>
  <si>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</si>
  <si>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</si>
  <si>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</si>
  <si>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</si>
  <si>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</si>
  <si>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</si>
  <si>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</si>
  <si>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</si>
  <si>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</si>
  <si>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</si>
  <si>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</si>
  <si>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</si>
  <si>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</si>
  <si>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</si>
  <si>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</si>
  <si>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</si>
  <si>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</si>
  <si>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</si>
  <si>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</si>
  <si>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</si>
  <si>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</si>
  <si>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</si>
  <si>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</si>
  <si>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</si>
  <si>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</si>
  <si>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</si>
  <si>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</si>
  <si>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</si>
  <si>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</si>
  <si>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</si>
  <si>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</si>
  <si>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</si>
  <si>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</si>
  <si>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</si>
  <si>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</si>
  <si>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</si>
  <si>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</si>
  <si>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</si>
  <si>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</si>
  <si>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</si>
  <si>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</si>
  <si>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</si>
  <si>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</si>
  <si>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</si>
  <si>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</si>
  <si>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</si>
  <si>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</si>
  <si>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</si>
  <si>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</si>
  <si>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</si>
  <si>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</si>
  <si>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</si>
  <si>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</si>
  <si>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</si>
  <si>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</si>
  <si>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</si>
  <si>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</si>
  <si>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</si>
  <si>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</si>
  <si>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</si>
  <si>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</si>
  <si>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</si>
  <si>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</si>
  <si>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</si>
  <si>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</si>
  <si>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</si>
  <si>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</si>
  <si>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</si>
  <si>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</si>
  <si>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</si>
  <si>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</si>
  <si>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</si>
  <si>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</si>
  <si>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</si>
  <si>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</si>
  <si>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</si>
  <si>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</si>
  <si>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</si>
  <si>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</si>
  <si>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</si>
  <si>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</si>
  <si>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</si>
  <si>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</si>
  <si>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</si>
  <si>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</si>
  <si>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</si>
  <si>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</si>
  <si>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</si>
  <si>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</si>
  <si>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</si>
  <si>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</si>
  <si>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</si>
  <si>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</si>
  <si>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</si>
  <si>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</si>
  <si>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</si>
  <si>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</si>
  <si>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</si>
  <si>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</si>
  <si>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</si>
  <si>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</si>
  <si>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</si>
  <si>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</si>
  <si>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</si>
  <si>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</si>
  <si>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</si>
  <si>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</si>
  <si>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</si>
  <si>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</si>
  <si>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</si>
  <si>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</si>
  <si>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</si>
  <si>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</si>
  <si>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</si>
  <si>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</si>
  <si>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</si>
  <si>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</si>
  <si>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</si>
  <si>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</si>
  <si>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</si>
  <si>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</si>
  <si>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</si>
  <si>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</si>
  <si>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</si>
  <si>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</si>
  <si>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</si>
  <si>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</si>
  <si>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</si>
  <si>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</si>
  <si>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</si>
  <si>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</si>
  <si>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</si>
  <si>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</si>
  <si>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</si>
  <si>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</si>
  <si>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</si>
  <si>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</si>
  <si>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</si>
  <si>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</si>
  <si>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</si>
  <si>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</si>
  <si>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</si>
  <si>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</si>
  <si>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</si>
  <si>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</si>
  <si>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</si>
  <si>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</si>
  <si>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</si>
  <si>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</si>
  <si>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</si>
  <si>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</si>
  <si>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</si>
  <si>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</si>
  <si>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</si>
  <si>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</si>
  <si>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</si>
  <si>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</si>
  <si>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</si>
  <si>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</si>
  <si>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</si>
  <si>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</si>
  <si>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</si>
  <si>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</si>
  <si>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</si>
  <si>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</si>
  <si>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</si>
  <si>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</si>
  <si>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</si>
  <si>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</si>
  <si>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</si>
  <si>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</si>
  <si>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</si>
  <si>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</si>
  <si>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</si>
  <si>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</si>
  <si>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</si>
  <si>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</si>
  <si>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</si>
  <si>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</si>
  <si>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</si>
  <si>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</si>
  <si>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</si>
  <si>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</si>
  <si>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</si>
  <si>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</si>
  <si>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</si>
  <si>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</si>
  <si>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</si>
  <si>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</si>
  <si>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</si>
  <si>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</si>
  <si>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</si>
  <si>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</si>
  <si>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</si>
  <si>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</si>
  <si>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</si>
  <si>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</si>
  <si>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</si>
  <si>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</si>
  <si>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</si>
  <si>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</si>
  <si>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</si>
  <si>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</si>
  <si>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</si>
  <si>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</si>
  <si>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</si>
  <si>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</si>
  <si>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</si>
  <si>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</si>
  <si>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</si>
  <si>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</si>
  <si>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</si>
  <si>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</si>
  <si>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</si>
  <si>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</si>
  <si>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</si>
  <si>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</si>
  <si>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</si>
  <si>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</si>
  <si>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</si>
  <si>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</si>
  <si>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</si>
  <si>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</si>
  <si>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</si>
  <si>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</si>
  <si>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</si>
  <si>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</si>
  <si>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</si>
  <si>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</si>
  <si>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</si>
  <si>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</si>
  <si>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</si>
  <si>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</si>
  <si>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</si>
  <si>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</si>
  <si>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</si>
  <si>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</si>
  <si>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</si>
  <si>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</si>
  <si>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</si>
  <si>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</si>
  <si>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</si>
  <si>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</si>
  <si>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</si>
  <si>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</si>
  <si>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</si>
  <si>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</si>
  <si>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</si>
  <si>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</si>
  <si>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</si>
  <si>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</si>
  <si>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</si>
  <si>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</si>
  <si>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</si>
  <si>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</si>
  <si>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</si>
  <si>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</si>
  <si>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</si>
  <si>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</si>
  <si>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</si>
  <si>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</si>
  <si>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</si>
  <si>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</si>
  <si>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</si>
  <si>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</si>
  <si>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</si>
  <si>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</si>
  <si>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</si>
  <si>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</si>
  <si>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</si>
  <si>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</si>
  <si>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</si>
  <si>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</si>
  <si>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</si>
  <si>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</si>
  <si>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</si>
  <si>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</si>
  <si>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</si>
  <si>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</si>
  <si>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</si>
  <si>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</si>
  <si>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</si>
  <si>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</si>
  <si>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</si>
  <si>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</si>
  <si>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</si>
  <si>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</si>
  <si>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</si>
  <si>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</si>
  <si>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</si>
  <si>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</si>
  <si>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</si>
  <si>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</si>
  <si>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</si>
  <si>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</si>
  <si>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</si>
  <si>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</si>
  <si>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</si>
  <si>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</si>
  <si>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</si>
  <si>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</si>
  <si>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</si>
  <si>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</si>
  <si>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</si>
  <si>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</si>
  <si>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</si>
  <si>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</si>
  <si>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</si>
  <si>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</si>
  <si>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</si>
  <si>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</si>
  <si>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</si>
  <si>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</si>
  <si>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</si>
  <si>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</si>
  <si>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</si>
  <si>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</si>
  <si>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</si>
  <si>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</si>
  <si>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</si>
  <si>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</si>
  <si>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</si>
  <si>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</si>
  <si>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</si>
  <si>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</si>
  <si>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</si>
  <si>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</si>
  <si>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</si>
  <si>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</si>
  <si>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</si>
  <si>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</si>
  <si>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</si>
  <si>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</si>
  <si>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</si>
  <si>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</si>
  <si>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</si>
  <si>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</si>
  <si>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</si>
  <si>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</si>
  <si>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</si>
  <si>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</si>
  <si>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</si>
  <si>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</si>
  <si>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</si>
  <si>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</si>
  <si>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</si>
  <si>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</si>
  <si>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</si>
  <si>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</si>
  <si>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</si>
  <si>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</si>
  <si>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</si>
  <si>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</si>
  <si>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</si>
  <si>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</si>
  <si>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</si>
  <si>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</si>
  <si>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</si>
  <si>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</si>
  <si>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</si>
  <si>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</si>
  <si>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</si>
  <si>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</si>
  <si>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</si>
  <si>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</si>
  <si>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</si>
  <si>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</si>
  <si>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</si>
  <si>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</si>
  <si>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</si>
  <si>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</si>
  <si>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</si>
  <si>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</si>
  <si>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</si>
  <si>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</si>
  <si>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</si>
  <si>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</si>
  <si>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</si>
  <si>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</si>
  <si>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</si>
  <si>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</si>
  <si>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</si>
  <si>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</si>
  <si>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</si>
  <si>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</si>
  <si>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</si>
  <si>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</si>
  <si>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</si>
  <si>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</si>
  <si>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</si>
  <si>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</si>
  <si>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</si>
  <si>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</si>
  <si>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</si>
  <si>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</si>
  <si>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</si>
  <si>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</si>
  <si>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</si>
  <si>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</si>
  <si>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</si>
  <si>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</si>
  <si>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</si>
  <si>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</si>
  <si>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</si>
  <si>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</si>
  <si>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</si>
  <si>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</si>
  <si>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</si>
  <si>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</si>
  <si>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</si>
  <si>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</si>
  <si>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</si>
  <si>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</si>
  <si>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</si>
  <si>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</si>
  <si>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</si>
  <si>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</si>
  <si>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</si>
  <si>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</si>
  <si>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</si>
  <si>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</si>
  <si>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</si>
  <si>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</si>
  <si>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</si>
  <si>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</si>
  <si>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</si>
  <si>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</si>
  <si>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</si>
  <si>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</si>
  <si>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</si>
  <si>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</si>
  <si>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</si>
  <si>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</si>
  <si>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</si>
  <si>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</si>
  <si>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</si>
  <si>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</si>
  <si>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</si>
  <si>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</si>
  <si>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</si>
  <si>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</si>
  <si>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</si>
  <si>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</si>
  <si>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</si>
  <si>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</si>
  <si>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</si>
  <si>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</si>
  <si>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</si>
  <si>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</si>
  <si>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</si>
  <si>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</si>
  <si>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</si>
  <si>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</si>
  <si>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</si>
  <si>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</si>
  <si>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</si>
  <si>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</si>
  <si>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</si>
  <si>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</si>
  <si>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</si>
  <si>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</si>
  <si>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</si>
  <si>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</si>
  <si>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</si>
  <si>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</si>
  <si>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</si>
  <si>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</si>
  <si>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</si>
  <si>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</si>
  <si>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</si>
  <si>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</si>
  <si>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</si>
  <si>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</si>
  <si>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</si>
  <si>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</si>
  <si>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</si>
  <si>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</si>
  <si>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</si>
  <si>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</si>
  <si>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</si>
  <si>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</si>
  <si>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</si>
  <si>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</si>
  <si>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</si>
  <si>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</si>
  <si>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</si>
  <si>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</si>
  <si>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</si>
  <si>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</si>
  <si>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</si>
  <si>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</si>
  <si>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</si>
  <si>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</si>
  <si>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</si>
  <si>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</si>
  <si>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</si>
  <si>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</si>
  <si>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</si>
  <si>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</si>
  <si>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</si>
  <si>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</si>
  <si>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</si>
  <si>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</si>
  <si>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</si>
  <si>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</si>
  <si>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</si>
  <si>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</si>
  <si>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</si>
  <si>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</si>
  <si>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</si>
  <si>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</si>
  <si>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</si>
  <si>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</si>
  <si>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</si>
  <si>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</si>
  <si>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</si>
  <si>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</si>
  <si>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</si>
  <si>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</si>
  <si>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</si>
  <si>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</si>
  <si>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</si>
  <si>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</si>
  <si>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</si>
  <si>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</si>
  <si>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</si>
  <si>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</si>
  <si>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</si>
  <si>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</si>
  <si>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</si>
  <si>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</si>
  <si>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</si>
  <si>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</si>
  <si>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</si>
  <si>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</si>
  <si>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</si>
  <si>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</si>
  <si>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</si>
  <si>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</si>
  <si>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</si>
  <si>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</si>
  <si>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</si>
  <si>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</si>
  <si>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</si>
  <si>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</si>
  <si>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</si>
  <si>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</si>
  <si>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</si>
  <si>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</si>
  <si>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</si>
  <si>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</si>
  <si>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</si>
  <si>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</si>
  <si>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</si>
  <si>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</si>
  <si>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</si>
  <si>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</si>
  <si>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</si>
  <si>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</si>
  <si>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</si>
  <si>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</si>
  <si>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</si>
  <si>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</si>
  <si>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</si>
  <si>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</si>
  <si>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</si>
  <si>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</si>
  <si>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</si>
  <si>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</si>
  <si>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</si>
  <si>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</si>
  <si>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</si>
  <si>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</si>
  <si>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</si>
  <si>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</si>
  <si>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</si>
  <si>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</si>
  <si>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</si>
  <si>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</si>
  <si>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</si>
  <si>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</si>
  <si>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</si>
  <si>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</si>
  <si>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</si>
  <si>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</si>
  <si>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</si>
  <si>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</si>
  <si>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</si>
  <si>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</si>
  <si>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</si>
  <si>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</si>
  <si>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</si>
  <si>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</si>
  <si>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</si>
  <si>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</si>
  <si>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</si>
  <si>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</si>
  <si>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</si>
  <si>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</si>
  <si>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</si>
  <si>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</si>
  <si>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</si>
  <si>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</si>
  <si>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</si>
  <si>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</si>
  <si>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</si>
  <si>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</si>
  <si>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</si>
  <si>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</si>
  <si>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</si>
  <si>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</si>
  <si>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</si>
  <si>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</si>
  <si>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</si>
  <si>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</si>
  <si>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</si>
  <si>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</si>
  <si>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</si>
  <si>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</si>
  <si>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</si>
  <si>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</si>
  <si>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</si>
  <si>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</si>
  <si>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</si>
  <si>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</si>
  <si>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</si>
  <si>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</si>
  <si>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</si>
  <si>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</si>
  <si>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</si>
  <si>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</si>
  <si>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</si>
  <si>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</si>
  <si>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</si>
  <si>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</si>
  <si>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</si>
  <si>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</si>
  <si>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</si>
  <si>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</si>
  <si>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</si>
  <si>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</si>
  <si>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</si>
  <si>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</si>
  <si>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</si>
  <si>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</si>
  <si>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</si>
  <si>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</si>
  <si>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</si>
  <si>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</si>
  <si>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</si>
  <si>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</si>
  <si>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</si>
  <si>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</si>
  <si>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</si>
  <si>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</si>
  <si>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</si>
  <si>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</si>
  <si>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</si>
  <si>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</si>
  <si>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</si>
  <si>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</si>
  <si>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</si>
  <si>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</si>
  <si>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</si>
  <si>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</si>
  <si>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</si>
  <si>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</si>
  <si>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</si>
  <si>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</si>
  <si>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</si>
  <si>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</si>
  <si>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</si>
  <si>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</si>
  <si>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</si>
  <si>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</si>
  <si>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</si>
  <si>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</si>
  <si>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</si>
  <si>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</si>
  <si>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</si>
  <si>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</si>
  <si>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</si>
  <si>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</si>
  <si>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</si>
  <si>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</si>
  <si>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</si>
  <si>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</si>
  <si>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</si>
  <si>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</si>
  <si>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</si>
  <si>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</si>
  <si>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</si>
  <si>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</si>
  <si>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</si>
  <si>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</si>
  <si>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</si>
  <si>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</si>
  <si>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</si>
  <si>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</si>
  <si>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</si>
  <si>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</si>
  <si>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</si>
  <si>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</si>
  <si>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</si>
  <si>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</si>
  <si>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</si>
  <si>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</si>
  <si>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</si>
  <si>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</si>
  <si>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</si>
  <si>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</si>
  <si>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</si>
  <si>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</si>
  <si>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</si>
  <si>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</si>
  <si>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</si>
  <si>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</si>
  <si>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</si>
  <si>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</si>
  <si>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</si>
  <si>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</si>
  <si>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</si>
  <si>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</si>
  <si>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</si>
  <si>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</si>
  <si>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</si>
  <si>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</si>
  <si>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</si>
  <si>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</si>
  <si>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</si>
  <si>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</si>
  <si>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</si>
  <si>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</si>
  <si>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</si>
  <si>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</si>
  <si>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</si>
  <si>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</si>
  <si>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</si>
  <si>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</si>
  <si>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</si>
  <si>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</si>
  <si>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</si>
  <si>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</si>
  <si>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</si>
  <si>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</si>
  <si>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</si>
  <si>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</si>
  <si>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</si>
  <si>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</si>
  <si>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</si>
  <si>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</si>
  <si>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</si>
  <si>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</si>
  <si>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</si>
  <si>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</si>
  <si>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</si>
  <si>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</si>
  <si>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</si>
  <si>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</si>
  <si>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</si>
  <si>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</si>
  <si>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</si>
  <si>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</si>
  <si>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</si>
  <si>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</si>
  <si>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</si>
  <si>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</si>
  <si>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</si>
  <si>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</si>
  <si>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</si>
  <si>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</si>
  <si>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</si>
  <si>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</si>
  <si>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</si>
  <si>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</si>
  <si>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</si>
  <si>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</si>
  <si>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</si>
  <si>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</si>
  <si>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</si>
  <si>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</si>
  <si>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</si>
  <si>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</si>
  <si>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</si>
  <si>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</si>
  <si>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</si>
  <si>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</si>
  <si>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</si>
  <si>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</si>
  <si>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</si>
  <si>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</si>
  <si>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</si>
  <si>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</si>
  <si>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</si>
  <si>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</si>
  <si>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</si>
  <si>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</si>
  <si>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</si>
  <si>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</si>
  <si>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</si>
  <si>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</si>
  <si>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</si>
  <si>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</si>
  <si>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</si>
  <si>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</si>
  <si>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</si>
  <si>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</si>
  <si>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</si>
  <si>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</si>
  <si>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</si>
  <si>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</si>
  <si>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</si>
  <si>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</si>
  <si>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</si>
  <si>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</si>
  <si>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</si>
  <si>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</si>
  <si>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</si>
  <si>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</si>
  <si>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</si>
  <si>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</si>
  <si>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</si>
  <si>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</si>
  <si>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</si>
  <si>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</si>
  <si>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</si>
  <si>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</si>
  <si>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</si>
  <si>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</si>
  <si>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</si>
  <si>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</si>
  <si>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</si>
  <si>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</si>
  <si>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</si>
  <si>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</si>
  <si>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</si>
  <si>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</si>
  <si>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</si>
  <si>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</si>
  <si>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</si>
  <si>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</si>
  <si>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</si>
  <si>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</si>
  <si>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</si>
  <si>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</si>
  <si>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</si>
  <si>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</si>
  <si>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</si>
  <si>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</si>
  <si>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</si>
  <si>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</si>
  <si>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</si>
  <si>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</si>
  <si>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</si>
  <si>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</si>
  <si>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</si>
  <si>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</si>
  <si>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</si>
  <si>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</si>
  <si>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</si>
  <si>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</si>
  <si>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</si>
  <si>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</si>
  <si>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</si>
  <si>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</si>
  <si>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</si>
  <si>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</si>
  <si>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</si>
  <si>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</si>
  <si>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</si>
  <si>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</si>
  <si>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</si>
  <si>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</si>
  <si>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</si>
  <si>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</si>
  <si>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</si>
  <si>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</si>
  <si>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</si>
  <si>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</si>
  <si>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</si>
  <si>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</si>
  <si>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</si>
  <si>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</si>
  <si>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</si>
  <si>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</si>
  <si>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</si>
  <si>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</si>
  <si>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</si>
  <si>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</si>
  <si>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</si>
  <si>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</si>
  <si>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</si>
  <si>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</si>
  <si>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</si>
  <si>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</si>
  <si>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</si>
  <si>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</si>
  <si>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</si>
  <si>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</si>
  <si>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</si>
  <si>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</si>
  <si>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</si>
  <si>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</si>
  <si>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</si>
  <si>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</si>
  <si>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</si>
  <si>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</si>
  <si>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</si>
  <si>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</si>
  <si>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</si>
  <si>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</si>
  <si>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</si>
  <si>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</si>
  <si>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</si>
  <si>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</si>
  <si>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</si>
  <si>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</si>
  <si>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</si>
  <si>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</si>
  <si>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</si>
  <si>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</si>
  <si>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</si>
  <si>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</si>
  <si>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</si>
  <si>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</si>
  <si>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</si>
  <si>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</si>
  <si>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</si>
  <si>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</si>
  <si>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</si>
  <si>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</si>
  <si>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</si>
  <si>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</si>
  <si>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</si>
  <si>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</si>
  <si>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</si>
  <si>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</si>
  <si>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</si>
  <si>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</si>
  <si>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</si>
  <si>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</si>
  <si>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</si>
  <si>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</si>
  <si>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</si>
  <si>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</si>
  <si>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</si>
  <si>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</si>
  <si>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</si>
  <si>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</si>
  <si>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</si>
  <si>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</si>
  <si>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</si>
  <si>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</si>
  <si>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</si>
  <si>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</si>
  <si>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</si>
  <si>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</si>
  <si>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</si>
  <si>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</si>
  <si>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</si>
  <si>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</si>
  <si>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</si>
  <si>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</si>
  <si>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</si>
  <si>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</si>
  <si>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</si>
  <si>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</si>
  <si>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</si>
  <si>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</si>
  <si>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</si>
  <si>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</si>
  <si>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</si>
  <si>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</si>
  <si>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</si>
  <si>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</si>
  <si>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</si>
  <si>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</si>
  <si>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</si>
  <si>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</si>
  <si>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</si>
  <si>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</si>
  <si>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</si>
  <si>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</si>
  <si>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</si>
  <si>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</si>
  <si>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</si>
  <si>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</si>
  <si>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</si>
  <si>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</si>
  <si>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</si>
  <si>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</si>
  <si>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</si>
  <si>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</si>
  <si>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</si>
  <si>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</si>
  <si>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</si>
  <si>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</si>
  <si>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</si>
  <si>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</si>
  <si>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</si>
  <si>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</si>
  <si>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</si>
  <si>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</si>
  <si>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</si>
  <si>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</si>
  <si>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</si>
  <si>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</si>
  <si>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</si>
  <si>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</si>
  <si>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</si>
  <si>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</si>
  <si>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</si>
  <si>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</si>
  <si>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</si>
  <si>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</si>
  <si>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</si>
  <si>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</si>
  <si>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</si>
  <si>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</si>
  <si>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</si>
  <si>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</si>
  <si>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</si>
  <si>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</si>
  <si>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</si>
  <si>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</si>
  <si>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</si>
  <si>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</si>
  <si>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</si>
  <si>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</si>
  <si>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</si>
  <si>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</si>
  <si>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</si>
  <si>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</si>
  <si>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</si>
  <si>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</si>
  <si>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</si>
  <si>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</si>
  <si>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</si>
  <si>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</si>
  <si>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</si>
  <si>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</si>
  <si>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</si>
  <si>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</si>
  <si>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</si>
  <si>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</si>
  <si>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</si>
  <si>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</si>
  <si>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</si>
  <si>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</si>
  <si>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</si>
  <si>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</si>
  <si>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</si>
  <si>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</si>
  <si>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</si>
  <si>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</si>
  <si>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</si>
  <si>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</si>
  <si>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</si>
  <si>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</si>
  <si>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</si>
  <si>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</si>
  <si>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</si>
  <si>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</si>
  <si>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</si>
  <si>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</si>
  <si>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</si>
  <si>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</si>
  <si>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</si>
  <si>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</si>
  <si>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</si>
  <si>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</si>
  <si>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</si>
  <si>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</si>
  <si>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</si>
  <si>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</si>
  <si>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</si>
  <si>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</si>
  <si>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</si>
  <si>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</si>
  <si>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</si>
  <si>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</si>
  <si>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</si>
  <si>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</si>
  <si>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</si>
  <si>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</si>
  <si>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</si>
  <si>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</si>
  <si>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</si>
  <si>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</si>
  <si>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</si>
  <si>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</si>
  <si>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</si>
  <si>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</si>
  <si>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</si>
  <si>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</si>
  <si>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</si>
  <si>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</si>
  <si>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</si>
  <si>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</si>
  <si>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</si>
  <si>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</si>
  <si>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</si>
  <si>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</si>
  <si>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</si>
  <si>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</si>
  <si>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</si>
  <si>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</si>
  <si>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</si>
  <si>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</si>
  <si>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</si>
  <si>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</si>
  <si>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</si>
  <si>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</si>
  <si>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</si>
  <si>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</si>
  <si>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</si>
  <si>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</si>
  <si>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</si>
  <si>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</si>
  <si>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</si>
  <si>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</si>
  <si>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</si>
  <si>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</si>
  <si>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</si>
  <si>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</si>
  <si>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</si>
  <si>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</si>
  <si>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</si>
  <si>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</si>
  <si>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</si>
  <si>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</si>
  <si>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</si>
  <si>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</si>
  <si>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</si>
  <si>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</si>
  <si>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</si>
  <si>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</si>
  <si>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</si>
  <si>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</si>
  <si>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</si>
  <si>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</si>
  <si>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</si>
  <si>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</si>
  <si>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</si>
  <si>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</si>
  <si>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</si>
  <si>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</si>
  <si>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</si>
  <si>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</si>
  <si>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</si>
  <si>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</si>
  <si>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</si>
  <si>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</si>
  <si>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</si>
  <si>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</si>
  <si>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</si>
  <si>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</si>
  <si>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</si>
  <si>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</si>
  <si>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</si>
  <si>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</si>
  <si>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</si>
  <si>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</si>
  <si>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</si>
  <si>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</si>
  <si>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</si>
  <si>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</si>
  <si>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</si>
  <si>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</si>
  <si>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</si>
  <si>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</si>
  <si>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</si>
  <si>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</si>
  <si>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</si>
  <si>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</si>
  <si>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</si>
  <si>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</si>
  <si>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</si>
  <si>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</si>
  <si>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</si>
  <si>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</si>
  <si>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</si>
  <si>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</si>
  <si>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</si>
  <si>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</si>
  <si>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</si>
  <si>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</si>
  <si>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</si>
  <si>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</si>
  <si>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</si>
  <si>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</si>
  <si>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</si>
  <si>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</si>
  <si>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</si>
  <si>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</si>
  <si>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</si>
  <si>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</si>
  <si>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</si>
  <si>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</si>
  <si>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</si>
  <si>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</si>
  <si>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</si>
  <si>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</si>
  <si>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</si>
  <si>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</si>
  <si>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</si>
  <si>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</si>
  <si>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</si>
  <si>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</si>
  <si>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</si>
  <si>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</si>
  <si>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</si>
  <si>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</si>
  <si>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</si>
  <si>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</si>
  <si>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</si>
  <si>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</si>
  <si>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</si>
  <si>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</si>
  <si>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</si>
  <si>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</si>
  <si>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</si>
  <si>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</si>
  <si>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</si>
  <si>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</si>
  <si>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</si>
  <si>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</si>
  <si>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</si>
  <si>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</si>
  <si>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</si>
  <si>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</si>
  <si>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</si>
  <si>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</si>
  <si>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</si>
  <si>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</si>
  <si>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</si>
  <si>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</si>
  <si>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</si>
  <si>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</si>
  <si>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</si>
  <si>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</si>
  <si>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</si>
  <si>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</si>
  <si>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</si>
  <si>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</si>
  <si>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</si>
  <si>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</si>
  <si>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</si>
  <si>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</si>
  <si>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</si>
  <si>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</si>
  <si>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</si>
  <si>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</si>
  <si>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</si>
  <si>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</si>
  <si>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</si>
  <si>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</si>
  <si>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</si>
  <si>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</si>
  <si>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</si>
  <si>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</si>
  <si>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</si>
  <si>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</si>
  <si>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</si>
  <si>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</si>
  <si>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</si>
  <si>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</si>
  <si>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</si>
  <si>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</si>
  <si>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</si>
  <si>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</si>
  <si>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</si>
  <si>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</si>
  <si>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</si>
  <si>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</si>
  <si>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</si>
  <si>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</si>
  <si>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</si>
  <si>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</si>
  <si>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</si>
  <si>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</si>
  <si>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</si>
  <si>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</si>
  <si>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</si>
  <si>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</si>
  <si>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</si>
  <si>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</si>
  <si>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</si>
  <si>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</si>
  <si>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</si>
  <si>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</si>
  <si>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</si>
  <si>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</si>
  <si>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</si>
  <si>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</si>
  <si>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</si>
  <si>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</si>
  <si>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</si>
  <si>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</si>
  <si>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</si>
  <si>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</si>
  <si>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</si>
  <si>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</si>
  <si>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</si>
  <si>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</si>
  <si>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</si>
  <si>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</si>
  <si>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</si>
  <si>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</si>
  <si>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</si>
  <si>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</si>
  <si>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</si>
  <si>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</si>
  <si>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</si>
  <si>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</si>
  <si>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</si>
  <si>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</si>
  <si>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</si>
  <si>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</si>
  <si>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</si>
  <si>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</si>
  <si>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</si>
  <si>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</si>
  <si>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</si>
  <si>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</si>
  <si>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</si>
  <si>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</si>
  <si>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</si>
  <si>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</si>
  <si>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</si>
  <si>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</si>
  <si>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</si>
  <si>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</si>
  <si>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</si>
  <si>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</si>
  <si>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</si>
  <si>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</si>
  <si>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</si>
  <si>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</si>
  <si>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</si>
  <si>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</si>
  <si>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</si>
  <si>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</si>
  <si>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</si>
  <si>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</si>
  <si>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</si>
  <si>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</si>
  <si>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</si>
  <si>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</si>
  <si>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</si>
  <si>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</si>
  <si>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</si>
  <si>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</si>
  <si>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</si>
  <si>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</si>
  <si>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</si>
  <si>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</si>
  <si>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</si>
  <si>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</si>
  <si>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</si>
  <si>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</si>
  <si>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</si>
  <si>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</si>
  <si>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</si>
  <si>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</si>
  <si>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</si>
  <si>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</si>
  <si>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</si>
  <si>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</si>
  <si>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</si>
  <si>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</si>
  <si>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</si>
  <si>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</si>
  <si>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</si>
  <si>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</si>
  <si>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</si>
  <si>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</si>
  <si>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</si>
  <si>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</si>
  <si>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</si>
  <si>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</si>
  <si>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</si>
  <si>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</si>
  <si>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</si>
  <si>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</si>
  <si>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</si>
  <si>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</si>
  <si>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</si>
  <si>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</si>
  <si>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</si>
  <si>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</si>
  <si>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</si>
  <si>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</si>
  <si>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</si>
  <si>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</si>
  <si>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</si>
  <si>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</si>
  <si>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</si>
  <si>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</si>
  <si>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</si>
  <si>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</si>
  <si>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</si>
  <si>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</si>
  <si>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</si>
  <si>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</si>
  <si>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</si>
  <si>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</si>
  <si>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</si>
  <si>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</si>
  <si>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</si>
  <si>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</si>
  <si>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</si>
  <si>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</si>
  <si>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</si>
  <si>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</si>
  <si>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</si>
  <si>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</si>
  <si>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</si>
  <si>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</si>
  <si>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</si>
  <si>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</si>
  <si>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</si>
  <si>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</si>
  <si>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</si>
  <si>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</si>
  <si>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</si>
  <si>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</si>
  <si>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</si>
  <si>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</si>
  <si>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</si>
  <si>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</si>
  <si>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</si>
  <si>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</si>
  <si>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</si>
  <si>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</si>
  <si>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</si>
  <si>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</si>
  <si>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</si>
  <si>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</si>
  <si>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</si>
  <si>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</si>
  <si>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</si>
  <si>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</si>
  <si>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</si>
  <si>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</si>
  <si>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</si>
  <si>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</si>
  <si>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</si>
  <si>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</si>
  <si>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</si>
  <si>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</si>
  <si>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</si>
  <si>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</si>
  <si>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</si>
  <si>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</si>
  <si>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</si>
  <si>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</si>
  <si>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</si>
  <si>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</si>
  <si>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</si>
  <si>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</si>
  <si>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</si>
  <si>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</si>
  <si>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</si>
  <si>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</si>
  <si>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</si>
  <si>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</si>
  <si>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</si>
  <si>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</si>
  <si>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</si>
  <si>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</si>
  <si>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</si>
  <si>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</si>
  <si>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</si>
  <si>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</si>
  <si>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</si>
  <si>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</si>
  <si>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</si>
  <si>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</si>
  <si>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</si>
  <si>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</si>
  <si>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</si>
  <si>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</si>
  <si>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</si>
  <si>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</si>
  <si>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</si>
  <si>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</si>
  <si>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</si>
  <si>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</si>
  <si>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</si>
  <si>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</si>
  <si>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</si>
  <si>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</si>
  <si>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</si>
  <si>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</si>
  <si>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</si>
  <si>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</si>
  <si>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</si>
  <si>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</si>
  <si>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</si>
  <si>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</si>
  <si>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</si>
  <si>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</si>
  <si>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</si>
  <si>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</si>
  <si>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</si>
  <si>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</si>
  <si>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</si>
  <si>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</si>
  <si>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</si>
  <si>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</si>
  <si>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</si>
  <si>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</si>
  <si>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</si>
  <si>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</si>
  <si>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</si>
  <si>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</si>
  <si>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</si>
  <si>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</si>
  <si>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</si>
  <si>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</si>
  <si>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</si>
  <si>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</si>
  <si>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</si>
  <si>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</si>
  <si>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</si>
  <si>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</si>
  <si>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</si>
  <si>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</si>
  <si>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</si>
  <si>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</si>
  <si>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</si>
  <si>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</si>
  <si>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</si>
  <si>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</si>
  <si>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</si>
  <si>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</si>
  <si>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</si>
  <si>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</si>
  <si>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</si>
  <si>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</si>
  <si>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</si>
  <si>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</si>
  <si>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</si>
  <si>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</si>
  <si>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</si>
  <si>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</si>
  <si>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</si>
  <si>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</si>
  <si>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</si>
  <si>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</si>
  <si>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</si>
  <si>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</si>
  <si>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</si>
  <si>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</si>
  <si>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</si>
  <si>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</si>
  <si>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</si>
  <si>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</si>
  <si>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</si>
  <si>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</si>
  <si>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</si>
  <si>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</si>
  <si>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</si>
  <si>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</si>
  <si>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</si>
  <si>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</si>
  <si>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</si>
  <si>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</si>
  <si>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</si>
  <si>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</si>
  <si>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</si>
  <si>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</si>
  <si>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</si>
  <si>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</si>
  <si>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</si>
  <si>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</si>
  <si>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</si>
  <si>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</si>
  <si>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</si>
  <si>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</si>
  <si>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</si>
  <si>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</si>
  <si>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</si>
  <si>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</si>
  <si>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</si>
  <si>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</si>
  <si>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</si>
  <si>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</si>
  <si>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</si>
  <si>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</si>
  <si>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</si>
  <si>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</si>
  <si>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</si>
  <si>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</si>
  <si>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</si>
  <si>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</si>
  <si>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</si>
  <si>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</si>
  <si>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</si>
  <si>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</si>
  <si>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</si>
  <si>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</si>
  <si>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</si>
  <si>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</si>
  <si>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</si>
  <si>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</si>
  <si>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</si>
  <si>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</si>
  <si>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</si>
  <si>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</si>
  <si>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</si>
  <si>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</si>
  <si>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</si>
  <si>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</si>
  <si>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</si>
  <si>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</si>
  <si>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</si>
  <si>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</si>
  <si>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</si>
  <si>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</si>
  <si>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</si>
  <si>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</si>
  <si>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</si>
  <si>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</si>
  <si>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</si>
  <si>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</si>
  <si>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</si>
  <si>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</si>
  <si>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</si>
  <si>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</si>
  <si>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</si>
  <si>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</si>
  <si>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</si>
  <si>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</si>
  <si>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</si>
  <si>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</si>
  <si>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</si>
  <si>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</si>
  <si>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</si>
  <si>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</si>
  <si>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</si>
  <si>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</si>
  <si>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</si>
  <si>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</si>
  <si>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</si>
  <si>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</si>
  <si>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</si>
  <si>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</si>
  <si>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</si>
  <si>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</si>
  <si>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</si>
  <si>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</si>
  <si>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</si>
  <si>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</si>
  <si>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</si>
  <si>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</si>
  <si>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</si>
  <si>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</si>
  <si>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</si>
  <si>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</si>
  <si>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</si>
  <si>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</si>
  <si>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</si>
  <si>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</si>
  <si>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</si>
  <si>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</si>
  <si>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</si>
  <si>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</si>
  <si>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</si>
  <si>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</si>
  <si>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</si>
  <si>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</si>
  <si>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</si>
  <si>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</si>
  <si>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</si>
  <si>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</si>
  <si>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</si>
  <si>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</si>
  <si>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</si>
  <si>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</si>
  <si>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</si>
  <si>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</si>
  <si>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</si>
  <si>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</si>
  <si>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</si>
  <si>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</si>
  <si>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</si>
  <si>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</si>
  <si>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</si>
  <si>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</si>
  <si>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</si>
  <si>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</si>
  <si>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</si>
  <si>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</si>
  <si>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</si>
  <si>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</si>
  <si>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</si>
  <si>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</si>
  <si>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</si>
  <si>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</si>
  <si>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</si>
  <si>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</si>
  <si>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</si>
  <si>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</si>
  <si>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</si>
  <si>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</si>
  <si>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</si>
  <si>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</si>
  <si>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</si>
  <si>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</si>
  <si>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</si>
  <si>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</si>
  <si>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</si>
  <si>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</si>
  <si>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</si>
  <si>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</si>
  <si>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</si>
  <si>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</si>
  <si>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</si>
  <si>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</si>
  <si>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</si>
  <si>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</si>
  <si>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</si>
  <si>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</si>
  <si>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</si>
  <si>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</si>
  <si>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</si>
  <si>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</si>
  <si>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</si>
  <si>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</si>
  <si>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</si>
  <si>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</si>
  <si>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</si>
  <si>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</si>
  <si>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</si>
  <si>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</si>
  <si>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</si>
  <si>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</si>
  <si>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</si>
  <si>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</si>
  <si>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</si>
  <si>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</si>
  <si>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</si>
  <si>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</si>
  <si>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</si>
  <si>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</si>
  <si>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</si>
  <si>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</si>
  <si>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</si>
  <si>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</si>
  <si>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</si>
  <si>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</si>
  <si>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</si>
  <si>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</si>
  <si>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</si>
  <si>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</si>
  <si>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</si>
  <si>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</si>
  <si>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</si>
  <si>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</si>
  <si>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</si>
  <si>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</si>
  <si>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</si>
  <si>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</si>
  <si>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</si>
  <si>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</si>
  <si>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</si>
  <si>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</si>
  <si>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</si>
  <si>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</si>
  <si>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</si>
  <si>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</si>
  <si>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</si>
  <si>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</si>
  <si>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</si>
  <si>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</si>
  <si>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</si>
  <si>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</si>
  <si>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</si>
  <si>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</si>
  <si>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</si>
  <si>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</si>
  <si>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</si>
  <si>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</si>
  <si>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</si>
  <si>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</si>
  <si>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</si>
  <si>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</si>
  <si>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</si>
  <si>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</si>
  <si>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</si>
  <si>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</si>
  <si>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</si>
  <si>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</si>
  <si>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</si>
  <si>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</si>
  <si>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</si>
  <si>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</si>
  <si>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</si>
  <si>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</si>
  <si>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</si>
  <si>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</si>
  <si>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</si>
  <si>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</si>
  <si>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</si>
  <si>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</si>
  <si>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</si>
  <si>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</si>
  <si>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</si>
  <si>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</si>
  <si>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</si>
  <si>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</si>
  <si>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</si>
  <si>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</si>
  <si>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</si>
  <si>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</si>
  <si>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</si>
  <si>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</si>
  <si>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</si>
  <si>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</si>
  <si>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</si>
  <si>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</si>
  <si>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</si>
  <si>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</si>
  <si>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</si>
  <si>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</si>
  <si>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</si>
  <si>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</si>
  <si>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</si>
  <si>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</si>
  <si>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</si>
  <si>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</si>
  <si>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</si>
  <si>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</si>
  <si>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</si>
  <si>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</si>
  <si>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</si>
  <si>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</si>
  <si>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</si>
  <si>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</si>
  <si>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</si>
  <si>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</si>
  <si>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</si>
  <si>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</si>
  <si>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</si>
  <si>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</si>
  <si>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</si>
  <si>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</si>
  <si>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</si>
  <si>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</si>
  <si>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</si>
  <si>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</si>
  <si>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</si>
  <si>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</si>
  <si>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</si>
  <si>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</si>
  <si>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</si>
  <si>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</si>
  <si>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</si>
  <si>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</si>
  <si>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</si>
  <si>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</si>
  <si>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</si>
  <si>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</si>
  <si>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</si>
  <si>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</si>
  <si>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</si>
  <si>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</si>
  <si>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</si>
  <si>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</si>
  <si>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</si>
  <si>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</si>
  <si>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</si>
  <si>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</si>
  <si>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</si>
  <si>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</si>
  <si>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</si>
  <si>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</si>
  <si>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</si>
  <si>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</si>
  <si>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</si>
  <si>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</si>
  <si>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</si>
  <si>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</si>
  <si>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</si>
  <si>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</si>
  <si>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</si>
  <si>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</si>
  <si>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</si>
  <si>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</si>
  <si>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</si>
  <si>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</si>
  <si>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</si>
  <si>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</si>
  <si>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</si>
  <si>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</si>
  <si>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</si>
  <si>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</si>
  <si>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</si>
  <si>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</si>
  <si>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</si>
  <si>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</si>
  <si>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</si>
  <si>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</si>
  <si>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</si>
  <si>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</si>
  <si>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</si>
  <si>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</si>
  <si>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</si>
  <si>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</si>
  <si>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</si>
  <si>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</si>
  <si>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</si>
  <si>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</si>
  <si>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</si>
  <si>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</si>
  <si>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</si>
  <si>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</si>
  <si>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</si>
  <si>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</si>
  <si>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</si>
  <si>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</si>
  <si>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</si>
  <si>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</si>
  <si>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</si>
  <si>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</si>
  <si>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</si>
  <si>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</si>
  <si>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</si>
  <si>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</si>
  <si>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</si>
  <si>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</si>
  <si>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</si>
  <si>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</si>
  <si>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</si>
  <si>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</si>
  <si>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</si>
  <si>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</si>
  <si>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</si>
  <si>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</si>
  <si>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</si>
  <si>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</si>
  <si>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</si>
  <si>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</si>
  <si>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</si>
  <si>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</si>
  <si>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</si>
  <si>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</si>
  <si>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</si>
  <si>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</si>
  <si>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</si>
  <si>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</si>
  <si>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</si>
  <si>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</si>
  <si>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</si>
  <si>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</si>
  <si>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</si>
  <si>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</si>
  <si>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</si>
  <si>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</si>
  <si>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</si>
  <si>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</si>
  <si>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</si>
  <si>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</si>
  <si>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</si>
  <si>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</si>
  <si>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</si>
  <si>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</si>
  <si>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</si>
  <si>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</si>
  <si>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</si>
  <si>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</si>
  <si>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</si>
  <si>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</si>
  <si>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</si>
  <si>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</si>
  <si>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</si>
  <si>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</si>
  <si>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</si>
  <si>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</si>
  <si>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</si>
  <si>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</si>
  <si>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</si>
  <si>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</si>
  <si>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</si>
  <si>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</si>
  <si>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</si>
  <si>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</si>
  <si>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</si>
  <si>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</si>
  <si>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</si>
  <si>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</si>
  <si>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</si>
  <si>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</si>
  <si>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</si>
  <si>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</si>
  <si>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</si>
  <si>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</si>
  <si>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</si>
  <si>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</si>
  <si>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</si>
  <si>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</si>
  <si>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</si>
  <si>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</si>
  <si>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</si>
  <si>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</si>
  <si>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</si>
  <si>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</si>
  <si>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</si>
  <si>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</si>
  <si>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</si>
  <si>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</si>
  <si>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</si>
  <si>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</si>
  <si>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</si>
  <si>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</si>
  <si>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</si>
  <si>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</si>
  <si>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</si>
  <si>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</si>
  <si>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</si>
  <si>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</si>
  <si>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</si>
  <si>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</si>
  <si>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</si>
  <si>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</si>
  <si>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</si>
  <si>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</si>
  <si>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</si>
  <si>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</si>
  <si>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</si>
  <si>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</si>
  <si>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</si>
  <si>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</si>
  <si>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</si>
  <si>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</si>
  <si>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</si>
  <si>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</si>
  <si>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</si>
  <si>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</si>
  <si>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</si>
  <si>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</si>
  <si>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</si>
  <si>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</si>
  <si>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</si>
  <si>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</si>
  <si>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</si>
  <si>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</si>
  <si>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</si>
  <si>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</si>
  <si>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</si>
  <si>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</si>
  <si>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</si>
  <si>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</si>
  <si>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</si>
  <si>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</si>
  <si>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</si>
  <si>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</si>
  <si>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</si>
  <si>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</si>
  <si>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</si>
  <si>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</si>
  <si>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</si>
  <si>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</si>
  <si>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</si>
  <si>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</si>
  <si>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</si>
  <si>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</si>
  <si>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</si>
  <si>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</si>
  <si>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</si>
  <si>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</si>
  <si>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</si>
  <si>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</si>
  <si>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</si>
  <si>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</si>
  <si>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</si>
  <si>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</si>
  <si>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</si>
  <si>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</si>
  <si>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</si>
  <si>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</si>
  <si>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</si>
  <si>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</si>
  <si>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</si>
  <si>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</si>
  <si>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</si>
  <si>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</si>
  <si>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</si>
  <si>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</si>
  <si>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</si>
  <si>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</si>
  <si>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</si>
  <si>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</si>
  <si>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</si>
  <si>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</si>
  <si>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</si>
  <si>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</si>
  <si>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</si>
  <si>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</si>
  <si>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</si>
  <si>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</si>
  <si>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</si>
  <si>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</si>
  <si>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</si>
  <si>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</si>
  <si>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</si>
  <si>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</si>
  <si>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</si>
  <si>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</si>
  <si>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</si>
  <si>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</si>
  <si>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</si>
  <si>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</si>
  <si>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</si>
  <si>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</si>
  <si>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</si>
  <si>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</si>
  <si>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</si>
  <si>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</si>
  <si>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</si>
  <si>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</si>
  <si>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</si>
  <si>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</si>
  <si>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</si>
  <si>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</si>
  <si>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</si>
  <si>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</si>
  <si>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</si>
  <si>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</si>
  <si>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</si>
  <si>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</si>
  <si>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</si>
  <si>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</si>
  <si>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</si>
  <si>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</si>
  <si>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</si>
  <si>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</si>
  <si>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</si>
  <si>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</si>
  <si>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</si>
  <si>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</si>
  <si>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</si>
  <si>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</si>
  <si>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</si>
  <si>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</si>
  <si>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</si>
  <si>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</si>
  <si>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</si>
  <si>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</si>
  <si>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</si>
  <si>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</si>
  <si>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</si>
  <si>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</si>
  <si>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</si>
  <si>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</si>
  <si>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</si>
  <si>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</si>
  <si>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</si>
  <si>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</si>
  <si>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</si>
  <si>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</si>
  <si>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</si>
  <si>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</si>
  <si>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</si>
  <si>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</si>
  <si>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</si>
  <si>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</si>
  <si>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</si>
  <si>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</si>
  <si>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</si>
  <si>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</si>
  <si>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</si>
  <si>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</si>
  <si>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</si>
  <si>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</si>
  <si>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</si>
  <si>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</si>
  <si>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</si>
  <si>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</si>
  <si>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</si>
  <si>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</si>
  <si>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</si>
  <si>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</si>
  <si>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</si>
  <si>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</si>
  <si>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</si>
  <si>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</si>
  <si>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</si>
  <si>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</si>
  <si>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</si>
  <si>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</si>
  <si>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</si>
  <si>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</si>
  <si>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</si>
  <si>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</si>
  <si>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</si>
  <si>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</si>
  <si>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</si>
  <si>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</si>
  <si>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</si>
  <si>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</si>
  <si>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</si>
  <si>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</si>
  <si>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</si>
  <si>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</si>
  <si>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</si>
  <si>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</si>
  <si>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</si>
  <si>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</si>
  <si>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</si>
  <si>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</si>
  <si>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</si>
  <si>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</si>
  <si>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</si>
  <si>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</si>
  <si>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</si>
  <si>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</si>
  <si>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</si>
  <si>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</si>
  <si>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</si>
  <si>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</si>
  <si>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</si>
  <si>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</si>
  <si>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</si>
  <si>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</si>
  <si>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</si>
  <si>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</si>
  <si>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</si>
  <si>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</si>
  <si>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</si>
  <si>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</si>
  <si>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</si>
  <si>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</si>
  <si>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</si>
  <si>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</si>
  <si>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</si>
  <si>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</si>
  <si>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</si>
  <si>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</si>
  <si>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</si>
  <si>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</si>
  <si>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</si>
  <si>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</si>
  <si>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</si>
  <si>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</si>
  <si>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</si>
  <si>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</si>
  <si>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</si>
  <si>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</si>
  <si>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</si>
  <si>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</si>
  <si>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</si>
  <si>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</si>
  <si>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</si>
  <si>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</si>
  <si>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</si>
  <si>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</si>
  <si>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</si>
  <si>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</si>
  <si>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</si>
  <si>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</si>
  <si>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</si>
  <si>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</si>
  <si>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</si>
  <si>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</si>
  <si>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</si>
  <si>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</si>
  <si>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</si>
  <si>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</si>
  <si>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</si>
  <si>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</si>
  <si>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</si>
  <si>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</si>
  <si>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</si>
  <si>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</si>
  <si>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</si>
  <si>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</si>
  <si>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</si>
  <si>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</si>
  <si>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</si>
  <si>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</si>
  <si>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</si>
  <si>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</si>
  <si>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</si>
  <si>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</si>
  <si>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</si>
  <si>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</si>
  <si>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</si>
  <si>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</si>
  <si>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</si>
  <si>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</si>
  <si>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</si>
  <si>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</si>
  <si>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</si>
  <si>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</si>
  <si>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</si>
  <si>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</si>
  <si>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</si>
  <si>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</si>
  <si>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</si>
  <si>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</si>
  <si>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</si>
  <si>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</si>
  <si>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</si>
  <si>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</si>
  <si>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</si>
  <si>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</si>
  <si>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</si>
  <si>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</si>
  <si>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</si>
  <si>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</si>
  <si>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</si>
  <si>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</si>
  <si>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</si>
  <si>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</si>
  <si>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</si>
  <si>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</si>
  <si>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</si>
  <si>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</si>
  <si>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</si>
  <si>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</si>
  <si>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</si>
  <si>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</si>
  <si>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</si>
  <si>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</si>
  <si>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</si>
  <si>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</si>
  <si>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</si>
  <si>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</si>
  <si>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</si>
  <si>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</si>
  <si>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</si>
  <si>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</si>
  <si>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</si>
  <si>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</si>
  <si>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</si>
  <si>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</si>
  <si>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</si>
  <si>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</si>
  <si>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</si>
  <si>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</si>
  <si>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</si>
  <si>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</si>
  <si>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</si>
  <si>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</si>
  <si>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</si>
  <si>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</si>
  <si>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</si>
  <si>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</si>
  <si>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</si>
  <si>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</si>
  <si>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</si>
  <si>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</si>
  <si>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</si>
  <si>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</si>
  <si>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</si>
  <si>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</si>
  <si>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</si>
  <si>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</si>
  <si>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</si>
  <si>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</si>
  <si>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</si>
  <si>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</si>
  <si>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</si>
  <si>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</si>
  <si>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</si>
  <si>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</si>
  <si>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</si>
  <si>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</si>
  <si>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</si>
  <si>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</si>
  <si>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</si>
  <si>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</si>
  <si>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</si>
  <si>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</si>
  <si>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</si>
  <si>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</si>
  <si>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</si>
  <si>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</si>
  <si>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</si>
  <si>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</si>
  <si>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</si>
  <si>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</si>
  <si>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</si>
  <si>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</si>
  <si>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</si>
  <si>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</si>
  <si>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</si>
  <si>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</si>
  <si>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</si>
  <si>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</si>
  <si>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</si>
  <si>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</si>
  <si>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</si>
  <si>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</si>
  <si>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</si>
  <si>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</si>
  <si>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</si>
  <si>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</si>
  <si>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</si>
  <si>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</si>
  <si>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</si>
  <si>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</si>
  <si>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</si>
  <si>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</si>
  <si>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</si>
  <si>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</si>
  <si>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</si>
  <si>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</si>
  <si>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</si>
  <si>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</si>
  <si>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</si>
  <si>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</si>
  <si>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</si>
  <si>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</si>
  <si>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</si>
  <si>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</si>
  <si>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</si>
  <si>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</si>
  <si>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</si>
  <si>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</si>
  <si>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</si>
  <si>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</si>
  <si>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</si>
  <si>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</si>
  <si>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</si>
  <si>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</si>
  <si>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</si>
  <si>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</si>
  <si>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</si>
  <si>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</si>
  <si>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</si>
  <si>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</si>
  <si>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</si>
  <si>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</si>
  <si>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</si>
  <si>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</si>
  <si>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</si>
  <si>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</si>
  <si>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</si>
  <si>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</si>
  <si>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</si>
  <si>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</si>
  <si>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</si>
  <si>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</si>
  <si>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</si>
  <si>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</si>
  <si>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</si>
  <si>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</si>
  <si>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</si>
  <si>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</si>
  <si>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</si>
  <si>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</si>
  <si>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</si>
  <si>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</si>
  <si>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</si>
  <si>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</si>
  <si>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</si>
  <si>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</si>
  <si>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</si>
  <si>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</si>
  <si>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</si>
  <si>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</si>
  <si>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</si>
  <si>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</si>
  <si>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</si>
  <si>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</si>
  <si>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</si>
  <si>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</si>
  <si>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</si>
  <si>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</si>
  <si>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</si>
  <si>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</si>
  <si>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</si>
  <si>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</si>
  <si>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</si>
  <si>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</si>
  <si>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</si>
  <si>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</si>
  <si>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</si>
  <si>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</si>
  <si>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</si>
  <si>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</si>
  <si>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</si>
  <si>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</si>
  <si>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</si>
  <si>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</si>
  <si>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</si>
  <si>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</si>
  <si>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</si>
  <si>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</si>
  <si>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</si>
  <si>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</si>
  <si>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</si>
  <si>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</si>
  <si>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</si>
  <si>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</si>
  <si>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</si>
  <si>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</si>
  <si>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</si>
  <si>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</si>
  <si>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</si>
  <si>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</si>
  <si>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</si>
  <si>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</si>
  <si>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</si>
  <si>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</si>
  <si>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</si>
  <si>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</si>
  <si>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</si>
  <si>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</si>
  <si>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</si>
  <si>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</si>
  <si>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</si>
  <si>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</si>
  <si>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</si>
  <si>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</si>
  <si>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</si>
  <si>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</si>
  <si>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</si>
  <si>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地上</t>
  </si>
  <si>
    <t>地下</t>
  </si>
  <si>
    <t>是</t>
  </si>
  <si>
    <t>办公</t>
    <phoneticPr fontId="7" type="noConversion"/>
  </si>
  <si>
    <t>成新度</t>
  </si>
  <si>
    <t>收益法</t>
  </si>
  <si>
    <t>自定义容积率</t>
  </si>
  <si>
    <t>不临65条商业街</t>
  </si>
  <si>
    <t>与级别开发程度一致</t>
  </si>
  <si>
    <t>按公示增长率计算</t>
  </si>
  <si>
    <t>中心城区</t>
  </si>
  <si>
    <t>较好</t>
  </si>
  <si>
    <t>好</t>
  </si>
  <si>
    <t>未包含在土地购买价格中</t>
  </si>
  <si>
    <t>全部缴纳</t>
  </si>
  <si>
    <t>已包含在土地取得成本中</t>
  </si>
  <si>
    <t>押一</t>
  </si>
  <si>
    <t>钢混</t>
  </si>
  <si>
    <t>非生产用房</t>
  </si>
  <si>
    <t>否</t>
  </si>
  <si>
    <t>办公</t>
    <phoneticPr fontId="3" type="noConversion"/>
  </si>
  <si>
    <t>车库</t>
    <phoneticPr fontId="3" type="noConversion"/>
  </si>
  <si>
    <t>车库</t>
    <phoneticPr fontId="7" type="noConversion"/>
  </si>
  <si>
    <t>收益法车库</t>
  </si>
  <si>
    <t>收益法车库</t>
    <phoneticPr fontId="16" type="noConversion"/>
  </si>
  <si>
    <t>收益法（汇总）</t>
  </si>
  <si>
    <t>基础</t>
    <phoneticPr fontId="3" type="noConversion"/>
  </si>
  <si>
    <t>装修</t>
    <phoneticPr fontId="3" type="noConversion"/>
  </si>
  <si>
    <t>建安</t>
    <phoneticPr fontId="3" type="noConversion"/>
  </si>
  <si>
    <t>项目模式</t>
  </si>
  <si>
    <t>售价</t>
  </si>
  <si>
    <t>正常</t>
  </si>
  <si>
    <t>商业办公</t>
  </si>
  <si>
    <t>建成年代</t>
    <phoneticPr fontId="134" type="noConversion"/>
  </si>
  <si>
    <t>土地剩余年期</t>
    <phoneticPr fontId="134" type="noConversion"/>
  </si>
  <si>
    <t>20-25</t>
    <phoneticPr fontId="134" type="noConversion"/>
  </si>
  <si>
    <t>40-45</t>
    <phoneticPr fontId="134" type="noConversion"/>
  </si>
  <si>
    <t>25-30</t>
    <phoneticPr fontId="134" type="noConversion"/>
  </si>
  <si>
    <t>一般</t>
  </si>
  <si>
    <t>较差</t>
  </si>
  <si>
    <t>七通</t>
  </si>
  <si>
    <t>高层办公楼</t>
  </si>
  <si>
    <t>精装修</t>
  </si>
  <si>
    <t>甲级</t>
  </si>
  <si>
    <t>专业</t>
  </si>
  <si>
    <t>五通</t>
  </si>
  <si>
    <t>标准</t>
  </si>
  <si>
    <t>地下面积占比</t>
  </si>
  <si>
    <t>15-20%</t>
    <phoneticPr fontId="134" type="noConversion"/>
  </si>
  <si>
    <t>0-5%</t>
    <phoneticPr fontId="134" type="noConversion"/>
  </si>
  <si>
    <t>地下用途</t>
    <phoneticPr fontId="134" type="noConversion"/>
  </si>
  <si>
    <t>车位</t>
    <phoneticPr fontId="134" type="noConversion"/>
  </si>
  <si>
    <t>商业</t>
    <phoneticPr fontId="134" type="noConversion"/>
  </si>
  <si>
    <t>无</t>
    <phoneticPr fontId="134" type="noConversion"/>
  </si>
  <si>
    <t>40-50</t>
  </si>
  <si>
    <t>30-40</t>
  </si>
  <si>
    <t>20-30</t>
  </si>
  <si>
    <t>30-35</t>
    <phoneticPr fontId="134" type="noConversion"/>
  </si>
  <si>
    <t>35-40</t>
    <phoneticPr fontId="134" type="noConversion"/>
  </si>
  <si>
    <t>45-50</t>
    <phoneticPr fontId="134" type="noConversion"/>
  </si>
  <si>
    <t>快速路</t>
  </si>
  <si>
    <t>主干道</t>
  </si>
  <si>
    <t>次干道</t>
  </si>
  <si>
    <t>普通装修</t>
  </si>
  <si>
    <t>简单装修</t>
  </si>
  <si>
    <t>毛坯</t>
  </si>
  <si>
    <t>乙级</t>
  </si>
  <si>
    <t>0-5%</t>
  </si>
  <si>
    <t>5-10%</t>
  </si>
  <si>
    <t>10-15%</t>
  </si>
  <si>
    <t>15-20%</t>
  </si>
  <si>
    <t>20-25%</t>
  </si>
  <si>
    <t>办公、车位</t>
    <phoneticPr fontId="134" type="noConversion"/>
  </si>
  <si>
    <t>商业、车位</t>
    <phoneticPr fontId="134" type="noConversion"/>
  </si>
  <si>
    <t>比较法-办公 (2)</t>
    <phoneticPr fontId="16" type="noConversion"/>
  </si>
  <si>
    <t>30-40%</t>
    <phoneticPr fontId="134" type="noConversion"/>
  </si>
  <si>
    <t>25-30%</t>
    <phoneticPr fontId="134" type="noConversion"/>
  </si>
  <si>
    <t>15-20</t>
    <phoneticPr fontId="134" type="noConversion"/>
  </si>
  <si>
    <t>2号楼</t>
    <phoneticPr fontId="134" type="noConversion"/>
  </si>
  <si>
    <t>车库、商业</t>
    <phoneticPr fontId="134" type="noConversion"/>
  </si>
  <si>
    <t>建筑面积</t>
    <phoneticPr fontId="134" type="noConversion"/>
  </si>
  <si>
    <t>房号</t>
    <phoneticPr fontId="134" type="noConversion"/>
  </si>
  <si>
    <t>3号楼</t>
    <phoneticPr fontId="134" type="noConversion"/>
  </si>
  <si>
    <t>地下车库、自行车库，地下车库，商业及配套楼</t>
    <phoneticPr fontId="134" type="noConversion"/>
  </si>
  <si>
    <t>附属用房1</t>
    <phoneticPr fontId="134" type="noConversion"/>
  </si>
  <si>
    <t>附属用房2</t>
  </si>
  <si>
    <t>附属用房3</t>
  </si>
  <si>
    <t>附属用房4</t>
  </si>
  <si>
    <t>附属用房5</t>
  </si>
  <si>
    <t>附属用房6</t>
  </si>
  <si>
    <t>附属用房7</t>
  </si>
  <si>
    <t>附属用房8</t>
  </si>
  <si>
    <t>地下车库</t>
  </si>
  <si>
    <t>地下车库</t>
    <phoneticPr fontId="134" type="noConversion"/>
  </si>
  <si>
    <t>地下车库、自行车库</t>
    <phoneticPr fontId="134" type="noConversion"/>
  </si>
  <si>
    <t>商业及配套楼</t>
    <phoneticPr fontId="134" type="noConversion"/>
  </si>
  <si>
    <t>车库</t>
    <phoneticPr fontId="134" type="noConversion"/>
  </si>
  <si>
    <t>地上商业</t>
    <phoneticPr fontId="134" type="noConversion"/>
  </si>
  <si>
    <t>附属用房</t>
    <phoneticPr fontId="134" type="noConversion"/>
  </si>
  <si>
    <t>合计</t>
  </si>
  <si>
    <t>地上附属用房</t>
    <phoneticPr fontId="134" type="noConversion"/>
  </si>
  <si>
    <t>40-45%</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</si>
  <si>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</si>
  <si>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</si>
  <si>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</si>
  <si>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</si>
  <si>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</si>
  <si>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</si>
  <si>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</si>
  <si>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</si>
  <si>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</si>
  <si>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</si>
  <si>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</si>
  <si>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</si>
  <si>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</si>
  <si>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</si>
  <si>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</si>
  <si>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</si>
  <si>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</si>
  <si>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</si>
  <si>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</si>
  <si>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</si>
  <si>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</si>
  <si>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</si>
  <si>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华远石景山大悦城7#1-14层</t>
  </si>
  <si>
    <t>石景山区京西商务园</t>
  </si>
  <si>
    <t>石景山区</t>
  </si>
  <si>
    <t>苹果园</t>
  </si>
  <si>
    <t>华远地产</t>
  </si>
  <si>
    <t>商业、办公</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</si>
  <si>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</si>
  <si>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</si>
  <si>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</si>
  <si>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</si>
  <si>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</si>
  <si>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</si>
  <si>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</si>
  <si>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</si>
  <si>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</si>
  <si>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</si>
  <si>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</si>
  <si>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</si>
  <si>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</si>
  <si>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</si>
  <si>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</si>
  <si>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</si>
  <si>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</si>
  <si>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</si>
  <si>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</si>
  <si>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</si>
  <si>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</si>
  <si>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</si>
  <si>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</si>
  <si>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拍卖</t>
  </si>
  <si>
    <t>西城区莲花池东路1号楼甲1、1号楼部分（1-2、1-4、1-6、1-8）（顺峰）</t>
  </si>
  <si>
    <t>西城区莲花池东路1号楼2幢</t>
  </si>
  <si>
    <t>西城区</t>
  </si>
  <si>
    <t>西客站</t>
  </si>
  <si>
    <t>顺峰饮食酒店管理股份有限公司</t>
  </si>
  <si>
    <t>个人</t>
  </si>
  <si>
    <t>住宿餐饮用地土地终止日期2040-1-24，甲1号楼4436.10平方米（1-7层），1号楼1-2（1层，171.7平方米）、1-4（2层，135.9平方米）、1-6（6层，322.6平方米）、1-8（-1层，191.9平方米）</t>
  </si>
  <si>
    <t>1984、1994</t>
  </si>
  <si>
    <t xml:space="preserve"> 琉璃厂东街22、24号1幢1至2层2幢1至2层3幢1至2层4幢1至2层5幢1层</t>
  </si>
  <si>
    <t>宣武门</t>
  </si>
  <si>
    <t>中国工艺艺术北京发展中心</t>
  </si>
  <si>
    <t>北京状元街控股有限公司</t>
  </si>
  <si>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</si>
  <si>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t>1990(约)</t>
  </si>
  <si>
    <t>中国抽纱交流中心</t>
  </si>
  <si>
    <t>朝阳区惠新东街19号（西院）（原北土城宾馆）</t>
  </si>
  <si>
    <t>亚奥</t>
  </si>
  <si>
    <t>中国抽纱品进出口（集团）有限公司</t>
  </si>
  <si>
    <t>办公/商业、地下车位</t>
  </si>
  <si>
    <t>招商局公路网络科技控股股份有限公司</t>
  </si>
  <si>
    <t xml:space="preserve"> 建筑高度：45米、停车位约200个;中心共分为ABC三座,地下3层，地上12层（A座6层，B座12层，C座9层），</t>
  </si>
  <si>
    <t>2020年（约）</t>
  </si>
  <si>
    <t>季报</t>
  </si>
  <si>
    <t>北京远洋未来广场、53个产权车位、人防工程及相关附属设施</t>
  </si>
  <si>
    <t>朝阳区北四环东路73号院1号楼</t>
  </si>
  <si>
    <t>远洋</t>
  </si>
  <si>
    <t>商业、车库</t>
  </si>
  <si>
    <t>居然之家</t>
  </si>
  <si>
    <t>地下车位53个产权车位，另有人防工程16691平方米；土地年期至2047年3月1日；收购价含3.48亿优先收购权，16.04亿主体商业、0.1亿产权车位</t>
  </si>
  <si>
    <t>2013年</t>
  </si>
  <si>
    <t>股权+资产+人防工程使用权</t>
  </si>
  <si>
    <t>乐华大厦（原望京华樾中心二期）B座</t>
    <phoneticPr fontId="134" type="noConversion"/>
  </si>
  <si>
    <t>朝阳区创远路28号院1号楼，望京地铁14号线善各庄站C口</t>
  </si>
  <si>
    <t>望京</t>
  </si>
  <si>
    <t>首开/金地</t>
  </si>
  <si>
    <t>办公、商业</t>
  </si>
  <si>
    <t>乐华娱乐</t>
  </si>
  <si>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</si>
  <si>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t>2022年（约）</t>
  </si>
  <si>
    <t>公告+网签</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</si>
  <si>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</si>
  <si>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</si>
  <si>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</si>
  <si>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</si>
  <si>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</si>
  <si>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</si>
  <si>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2006年</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</si>
  <si>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</si>
  <si>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</si>
  <si>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</si>
  <si>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</si>
  <si>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</si>
  <si>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</si>
  <si>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</si>
  <si>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</si>
  <si>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</si>
  <si>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地上10层，地下1层</t>
  </si>
  <si>
    <t>网签</t>
  </si>
  <si>
    <t>联宝公寓（7#楼、甲5号楼配套商业及地下车库</t>
  </si>
  <si>
    <t>朝阳区幸福一村西里</t>
  </si>
  <si>
    <t>三里屯</t>
  </si>
  <si>
    <t>首开</t>
  </si>
  <si>
    <t>住宅、商业、地下车库</t>
  </si>
  <si>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</si>
  <si>
    <t>1997年</t>
  </si>
  <si>
    <t>上市公告</t>
  </si>
  <si>
    <t>大悦时代广场(悦荣中心)1号楼</t>
  </si>
  <si>
    <t>丰台区槐房西路9号院1号楼</t>
  </si>
  <si>
    <t>丰台区</t>
  </si>
  <si>
    <t>新宫</t>
  </si>
  <si>
    <t>中粮</t>
  </si>
  <si>
    <t>酒店、商业餐饮</t>
  </si>
  <si>
    <t>地上11层，其中底商494.07平方米(网签价59999元/平方米，酒店32185元/平方米)；临地铁，临街；商业2057-6-26</t>
  </si>
  <si>
    <t>2021年</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</si>
  <si>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</si>
  <si>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</si>
  <si>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</si>
  <si>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</si>
  <si>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</si>
  <si>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</si>
  <si>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</si>
  <si>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</si>
  <si>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</si>
  <si>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</si>
  <si>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</si>
  <si>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双井凯德Mall（原家乐福双井店）</t>
  </si>
  <si>
    <t>朝阳区双井街道广渠路31号</t>
  </si>
  <si>
    <t>双井</t>
  </si>
  <si>
    <t xml:space="preserve">凯德中国信托（CLCT） </t>
  </si>
  <si>
    <t>鄂尔多斯企业</t>
  </si>
  <si>
    <t>2023-Q4</t>
  </si>
  <si>
    <t>土地终止日期2042-7-10；2006年购置价4.14亿元；B1-L3</t>
  </si>
  <si>
    <t>2004年（约）</t>
  </si>
  <si>
    <t>大悦时代广场(悦荣中心)7号楼</t>
  </si>
  <si>
    <t>丰台区槐房西路9号院7号楼</t>
  </si>
  <si>
    <t>办公（首层商业）</t>
  </si>
  <si>
    <t>地上1-10层，F1商业298.06平方米；商业2057-6-26；办公2067-6-26；首层层高6米，办公层高4.2米</t>
  </si>
  <si>
    <t>恒兴大厦2层</t>
  </si>
  <si>
    <t>海淀区中关村东路89号2层整层</t>
  </si>
  <si>
    <t>海淀区</t>
  </si>
  <si>
    <t>中关村</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</si>
  <si>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</si>
  <si>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</si>
  <si>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</si>
  <si>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</si>
  <si>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</si>
  <si>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</si>
  <si>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</si>
  <si>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</si>
  <si>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</si>
  <si>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</si>
  <si>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</si>
  <si>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</si>
  <si>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</si>
  <si>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</si>
  <si>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</si>
  <si>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 地下:1</t>
  </si>
  <si>
    <t>2019年</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</si>
  <si>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</si>
  <si>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</si>
  <si>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</si>
  <si>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</si>
  <si>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</si>
  <si>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</si>
  <si>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</si>
  <si>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</si>
  <si>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</si>
  <si>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东四十二条15号</t>
  </si>
  <si>
    <t>东城区东四十二条15号</t>
  </si>
  <si>
    <t>东城区</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</si>
  <si>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</si>
  <si>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</si>
  <si>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</si>
  <si>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</si>
  <si>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</si>
  <si>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</si>
  <si>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</si>
  <si>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</si>
  <si>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</si>
  <si>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</si>
  <si>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</si>
  <si>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</si>
  <si>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</si>
  <si>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新街高和（原为星街坊购物中心）</t>
  </si>
  <si>
    <t>西城区新街口北大街3号</t>
  </si>
  <si>
    <t>新街口</t>
  </si>
  <si>
    <t>高和资本</t>
  </si>
  <si>
    <t>长城人寿</t>
  </si>
  <si>
    <t>2023年Q4</t>
  </si>
  <si>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</si>
  <si>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t>2008年</t>
  </si>
  <si>
    <t>公告+新闻+备案表</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</si>
  <si>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</si>
  <si>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</si>
  <si>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</si>
  <si>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</si>
  <si>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</si>
  <si>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</si>
  <si>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</si>
  <si>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</si>
  <si>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</si>
  <si>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</si>
  <si>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</si>
  <si>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</si>
  <si>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</si>
  <si>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</si>
  <si>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</si>
  <si>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</si>
  <si>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</si>
  <si>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</si>
  <si>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</si>
  <si>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</si>
  <si>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</si>
  <si>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中海</t>
  </si>
  <si>
    <t>地上1-3层，期房</t>
  </si>
  <si>
    <t>2026年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</si>
  <si>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</si>
  <si>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</si>
  <si>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</si>
  <si>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</si>
  <si>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</si>
  <si>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 2039年07月01日</t>
  </si>
  <si>
    <t>2001年</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</si>
  <si>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</si>
  <si>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</si>
  <si>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</si>
  <si>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</si>
  <si>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</si>
  <si>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</si>
  <si>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</si>
  <si>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</si>
  <si>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</si>
  <si>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</si>
  <si>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</si>
  <si>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</si>
  <si>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</si>
  <si>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</si>
  <si>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</si>
  <si>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</si>
  <si>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</si>
  <si>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</si>
  <si>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</si>
  <si>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</si>
  <si>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</si>
  <si>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</si>
  <si>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</si>
  <si>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</si>
  <si>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</si>
  <si>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</si>
  <si>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</si>
  <si>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</si>
  <si>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</si>
  <si>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</si>
  <si>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 28(-4)层。</t>
  </si>
  <si>
    <t>新街口西里三区2号2-4、2-7（-1至1层）</t>
  </si>
  <si>
    <t>西城区新街口西里三区2号楼-1至1层2-4、2号楼-1至1层2-7</t>
  </si>
  <si>
    <t>锦程天际（北京）咨询有限公司</t>
  </si>
  <si>
    <t>北京新沅顺兴科技有限公司</t>
  </si>
  <si>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</si>
  <si>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t>2003年</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</si>
  <si>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</si>
  <si>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</si>
  <si>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</si>
  <si>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</si>
  <si>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</si>
  <si>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</si>
  <si>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</si>
  <si>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</si>
  <si>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</si>
  <si>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</si>
  <si>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</si>
  <si>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</si>
  <si>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</si>
  <si>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</si>
  <si>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</si>
  <si>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</si>
  <si>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r>
      <t>地上1-3层；</t>
    </r>
    <r>
      <rPr>
        <b/>
        <sz val="10"/>
        <color rgb="FFFF0000"/>
        <rFont val="宋体"/>
        <family val="3"/>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</si>
  <si>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</si>
  <si>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</si>
  <si>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</si>
  <si>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</si>
  <si>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</si>
  <si>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</si>
  <si>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</si>
  <si>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</si>
  <si>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</si>
  <si>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都市网景2号楼（现状出租做北岸轻居酒店）</t>
  </si>
  <si>
    <t xml:space="preserve"> 海淀区中关村东路123号2号楼1至3层一层南侧、二至三层房屋及土地使用权</t>
  </si>
  <si>
    <t>北京中佰乐投资有限公
司</t>
  </si>
  <si>
    <t>北京千辉物业管理有限公司</t>
  </si>
  <si>
    <t>2049年3月29日，净高：一层2.81米，二、三层2.60米；总层数26层，估价对象位于1-3层。</t>
  </si>
  <si>
    <t>2000年</t>
  </si>
  <si>
    <t>润枫水尚配套商业楼</t>
  </si>
  <si>
    <t>朝阳区青年路西里5号院16号楼-2层-201号等9套配套商业用房</t>
  </si>
  <si>
    <t>青年路</t>
  </si>
  <si>
    <t>润丰地产</t>
  </si>
  <si>
    <t>配套商业</t>
  </si>
  <si>
    <t>朔州市宇享工贸有限公司</t>
  </si>
  <si>
    <t>101-104、-101（1432.04㎡）、-201（874.94㎡）、201-203；地上1层2052.5㎡、地上2层2233.14㎡；地下2层地上2层；2044-11-23；有租约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</si>
  <si>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</si>
  <si>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</si>
  <si>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</si>
  <si>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</si>
  <si>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</si>
  <si>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</si>
  <si>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</si>
  <si>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</si>
  <si>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</si>
  <si>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</si>
  <si>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</si>
  <si>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当代moma部分</t>
  </si>
  <si>
    <t>东城区香河园街1号院北区3号楼、6号楼、7号楼、8号楼、12号楼共计42套房地产</t>
  </si>
  <si>
    <t>东直门</t>
  </si>
  <si>
    <t>当代</t>
  </si>
  <si>
    <t>商业配套</t>
  </si>
  <si>
    <t>北京灏晟企业管理咨询有限公司（世纪金源）</t>
  </si>
  <si>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</si>
  <si>
    <t>2008-2010年</t>
  </si>
  <si>
    <t>利锦府小区配套楼</t>
  </si>
  <si>
    <t>朝阳区红松园北里18号院9号9-1、9-2、9-3；11号11-1、11-2共5套非配套商业</t>
  </si>
  <si>
    <t>利锦荣房地产开发</t>
  </si>
  <si>
    <t>非配套商业</t>
  </si>
  <si>
    <t>北京鑫福鸿顺科技有限公司</t>
  </si>
  <si>
    <t>位于1层，2052-1-12；</t>
  </si>
  <si>
    <t>元嘉国际公寓底商</t>
  </si>
  <si>
    <t>东城区东中街40号1号楼1层07号</t>
  </si>
  <si>
    <t>东二环</t>
  </si>
  <si>
    <t>芝麻商贸（保定）有限公司</t>
  </si>
  <si>
    <t>位于1/11,租约（20230715至20290914，租金9元/㎡*天，每3年上浮3%）；终止日期2051年10月21日，</t>
  </si>
  <si>
    <t>冠城大通启辰中心6#楼1-9层</t>
  </si>
  <si>
    <t xml:space="preserve">	海淀区德政路16号院6号楼</t>
  </si>
  <si>
    <t>西北旺</t>
  </si>
  <si>
    <t>冠城大通</t>
  </si>
  <si>
    <t>办公、首层商业</t>
  </si>
  <si>
    <t>1-9层,其中1层商业1015.62平方米</t>
  </si>
  <si>
    <t>约2023年</t>
  </si>
  <si>
    <t>网签数据</t>
  </si>
  <si>
    <t>安慧北里安园8号楼1-5层房产</t>
  </si>
  <si>
    <t>朝阳区安慧北里安园8号楼1-5层房产</t>
  </si>
  <si>
    <t>香河茂顺商贸有限公司</t>
  </si>
  <si>
    <t>北京白菊电器有限公司</t>
  </si>
  <si>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</si>
  <si>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</si>
  <si>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</si>
  <si>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</si>
  <si>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</si>
  <si>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</si>
  <si>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</si>
  <si>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中海金融中心3号楼2-12层、7#101、104，8幢B1-B2</t>
  </si>
  <si>
    <t>西城区骡马市大街20号院一区，骡马市大街与菜市口大街东南角3号楼2-12层、7#101、104，8幢B1-B2</t>
  </si>
  <si>
    <t>菜市口</t>
  </si>
  <si>
    <t>地下商业（B1-B2）4567.65平方米（B1网签价50000元/㎡,B2网签价27000元/㎡），首层商业1194.53平方米（网签价83000元/㎡）；办公29080.98平方米（网签价76900元/㎡）</t>
  </si>
  <si>
    <t>2024年（约）</t>
  </si>
  <si>
    <t>五路居甲16号院（美丽星苑）4号楼部分</t>
  </si>
  <si>
    <t>海淀区五路居甲16号院4号楼1层01、02，2层03号；所属楼宇紧邻五路居南街</t>
  </si>
  <si>
    <t>五路居</t>
  </si>
  <si>
    <t>二建房开</t>
  </si>
  <si>
    <t>综合超市、再生资源回收站、社区菜市场（实际用途为商业）</t>
  </si>
  <si>
    <r>
      <t>173.38+12.93+364.83（F2-03），所属楼宇1-2层;</t>
    </r>
    <r>
      <rPr>
        <b/>
        <sz val="10"/>
        <color rgb="FFFF0000"/>
        <rFont val="宋体"/>
        <family val="3"/>
        <charset val="134"/>
      </rPr>
      <t>划拨用地，有出租</t>
    </r>
  </si>
  <si>
    <t>2012年</t>
  </si>
  <si>
    <t>首程时代中心（立项名首鼎大厦）A区（含A1A2A3号地上地下建筑）)</t>
  </si>
  <si>
    <t>石景山区古城南街东侧（首钢园区东南区）1612-769地块B4综合性商业金融服务业用地</t>
  </si>
  <si>
    <t>首钢南</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</si>
  <si>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</si>
  <si>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</si>
  <si>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</si>
  <si>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</si>
  <si>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鲲意熙园（1#酒店楼101；2#酒店楼101；3#酒店楼101；4#酒店楼101；5#酒店楼101；S1#商业楼101；S2#商业楼101，-1层-101；S3#商业楼101，-1层-101、-102；地下车库-1层-1001至-1248）</t>
  </si>
  <si>
    <t>朝阳区来广营东路与电子城大街交叉口西南角</t>
  </si>
  <si>
    <t>崔各庄</t>
  </si>
  <si>
    <t>朝阳城开/中建</t>
  </si>
  <si>
    <t>酒店、商业、地下办公、车库</t>
  </si>
  <si>
    <t>1-5酒店楼地上7-25层（80197.22㎡）、S1#101、S2#-101、101、S3#101、-101、-102及248个车位（8154.96平方米，平均12万/个）；地下商业1849.29平方米，地下办公187.24平方米</t>
  </si>
  <si>
    <t>2027年（约）</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</si>
  <si>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</si>
  <si>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</si>
  <si>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</si>
  <si>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</si>
  <si>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</si>
  <si>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</si>
  <si>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</si>
  <si>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</si>
  <si>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</si>
  <si>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</si>
  <si>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</si>
  <si>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</si>
  <si>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</si>
  <si>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</si>
  <si>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</si>
  <si>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</si>
  <si>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</si>
  <si>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</si>
  <si>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</si>
  <si>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</si>
  <si>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</si>
  <si>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</si>
  <si>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</si>
  <si>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</si>
  <si>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</si>
  <si>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</si>
  <si>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</si>
  <si>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</si>
  <si>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现：京(2022)朝不动产权第0073209号</t>
    <phoneticPr fontId="134" type="noConversion"/>
  </si>
  <si>
    <t>现：京(2022)朝不动产权第0073209号</t>
  </si>
  <si>
    <t>面积</t>
  </si>
  <si>
    <t>占比</t>
  </si>
  <si>
    <t>7号楼</t>
  </si>
  <si>
    <t>现：京(2023)丰不动产权第0029386号</t>
  </si>
  <si>
    <t>3#办公楼</t>
  </si>
  <si>
    <t>京房售证字(2024)99号</t>
  </si>
  <si>
    <t>乐华大厦</t>
    <phoneticPr fontId="3" type="noConversion"/>
  </si>
  <si>
    <t>悦荣中心</t>
    <phoneticPr fontId="3" type="noConversion"/>
  </si>
  <si>
    <t>中海金融中心</t>
    <phoneticPr fontId="3" type="noConversion"/>
  </si>
  <si>
    <t>商业办公</t>
    <phoneticPr fontId="31" type="noConversion"/>
  </si>
  <si>
    <t>45-50%</t>
    <phoneticPr fontId="31" type="noConversion"/>
  </si>
  <si>
    <t>15-20</t>
    <phoneticPr fontId="31" type="noConversion"/>
  </si>
  <si>
    <t>45-50%</t>
    <phoneticPr fontId="134" type="noConversion"/>
  </si>
  <si>
    <t>比较法-办公</t>
  </si>
  <si>
    <r>
      <rPr>
        <sz val="10"/>
        <color indexed="8"/>
        <rFont val="宋体"/>
        <family val="3"/>
        <charset val="134"/>
      </rPr>
      <t>装修</t>
    </r>
    <r>
      <rPr>
        <sz val="10"/>
        <color indexed="8"/>
        <rFont val="Arial"/>
        <family val="2"/>
      </rPr>
      <t>6</t>
    </r>
    <r>
      <rPr>
        <sz val="10"/>
        <color indexed="8"/>
        <rFont val="宋体"/>
        <family val="3"/>
        <charset val="134"/>
      </rPr>
      <t>个亿</t>
    </r>
    <phoneticPr fontId="3" type="noConversion"/>
  </si>
  <si>
    <r>
      <t>19</t>
    </r>
    <r>
      <rPr>
        <sz val="10"/>
        <color indexed="8"/>
        <rFont val="宋体"/>
        <family val="3"/>
        <charset val="134"/>
      </rPr>
      <t>年买</t>
    </r>
    <r>
      <rPr>
        <sz val="10"/>
        <color indexed="8"/>
        <rFont val="Arial"/>
        <family val="2"/>
      </rPr>
      <t>27</t>
    </r>
    <r>
      <rPr>
        <sz val="10"/>
        <color indexed="8"/>
        <rFont val="宋体"/>
        <family val="3"/>
        <charset val="134"/>
      </rPr>
      <t>个亿</t>
    </r>
    <phoneticPr fontId="3" type="noConversion"/>
  </si>
  <si>
    <r>
      <rPr>
        <sz val="10"/>
        <color indexed="8"/>
        <rFont val="宋体"/>
        <family val="3"/>
        <charset val="134"/>
      </rPr>
      <t>合计</t>
    </r>
    <r>
      <rPr>
        <sz val="10"/>
        <color indexed="8"/>
        <rFont val="Arial"/>
        <family val="2"/>
      </rPr>
      <t>33</t>
    </r>
    <r>
      <rPr>
        <sz val="10"/>
        <color indexed="8"/>
        <rFont val="宋体"/>
        <family val="3"/>
        <charset val="134"/>
      </rPr>
      <t>个亿</t>
    </r>
    <phoneticPr fontId="3" type="noConversion"/>
  </si>
  <si>
    <t>直线</t>
    <phoneticPr fontId="3" type="noConversion"/>
  </si>
  <si>
    <t>观察</t>
    <phoneticPr fontId="3" type="noConversion"/>
  </si>
  <si>
    <t>综合成新</t>
    <phoneticPr fontId="3" type="noConversion"/>
  </si>
  <si>
    <t>车库</t>
    <phoneticPr fontId="7" type="noConversion"/>
  </si>
  <si>
    <t>模拟售价</t>
    <phoneticPr fontId="7" type="noConversion"/>
  </si>
  <si>
    <t>地上办公</t>
    <phoneticPr fontId="7" type="noConversion"/>
  </si>
  <si>
    <t>合计</t>
    <phoneticPr fontId="7" type="noConversion"/>
  </si>
  <si>
    <t>单价</t>
    <phoneticPr fontId="7" type="noConversion"/>
  </si>
  <si>
    <r>
      <rPr>
        <sz val="10"/>
        <color indexed="8"/>
        <rFont val="宋体"/>
        <family val="3"/>
        <charset val="134"/>
      </rPr>
      <t>租赁面积</t>
    </r>
    <r>
      <rPr>
        <sz val="10"/>
        <color indexed="8"/>
        <rFont val="Arial"/>
        <family val="2"/>
      </rPr>
      <t>81000</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</si>
</sst>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000000"/>
      <name val="宋体"/>
      <family val="3"/>
      <charset val="134"/>
    </font>
    <font>
      <sz val="10"/>
      <color rgb="FF666666"/>
      <name val="宋体"/>
      <family val="3"/>
      <charset val="134"/>
    </font>
    <font>
      <sz val="11"/>
      <color rgb="FF000000"/>
      <name val="宋体"/>
      <family val="3"/>
      <charset val="134"/>
      <scheme val="minor"/>
    </font>
    <font>
      <sz val="10"/>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95" fillId="0" borderId="0"/>
    <xf numFmtId="43" fontId="95" fillId="0" borderId="0" applyFont="0" applyFill="0" applyBorder="0" applyAlignment="0" applyProtection="0">
      <alignment vertical="center"/>
    </xf>
    <xf numFmtId="0" fontId="147" fillId="0" borderId="0"/>
  </cellStyleXfs>
  <cellXfs count="36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53" fillId="22" borderId="1" xfId="4"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12" borderId="46" xfId="0" applyFont="1" applyFill="1" applyBorder="1" applyAlignment="1" applyProtection="1">
      <alignment horizontal="left" vertical="center"/>
      <protection locked="0"/>
    </xf>
    <xf numFmtId="0" fontId="47" fillId="12" borderId="36" xfId="0" applyFont="1" applyFill="1" applyBorder="1" applyAlignment="1" applyProtection="1">
      <alignment horizontal="left" vertical="center"/>
      <protection locked="0"/>
    </xf>
    <xf numFmtId="0" fontId="47" fillId="12" borderId="22" xfId="0" applyFont="1" applyFill="1" applyBorder="1" applyAlignment="1" applyProtection="1">
      <alignment horizontal="left" vertical="center"/>
      <protection locked="0"/>
    </xf>
    <xf numFmtId="0" fontId="47" fillId="12" borderId="58" xfId="0" applyFont="1" applyFill="1" applyBorder="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47" fillId="12" borderId="35" xfId="0" applyFont="1" applyFill="1" applyBorder="1" applyAlignment="1" applyProtection="1">
      <alignment horizontal="left" vertical="center"/>
      <protection locked="0"/>
    </xf>
    <xf numFmtId="0" fontId="47" fillId="12" borderId="4" xfId="0" applyFont="1" applyFill="1" applyBorder="1" applyAlignment="1" applyProtection="1">
      <alignment horizontal="left" vertical="center"/>
      <protection locked="0"/>
    </xf>
    <xf numFmtId="0" fontId="47" fillId="12" borderId="60" xfId="0" applyFont="1" applyFill="1" applyBorder="1" applyAlignment="1" applyProtection="1">
      <alignment horizontal="left" vertical="center"/>
      <protection locked="0"/>
    </xf>
    <xf numFmtId="0" fontId="47" fillId="12" borderId="7" xfId="0"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12" borderId="36" xfId="0" applyFont="1" applyFill="1" applyBorder="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44" fillId="0" borderId="23" xfId="10" applyFont="1" applyBorder="1" applyAlignment="1" applyProtection="1">
      <alignment horizontal="center" vertical="center" wrapText="1"/>
      <protection locked="0"/>
    </xf>
    <xf numFmtId="0" fontId="44" fillId="0" borderId="3" xfId="10" applyFont="1" applyBorder="1" applyAlignment="1" applyProtection="1">
      <alignment horizontal="center" vertical="center" wrapText="1"/>
      <protection locked="0"/>
    </xf>
    <xf numFmtId="0" fontId="128" fillId="0" borderId="46" xfId="10" applyFont="1" applyBorder="1" applyAlignment="1" applyProtection="1">
      <alignment horizontal="center" vertical="center" wrapText="1"/>
      <protection locked="0"/>
    </xf>
    <xf numFmtId="0" fontId="44" fillId="0" borderId="41" xfId="10" applyFont="1" applyBorder="1" applyAlignment="1" applyProtection="1">
      <alignment horizontal="center" vertical="center" wrapText="1"/>
      <protection locked="0"/>
    </xf>
    <xf numFmtId="0" fontId="44" fillId="0" borderId="7" xfId="10" applyFont="1" applyBorder="1" applyAlignment="1" applyProtection="1">
      <alignment horizontal="center" vertical="center" wrapText="1"/>
      <protection locked="0"/>
    </xf>
    <xf numFmtId="0" fontId="128" fillId="0" borderId="33" xfId="10" applyFont="1" applyBorder="1" applyAlignment="1" applyProtection="1">
      <alignment horizontal="center" vertical="center" wrapText="1"/>
      <protection locked="0"/>
    </xf>
    <xf numFmtId="0" fontId="51" fillId="0" borderId="37" xfId="10" applyFont="1" applyBorder="1" applyAlignment="1" applyProtection="1">
      <alignment horizontal="center" vertical="center" wrapText="1"/>
      <protection locked="0"/>
    </xf>
    <xf numFmtId="0" fontId="51" fillId="0" borderId="38" xfId="10" applyFont="1" applyBorder="1" applyAlignment="1" applyProtection="1">
      <alignment horizontal="center" vertical="center" wrapText="1"/>
      <protection locked="0"/>
    </xf>
    <xf numFmtId="0" fontId="44" fillId="0" borderId="12" xfId="10" applyFont="1" applyBorder="1" applyAlignment="1" applyProtection="1">
      <alignment horizontal="center" vertical="center" wrapText="1"/>
      <protection locked="0"/>
    </xf>
    <xf numFmtId="0" fontId="51" fillId="2" borderId="37" xfId="10" applyFont="1" applyFill="1" applyBorder="1" applyAlignment="1" applyProtection="1">
      <alignment horizontal="center" vertical="center" wrapText="1"/>
      <protection locked="0"/>
    </xf>
    <xf numFmtId="0" fontId="51" fillId="2" borderId="6" xfId="10" applyFont="1" applyFill="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0" fontId="49" fillId="0" borderId="0" xfId="10" applyFont="1" applyAlignment="1" applyProtection="1">
      <alignment horizontal="center" vertical="center"/>
      <protection locked="0"/>
    </xf>
    <xf numFmtId="0" fontId="51" fillId="2" borderId="23" xfId="10" applyFont="1" applyFill="1" applyBorder="1" applyAlignment="1" applyProtection="1">
      <alignment horizontal="center" vertical="center" wrapText="1"/>
      <protection locked="0"/>
    </xf>
    <xf numFmtId="9" fontId="44" fillId="0" borderId="37" xfId="10" applyNumberFormat="1" applyFont="1" applyBorder="1" applyAlignment="1" applyProtection="1">
      <alignment horizontal="center" vertical="center" wrapText="1"/>
      <protection locked="0"/>
    </xf>
    <xf numFmtId="0" fontId="128" fillId="0" borderId="5" xfId="10" applyFont="1" applyBorder="1" applyAlignment="1" applyProtection="1">
      <alignment horizontal="center" vertical="center" wrapText="1"/>
      <protection locked="0"/>
    </xf>
    <xf numFmtId="9" fontId="51" fillId="0" borderId="37" xfId="19" applyFont="1" applyBorder="1" applyAlignment="1" applyProtection="1">
      <alignment horizontal="center" vertical="center" wrapText="1"/>
      <protection locked="0"/>
    </xf>
    <xf numFmtId="9" fontId="44" fillId="0" borderId="41" xfId="10" applyNumberFormat="1" applyFont="1" applyBorder="1" applyAlignment="1" applyProtection="1">
      <alignment horizontal="center" vertical="center" wrapText="1"/>
      <protection locked="0"/>
    </xf>
    <xf numFmtId="0" fontId="94" fillId="0" borderId="38" xfId="10" applyFont="1" applyBorder="1" applyAlignment="1" applyProtection="1">
      <alignment horizontal="center" vertical="center" wrapText="1"/>
      <protection locked="0"/>
    </xf>
    <xf numFmtId="0" fontId="128" fillId="0" borderId="41" xfId="10" applyFont="1" applyBorder="1" applyAlignment="1" applyProtection="1">
      <alignment horizontal="center" vertical="center" wrapText="1"/>
      <protection locked="0"/>
    </xf>
    <xf numFmtId="0" fontId="44" fillId="0" borderId="13"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49" fillId="0" borderId="44"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271"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9" fontId="44" fillId="0" borderId="44" xfId="10" applyNumberFormat="1" applyFont="1" applyBorder="1" applyAlignment="1" applyProtection="1">
      <alignment horizontal="center" vertical="center" wrapText="1"/>
      <protection locked="0"/>
    </xf>
    <xf numFmtId="9" fontId="128" fillId="0" borderId="44" xfId="1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0" borderId="1" xfId="0" applyBorder="1" applyAlignment="1">
      <alignment horizontal="left" vertical="center"/>
    </xf>
    <xf numFmtId="0" fontId="95" fillId="14" borderId="1" xfId="0" applyFont="1" applyFill="1" applyBorder="1" applyAlignment="1">
      <alignment horizontal="left" vertical="center"/>
    </xf>
    <xf numFmtId="0" fontId="0" fillId="14" borderId="1" xfId="0" applyFill="1" applyBorder="1" applyAlignment="1">
      <alignment horizontal="left" vertical="center"/>
    </xf>
    <xf numFmtId="0" fontId="95" fillId="10" borderId="1" xfId="0" applyFont="1" applyFill="1" applyBorder="1" applyAlignment="1">
      <alignment horizontal="left" vertical="center"/>
    </xf>
    <xf numFmtId="0" fontId="0" fillId="10" borderId="1" xfId="0" applyFill="1" applyBorder="1" applyAlignment="1">
      <alignment horizontal="left" vertical="center"/>
    </xf>
    <xf numFmtId="0" fontId="95" fillId="5" borderId="1" xfId="0" applyFont="1" applyFill="1" applyBorder="1" applyAlignment="1">
      <alignment horizontal="left" vertical="center"/>
    </xf>
    <xf numFmtId="0" fontId="0" fillId="5" borderId="1" xfId="0" applyFill="1" applyBorder="1" applyAlignment="1">
      <alignment horizontal="left" vertical="center"/>
    </xf>
    <xf numFmtId="0" fontId="19" fillId="0" borderId="1" xfId="20" applyFont="1" applyBorder="1" applyAlignment="1">
      <alignment horizontal="left" vertical="center" wrapText="1"/>
    </xf>
    <xf numFmtId="176" fontId="19" fillId="0" borderId="1" xfId="20" applyNumberFormat="1" applyFont="1" applyBorder="1" applyAlignment="1">
      <alignment horizontal="left" vertical="center" wrapText="1"/>
    </xf>
    <xf numFmtId="0" fontId="19" fillId="23" borderId="1" xfId="20" applyFont="1" applyFill="1" applyBorder="1" applyAlignment="1">
      <alignment horizontal="left" vertical="center" wrapText="1"/>
    </xf>
    <xf numFmtId="183" fontId="19" fillId="0" borderId="1" xfId="20" applyNumberFormat="1" applyFont="1" applyBorder="1" applyAlignment="1">
      <alignment horizontal="left" vertical="center" wrapText="1"/>
    </xf>
    <xf numFmtId="0" fontId="107" fillId="0" borderId="0" xfId="20" applyFont="1" applyAlignment="1">
      <alignment horizontal="left" vertical="center"/>
    </xf>
    <xf numFmtId="0" fontId="19" fillId="0" borderId="1" xfId="20" applyFont="1" applyBorder="1" applyAlignment="1">
      <alignment horizontal="left" vertical="center"/>
    </xf>
    <xf numFmtId="176" fontId="19" fillId="0" borderId="1" xfId="20" applyNumberFormat="1" applyFont="1" applyBorder="1" applyAlignment="1">
      <alignment horizontal="left" vertical="center"/>
    </xf>
    <xf numFmtId="1" fontId="19" fillId="23" borderId="1" xfId="20" applyNumberFormat="1" applyFont="1" applyFill="1" applyBorder="1" applyAlignment="1">
      <alignment horizontal="left" vertical="center"/>
    </xf>
    <xf numFmtId="189" fontId="19" fillId="0" borderId="1" xfId="20" applyNumberFormat="1" applyFont="1" applyBorder="1" applyAlignment="1">
      <alignment horizontal="left" vertical="center"/>
    </xf>
    <xf numFmtId="1" fontId="19" fillId="0" borderId="1" xfId="20" applyNumberFormat="1" applyFont="1" applyBorder="1" applyAlignment="1">
      <alignment horizontal="left" vertical="center"/>
    </xf>
    <xf numFmtId="9" fontId="19" fillId="0" borderId="1" xfId="19" applyFont="1" applyBorder="1" applyAlignment="1">
      <alignment horizontal="left" vertical="center"/>
    </xf>
    <xf numFmtId="0" fontId="19" fillId="9" borderId="1" xfId="20" applyFont="1" applyFill="1" applyBorder="1" applyAlignment="1">
      <alignment horizontal="left" vertical="center" wrapText="1"/>
    </xf>
    <xf numFmtId="0" fontId="19" fillId="9" borderId="1" xfId="20" applyFont="1" applyFill="1" applyBorder="1" applyAlignment="1">
      <alignment horizontal="left" vertical="center"/>
    </xf>
    <xf numFmtId="176" fontId="19" fillId="9" borderId="1" xfId="20" applyNumberFormat="1" applyFont="1" applyFill="1" applyBorder="1" applyAlignment="1">
      <alignment horizontal="left" vertical="center"/>
    </xf>
    <xf numFmtId="1" fontId="19" fillId="9" borderId="1" xfId="20" applyNumberFormat="1" applyFont="1" applyFill="1" applyBorder="1" applyAlignment="1">
      <alignment horizontal="left" vertical="center"/>
    </xf>
    <xf numFmtId="189" fontId="19" fillId="9" borderId="13" xfId="20" applyNumberFormat="1" applyFont="1" applyFill="1" applyBorder="1" applyAlignment="1">
      <alignment horizontal="left" vertical="center" wrapText="1"/>
    </xf>
    <xf numFmtId="9" fontId="19" fillId="9" borderId="1" xfId="19" applyFont="1" applyFill="1" applyBorder="1" applyAlignment="1">
      <alignment horizontal="left" vertical="center"/>
    </xf>
    <xf numFmtId="0" fontId="107" fillId="9" borderId="0" xfId="20" applyFont="1" applyFill="1" applyAlignment="1">
      <alignment horizontal="left" vertical="center"/>
    </xf>
    <xf numFmtId="189" fontId="19" fillId="0" borderId="13" xfId="20" applyNumberFormat="1" applyFont="1" applyBorder="1" applyAlignment="1">
      <alignment horizontal="left" vertical="center" wrapText="1"/>
    </xf>
    <xf numFmtId="183" fontId="19" fillId="0" borderId="1" xfId="20" applyNumberFormat="1" applyFont="1" applyBorder="1" applyAlignment="1">
      <alignment horizontal="left" vertical="center"/>
    </xf>
    <xf numFmtId="0" fontId="19" fillId="23" borderId="1" xfId="20" applyFont="1" applyFill="1" applyBorder="1" applyAlignment="1">
      <alignment horizontal="left" vertical="center"/>
    </xf>
    <xf numFmtId="4" fontId="19" fillId="0" borderId="1" xfId="20" applyNumberFormat="1" applyFont="1" applyBorder="1" applyAlignment="1">
      <alignment horizontal="left" vertical="center"/>
    </xf>
    <xf numFmtId="9" fontId="19" fillId="0" borderId="1" xfId="19" applyFont="1" applyFill="1" applyBorder="1" applyAlignment="1">
      <alignment horizontal="left" vertical="center"/>
    </xf>
    <xf numFmtId="176" fontId="19" fillId="23" borderId="1" xfId="20" applyNumberFormat="1" applyFont="1" applyFill="1" applyBorder="1" applyAlignment="1">
      <alignment horizontal="left" vertical="center"/>
    </xf>
    <xf numFmtId="189" fontId="19" fillId="23" borderId="1" xfId="20" applyNumberFormat="1" applyFont="1" applyFill="1" applyBorder="1" applyAlignment="1">
      <alignment horizontal="left" vertical="center"/>
    </xf>
    <xf numFmtId="9" fontId="19" fillId="23" borderId="1" xfId="19" applyFont="1" applyFill="1" applyBorder="1" applyAlignment="1">
      <alignment horizontal="left" vertical="center"/>
    </xf>
    <xf numFmtId="0" fontId="107" fillId="23" borderId="0" xfId="20" applyFont="1" applyFill="1" applyAlignment="1">
      <alignment horizontal="left" vertical="center"/>
    </xf>
    <xf numFmtId="0" fontId="272" fillId="0" borderId="0" xfId="20" applyFont="1" applyAlignment="1">
      <alignment horizontal="left" vertical="center"/>
    </xf>
    <xf numFmtId="0" fontId="19" fillId="7" borderId="1" xfId="20" applyFont="1" applyFill="1" applyBorder="1" applyAlignment="1">
      <alignment horizontal="left" vertical="center" wrapText="1"/>
    </xf>
    <xf numFmtId="0" fontId="19" fillId="7" borderId="1" xfId="20" applyFont="1" applyFill="1" applyBorder="1" applyAlignment="1">
      <alignment horizontal="left" vertical="center"/>
    </xf>
    <xf numFmtId="176" fontId="19" fillId="7" borderId="1" xfId="20" applyNumberFormat="1" applyFont="1" applyFill="1" applyBorder="1" applyAlignment="1">
      <alignment horizontal="left" vertical="center"/>
    </xf>
    <xf numFmtId="189" fontId="19" fillId="7" borderId="1" xfId="20" applyNumberFormat="1" applyFont="1" applyFill="1" applyBorder="1" applyAlignment="1">
      <alignment horizontal="left" vertical="center"/>
    </xf>
    <xf numFmtId="1" fontId="19" fillId="7" borderId="1" xfId="20" applyNumberFormat="1" applyFont="1" applyFill="1" applyBorder="1" applyAlignment="1">
      <alignment horizontal="left" vertical="center"/>
    </xf>
    <xf numFmtId="9" fontId="19" fillId="7" borderId="1" xfId="19" applyFont="1" applyFill="1" applyBorder="1" applyAlignment="1">
      <alignment horizontal="left" vertical="center"/>
    </xf>
    <xf numFmtId="0" fontId="19" fillId="0" borderId="0" xfId="20" applyFont="1" applyAlignment="1">
      <alignment horizontal="left" vertical="center"/>
    </xf>
    <xf numFmtId="31" fontId="19" fillId="0" borderId="1" xfId="20" applyNumberFormat="1" applyFont="1" applyBorder="1" applyAlignment="1">
      <alignment horizontal="left" vertical="center" wrapText="1"/>
    </xf>
    <xf numFmtId="0" fontId="19" fillId="5" borderId="1" xfId="20" applyFont="1" applyFill="1" applyBorder="1" applyAlignment="1">
      <alignment horizontal="left" vertical="center" wrapText="1"/>
    </xf>
    <xf numFmtId="0" fontId="19" fillId="5" borderId="1" xfId="20" applyFont="1" applyFill="1" applyBorder="1" applyAlignment="1">
      <alignment horizontal="left" vertical="center"/>
    </xf>
    <xf numFmtId="176" fontId="19" fillId="5" borderId="1" xfId="20" applyNumberFormat="1" applyFont="1" applyFill="1" applyBorder="1" applyAlignment="1">
      <alignment horizontal="left" vertical="center"/>
    </xf>
    <xf numFmtId="2" fontId="19" fillId="5" borderId="1" xfId="20" applyNumberFormat="1" applyFont="1" applyFill="1" applyBorder="1" applyAlignment="1">
      <alignment horizontal="left" vertical="center"/>
    </xf>
    <xf numFmtId="1" fontId="19" fillId="5" borderId="1" xfId="20" applyNumberFormat="1" applyFont="1" applyFill="1" applyBorder="1" applyAlignment="1">
      <alignment horizontal="left" vertical="center"/>
    </xf>
    <xf numFmtId="189" fontId="19" fillId="5" borderId="13" xfId="20" applyNumberFormat="1" applyFont="1" applyFill="1" applyBorder="1" applyAlignment="1">
      <alignment horizontal="left" vertical="center" wrapText="1"/>
    </xf>
    <xf numFmtId="9" fontId="19" fillId="5" borderId="1" xfId="19" applyFont="1" applyFill="1" applyBorder="1" applyAlignment="1">
      <alignment horizontal="left" vertical="center"/>
    </xf>
    <xf numFmtId="0" fontId="107" fillId="5" borderId="0" xfId="20" applyFont="1" applyFill="1" applyAlignment="1">
      <alignment horizontal="left" vertical="center"/>
    </xf>
    <xf numFmtId="4" fontId="19" fillId="5" borderId="1" xfId="20" applyNumberFormat="1" applyFont="1" applyFill="1" applyBorder="1" applyAlignment="1">
      <alignment horizontal="left" vertical="center" wrapText="1"/>
    </xf>
    <xf numFmtId="176" fontId="19" fillId="5" borderId="1" xfId="20" applyNumberFormat="1" applyFont="1" applyFill="1" applyBorder="1" applyAlignment="1">
      <alignment horizontal="left" vertical="center" wrapText="1"/>
    </xf>
    <xf numFmtId="197" fontId="19" fillId="5" borderId="1" xfId="20" applyNumberFormat="1" applyFont="1" applyFill="1" applyBorder="1" applyAlignment="1">
      <alignment horizontal="left" vertical="center" wrapText="1"/>
    </xf>
    <xf numFmtId="3" fontId="19" fillId="5" borderId="1" xfId="20" applyNumberFormat="1" applyFont="1" applyFill="1" applyBorder="1" applyAlignment="1">
      <alignment horizontal="left" vertical="center" wrapText="1"/>
    </xf>
    <xf numFmtId="14" fontId="19" fillId="5" borderId="1" xfId="20" applyNumberFormat="1" applyFont="1" applyFill="1" applyBorder="1" applyAlignment="1">
      <alignment horizontal="left" vertical="center" wrapText="1"/>
    </xf>
    <xf numFmtId="183" fontId="19" fillId="5" borderId="1" xfId="20" applyNumberFormat="1" applyFont="1" applyFill="1" applyBorder="1" applyAlignment="1">
      <alignment horizontal="left" vertical="center" wrapText="1"/>
    </xf>
    <xf numFmtId="31" fontId="19" fillId="5" borderId="1" xfId="20" applyNumberFormat="1" applyFont="1" applyFill="1" applyBorder="1" applyAlignment="1">
      <alignment horizontal="left" vertical="center" wrapText="1"/>
    </xf>
    <xf numFmtId="0" fontId="19" fillId="0" borderId="0" xfId="20" applyFont="1" applyAlignment="1">
      <alignment horizontal="left" vertical="center" wrapText="1"/>
    </xf>
    <xf numFmtId="183" fontId="19" fillId="5" borderId="1" xfId="20" applyNumberFormat="1" applyFont="1" applyFill="1" applyBorder="1" applyAlignment="1">
      <alignment horizontal="left" vertical="center"/>
    </xf>
    <xf numFmtId="14" fontId="19" fillId="0" borderId="1" xfId="20" applyNumberFormat="1" applyFont="1" applyBorder="1" applyAlignment="1">
      <alignment horizontal="left" vertical="center" wrapText="1"/>
    </xf>
    <xf numFmtId="189" fontId="19" fillId="23" borderId="13" xfId="20" applyNumberFormat="1" applyFont="1" applyFill="1" applyBorder="1" applyAlignment="1">
      <alignment horizontal="left" vertical="center" wrapText="1"/>
    </xf>
    <xf numFmtId="58" fontId="19" fillId="0" borderId="1" xfId="20" applyNumberFormat="1" applyFont="1" applyBorder="1" applyAlignment="1">
      <alignment horizontal="left" vertical="center" wrapText="1"/>
    </xf>
    <xf numFmtId="43" fontId="19" fillId="0" borderId="1" xfId="21" applyFont="1" applyBorder="1" applyAlignment="1">
      <alignment horizontal="left" vertical="center"/>
    </xf>
    <xf numFmtId="0" fontId="147" fillId="0" borderId="0" xfId="22" applyAlignment="1">
      <alignment horizontal="left" vertical="center"/>
    </xf>
    <xf numFmtId="14" fontId="147" fillId="0" borderId="0" xfId="22" applyNumberFormat="1" applyAlignment="1">
      <alignment horizontal="left" vertical="center"/>
    </xf>
    <xf numFmtId="0" fontId="147" fillId="5" borderId="0" xfId="22" applyFill="1" applyAlignment="1">
      <alignment horizontal="left" vertical="center"/>
    </xf>
    <xf numFmtId="0" fontId="95" fillId="0" borderId="0" xfId="10" applyAlignment="1">
      <alignment horizontal="left" vertical="center"/>
    </xf>
    <xf numFmtId="14" fontId="95" fillId="0" borderId="0" xfId="10" applyNumberFormat="1" applyAlignment="1">
      <alignment horizontal="left"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0" fontId="51" fillId="0" borderId="37" xfId="10" applyNumberFormat="1"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74" fillId="12" borderId="0" xfId="0" applyFont="1" applyFill="1" applyProtection="1">
      <alignment vertical="center"/>
      <protection locked="0"/>
    </xf>
    <xf numFmtId="0" fontId="274" fillId="12" borderId="0" xfId="0" applyFont="1" applyFill="1" applyAlignment="1" applyProtection="1">
      <alignment horizontal="left" vertical="center"/>
      <protection locked="0"/>
    </xf>
    <xf numFmtId="0" fontId="77" fillId="12" borderId="4" xfId="0" applyFont="1" applyFill="1" applyBorder="1" applyAlignment="1" applyProtection="1">
      <alignment horizontal="left" vertical="center"/>
      <protection locked="0"/>
    </xf>
    <xf numFmtId="0" fontId="77" fillId="12" borderId="58" xfId="0" applyFont="1" applyFill="1" applyBorder="1" applyAlignment="1" applyProtection="1">
      <alignment horizontal="left" vertical="center"/>
      <protection locked="0"/>
    </xf>
    <xf numFmtId="0" fontId="128" fillId="0" borderId="0" xfId="0" applyFont="1" applyProtection="1">
      <alignment vertical="center"/>
      <protection locked="0"/>
    </xf>
    <xf numFmtId="0" fontId="128"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cellXfs>
  <cellStyles count="23">
    <cellStyle name="百分比" xfId="17" builtinId="5"/>
    <cellStyle name="百分比 2" xfId="14" xr:uid="{00000000-0005-0000-0000-000001000000}"/>
    <cellStyle name="百分比 3 2" xfId="19" xr:uid="{C9A33E62-BB03-4369-8261-99730595736A}"/>
    <cellStyle name="常规" xfId="0" builtinId="0"/>
    <cellStyle name="常规 10" xfId="22" xr:uid="{029B0C30-6526-4C6D-B885-0984D9612504}"/>
    <cellStyle name="常规 10 2" xfId="20" xr:uid="{7AD7B082-D945-403C-9495-5888570DA7A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2" xfId="21" xr:uid="{051FBE83-6299-4224-849B-BCAE3FA8467F}"/>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4C902BC7-24FA-4669-80D1-400AFE2A7D93}"/>
            </a:ext>
          </a:extLst>
        </xdr:cNvPr>
        <xdr:cNvPicPr>
          <a:picLocks noChangeAspect="1"/>
        </xdr:cNvPicPr>
      </xdr:nvPicPr>
      <xdr:blipFill>
        <a:blip xmlns:r="http://schemas.openxmlformats.org/officeDocument/2006/relationships" r:embed="rId1"/>
        <a:stretch>
          <a:fillRect/>
        </a:stretch>
      </xdr:blipFill>
      <xdr:spPr>
        <a:xfrm>
          <a:off x="0" y="7345680"/>
          <a:ext cx="16722132" cy="6838038"/>
        </a:xfrm>
        <a:prstGeom prst="rect">
          <a:avLst/>
        </a:prstGeom>
      </xdr:spPr>
    </xdr:pic>
    <xdr:clientData/>
  </xdr:twoCellAnchor>
  <xdr:twoCellAnchor editAs="oneCell">
    <xdr:from>
      <xdr:col>0</xdr:col>
      <xdr:colOff>0</xdr:colOff>
      <xdr:row>85</xdr:row>
      <xdr:rowOff>0</xdr:rowOff>
    </xdr:from>
    <xdr:to>
      <xdr:col>13</xdr:col>
      <xdr:colOff>444634</xdr:colOff>
      <xdr:row>126</xdr:row>
      <xdr:rowOff>168585</xdr:rowOff>
    </xdr:to>
    <xdr:pic>
      <xdr:nvPicPr>
        <xdr:cNvPr id="3" name="图片 2">
          <a:extLst>
            <a:ext uri="{FF2B5EF4-FFF2-40B4-BE49-F238E27FC236}">
              <a16:creationId xmlns:a16="http://schemas.microsoft.com/office/drawing/2014/main" id="{812C5445-7A8E-4F33-8905-2FD309962855}"/>
            </a:ext>
          </a:extLst>
        </xdr:cNvPr>
        <xdr:cNvPicPr>
          <a:picLocks noChangeAspect="1"/>
        </xdr:cNvPicPr>
      </xdr:nvPicPr>
      <xdr:blipFill>
        <a:blip xmlns:r="http://schemas.openxmlformats.org/officeDocument/2006/relationships" r:embed="rId2"/>
        <a:stretch>
          <a:fillRect/>
        </a:stretch>
      </xdr:blipFill>
      <xdr:spPr>
        <a:xfrm>
          <a:off x="0" y="14573250"/>
          <a:ext cx="10141084" cy="71980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025\2025-1-0656&#21271;&#20140;&#24066;&#19996;&#22478;&#21306;&#24314;&#22269;&#38376;&#21271;&#22823;&#34903;8&#21495;&#21150;&#20844;&#29992;&#25151;&#25151;&#22320;&#20135;&#25269;&#25276;&#20215;&#20540;&#35780;&#20272;\P03&#24037;&#34892;\&#26368;&#32456;\&#20132;&#34892;\&#20108;&#23457;&#20462;&#25913;-&#27979;&#31639;&#34920;-&#21326;&#28070;&#22823;&#21414;29&#20159;-&#24352;&#27901;-&#20108;&#23457;-&#23828;&#38196;20250828-110016.xlsx" TargetMode="External"/><Relationship Id="rId1" Type="http://schemas.openxmlformats.org/officeDocument/2006/relationships/externalLinkPath" Target="file:///D:\2025\2025-1-0656&#21271;&#20140;&#24066;&#19996;&#22478;&#21306;&#24314;&#22269;&#38376;&#21271;&#22823;&#34903;8&#21495;&#21150;&#20844;&#29992;&#25151;&#25151;&#22320;&#20135;&#25269;&#25276;&#20215;&#20540;&#35780;&#20272;\P03&#24037;&#34892;\&#26368;&#32456;\&#20132;&#34892;\&#20108;&#23457;&#20462;&#25913;-&#27979;&#31639;&#34920;-&#21326;&#28070;&#22823;&#21414;29&#20159;-&#24352;&#27901;-&#20108;&#23457;-&#23828;&#38196;20250828-11001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025\2025&#35810;&#20215;\11&#26376;\&#38376;&#22836;&#27807;&#40857;&#28246;&#22825;&#34903;\11.4&#38271;&#23433;&#40857;&#28246;&#22825;&#34903;-2025-&#35797;&#32463;&#33829;&#25910;&#30410;&#25910;&#30410;&#27861;.xlsx" TargetMode="External"/><Relationship Id="rId1" Type="http://schemas.openxmlformats.org/officeDocument/2006/relationships/externalLinkPath" Target="file:///D:\2025\2025&#35810;&#20215;\11&#26376;\&#38376;&#22836;&#27807;&#40857;&#28246;&#22825;&#34903;\11.4&#38271;&#23433;&#40857;&#28246;&#22825;&#34903;-2025-&#35797;&#32463;&#33829;&#25910;&#30410;&#25910;&#30410;&#278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5&#24180;/2025-1-0331-&#32418;&#20891;&#33829;&#26262;&#23665;&#29983;&#27963;/P01/&#26368;&#32456;/&#30005;&#31639;&#34920;-&#32418;&#20891;&#33829;&#21335;&#36335;&#26262;&#23665;&#29983;&#279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丽金智地中心"/>
      <sheetName val="中海国际中心"/>
      <sheetName val="启华大厦"/>
      <sheetName val="新景商务楼"/>
      <sheetName val="定义"/>
      <sheetName val="常用公式"/>
      <sheetName val="项目基本情况"/>
      <sheetName val="数据-基础表"/>
      <sheetName val="数据-汇总表"/>
      <sheetName val="数据-取费表"/>
      <sheetName val="估价对象房地状况"/>
      <sheetName val="系统读取表"/>
      <sheetName val="结果表"/>
      <sheetName val="商业大宗"/>
      <sheetName val="乐华大厦"/>
      <sheetName val="悦荣中心"/>
      <sheetName val="中海金融中心"/>
      <sheetName val="租约"/>
      <sheetName val="比较法-办公"/>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办公-收益法"/>
      <sheetName val="车库-收益法"/>
      <sheetName val="商业-收益法"/>
      <sheetName val="成本法"/>
      <sheetName val="基准地价修正"/>
      <sheetName val="Sheet4"/>
      <sheetName val="Sheet5"/>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sheetData sheetId="10"/>
      <sheetData sheetId="11"/>
      <sheetData sheetId="12"/>
      <sheetData sheetId="13">
        <row r="1">
          <cell r="A1" t="str">
            <v>用途类型</v>
          </cell>
        </row>
      </sheetData>
      <sheetData sheetId="14"/>
      <sheetData sheetId="15">
        <row r="15">
          <cell r="E15">
            <v>21.08</v>
          </cell>
        </row>
      </sheetData>
      <sheetData sheetId="16"/>
      <sheetData sheetId="17">
        <row r="17">
          <cell r="C17" t="str">
            <v>项目类型</v>
          </cell>
        </row>
      </sheetData>
      <sheetData sheetId="18">
        <row r="2">
          <cell r="B2">
            <v>45882</v>
          </cell>
        </row>
      </sheetData>
      <sheetData sheetId="19"/>
      <sheetData sheetId="20"/>
      <sheetData sheetId="21"/>
      <sheetData sheetId="22"/>
      <sheetData sheetId="23">
        <row r="2">
          <cell r="A2">
            <v>45195.333831018499</v>
          </cell>
        </row>
        <row r="14">
          <cell r="M14">
            <v>10575.420000000002</v>
          </cell>
        </row>
      </sheetData>
      <sheetData sheetId="24">
        <row r="2">
          <cell r="A2">
            <v>45308.333831018499</v>
          </cell>
        </row>
        <row r="20">
          <cell r="M20">
            <v>15106.53</v>
          </cell>
        </row>
      </sheetData>
      <sheetData sheetId="25">
        <row r="2">
          <cell r="A2">
            <v>45657.333831018499</v>
          </cell>
        </row>
        <row r="42">
          <cell r="L42">
            <v>32725.310000000005</v>
          </cell>
        </row>
      </sheetData>
      <sheetData sheetId="26"/>
      <sheetData sheetId="27"/>
      <sheetData sheetId="28"/>
      <sheetData sheetId="29"/>
      <sheetData sheetId="30"/>
      <sheetData sheetId="31"/>
      <sheetData sheetId="32"/>
      <sheetData sheetId="33">
        <row r="61">
          <cell r="A61" t="str">
            <v>交易情况</v>
          </cell>
        </row>
      </sheetData>
      <sheetData sheetId="34">
        <row r="61">
          <cell r="A61" t="str">
            <v>交易情况</v>
          </cell>
        </row>
      </sheetData>
      <sheetData sheetId="35">
        <row r="55">
          <cell r="A55" t="str">
            <v>交易情况</v>
          </cell>
        </row>
      </sheetData>
      <sheetData sheetId="36">
        <row r="51">
          <cell r="A51" t="str">
            <v>交易情况</v>
          </cell>
        </row>
      </sheetData>
      <sheetData sheetId="37">
        <row r="49">
          <cell r="A49" t="str">
            <v>交易情况</v>
          </cell>
        </row>
      </sheetData>
      <sheetData sheetId="38">
        <row r="72">
          <cell r="A72" t="str">
            <v>交易情况</v>
          </cell>
        </row>
      </sheetData>
      <sheetData sheetId="39">
        <row r="70">
          <cell r="B70" t="str">
            <v>用途</v>
          </cell>
        </row>
      </sheetData>
      <sheetData sheetId="40">
        <row r="5">
          <cell r="B5" t="str">
            <v>修正项2</v>
          </cell>
        </row>
      </sheetData>
      <sheetData sheetId="41"/>
      <sheetData sheetId="42"/>
      <sheetData sheetId="43"/>
      <sheetData sheetId="44"/>
      <sheetData sheetId="45"/>
      <sheetData sheetId="46"/>
      <sheetData sheetId="47"/>
      <sheetData sheetId="48"/>
      <sheetData sheetId="49">
        <row r="8">
          <cell r="A8" t="str">
            <v>通路</v>
          </cell>
        </row>
      </sheetData>
      <sheetData sheetId="50"/>
      <sheetData sheetId="51"/>
      <sheetData sheetId="52"/>
      <sheetData sheetId="53"/>
      <sheetData sheetId="54"/>
      <sheetData sheetId="55"/>
      <sheetData sheetId="56"/>
      <sheetData sheetId="5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Sheet1"/>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收益法"/>
      <sheetName val="Sheet2"/>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1">
          <cell r="F41">
            <v>29.35</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估价对象为北京市房地产，为所有。根据《国有土地使用证》[]，估价对象（分摊）出让国有建设用地使用权面积为0平方米，建筑面积为99989.78平方米。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估价对象为北京市房地产,属开发建设的，该项目尚在开发建设中。根据《国有土地使用证》[]，估价对象（分摊）出让国有建设用地使用权面积为0平方米，规划建筑面积为99989.78平方米。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2025年11月12日（评估专业人员实地查勘之日）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99989.78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9B8DF-AFFC-4603-8CC8-AC1619B56373}">
  <dimension ref="A1:K26"/>
  <sheetViews>
    <sheetView workbookViewId="0">
      <selection activeCell="F29" sqref="F29"/>
    </sheetView>
  </sheetViews>
  <sheetFormatPr defaultRowHeight="13.5"/>
  <cols>
    <col min="1" max="1" width="13" style="2814" bestFit="1" customWidth="1"/>
    <col min="2" max="2" width="11" style="2814" bestFit="1" customWidth="1"/>
    <col min="3" max="3" width="5.25" style="2814" bestFit="1" customWidth="1"/>
    <col min="4" max="4" width="9" style="2814"/>
    <col min="5" max="5" width="10" style="2814" bestFit="1" customWidth="1"/>
    <col min="6" max="6" width="44.25" style="2814" bestFit="1" customWidth="1"/>
    <col min="7" max="7" width="19.25" style="2814" bestFit="1" customWidth="1"/>
    <col min="8" max="16384" width="9" style="2814"/>
  </cols>
  <sheetData>
    <row r="1" spans="1:11">
      <c r="A1" s="1429" t="s">
        <v>3489</v>
      </c>
      <c r="B1" s="1429" t="s">
        <v>3490</v>
      </c>
      <c r="C1" s="1429"/>
      <c r="E1" s="1429" t="s">
        <v>3493</v>
      </c>
      <c r="F1" s="1429" t="s">
        <v>3494</v>
      </c>
      <c r="G1" s="3555"/>
    </row>
    <row r="2" spans="1:11">
      <c r="A2" s="1429" t="s">
        <v>3492</v>
      </c>
      <c r="B2" s="1429" t="s">
        <v>3491</v>
      </c>
      <c r="C2" s="1429" t="s">
        <v>2533</v>
      </c>
      <c r="E2" s="1429" t="s">
        <v>3492</v>
      </c>
      <c r="F2" s="1429" t="s">
        <v>3491</v>
      </c>
      <c r="G2" s="1429" t="s">
        <v>2533</v>
      </c>
    </row>
    <row r="3" spans="1:11">
      <c r="A3" s="3555">
        <v>-201</v>
      </c>
      <c r="B3" s="3555">
        <v>8129.2</v>
      </c>
      <c r="C3" s="1429" t="s">
        <v>3507</v>
      </c>
      <c r="E3" s="3555">
        <v>-301</v>
      </c>
      <c r="F3" s="3555">
        <v>4169.6000000000004</v>
      </c>
      <c r="G3" s="1429" t="s">
        <v>3504</v>
      </c>
      <c r="K3" s="1421"/>
    </row>
    <row r="4" spans="1:11">
      <c r="A4" s="3555">
        <v>-101</v>
      </c>
      <c r="B4" s="3555">
        <v>8371.01</v>
      </c>
      <c r="C4" s="1429" t="s">
        <v>3507</v>
      </c>
      <c r="E4" s="3555">
        <v>-302</v>
      </c>
      <c r="F4" s="3555">
        <v>273.13</v>
      </c>
      <c r="G4" s="3555" t="s">
        <v>3503</v>
      </c>
    </row>
    <row r="5" spans="1:11">
      <c r="A5" s="3555">
        <v>101</v>
      </c>
      <c r="B5" s="3555">
        <v>6311.44</v>
      </c>
      <c r="C5" s="1429" t="s">
        <v>3463</v>
      </c>
      <c r="E5" s="3555">
        <v>-201</v>
      </c>
      <c r="F5" s="3555">
        <v>6711.03</v>
      </c>
      <c r="G5" s="3555" t="s">
        <v>3503</v>
      </c>
    </row>
    <row r="6" spans="1:11">
      <c r="A6" s="3555">
        <v>201</v>
      </c>
      <c r="B6" s="3555">
        <v>5458.34</v>
      </c>
      <c r="C6" s="3555" t="s">
        <v>673</v>
      </c>
      <c r="E6" s="3555">
        <v>-101</v>
      </c>
      <c r="F6" s="3555">
        <v>8338.8700000000008</v>
      </c>
      <c r="G6" s="1429" t="s">
        <v>3505</v>
      </c>
    </row>
    <row r="7" spans="1:11">
      <c r="A7" s="3555">
        <v>301</v>
      </c>
      <c r="B7" s="3555">
        <v>5464.13</v>
      </c>
      <c r="C7" s="3555" t="s">
        <v>673</v>
      </c>
      <c r="E7" s="3555">
        <v>101</v>
      </c>
      <c r="F7" s="3555">
        <v>5849.01</v>
      </c>
      <c r="G7" s="1429" t="s">
        <v>3506</v>
      </c>
    </row>
    <row r="8" spans="1:11">
      <c r="A8" s="3555">
        <v>401</v>
      </c>
      <c r="B8" s="3555">
        <v>5458.04</v>
      </c>
      <c r="C8" s="3555" t="s">
        <v>673</v>
      </c>
      <c r="E8" s="3555">
        <v>201</v>
      </c>
      <c r="F8" s="3555">
        <v>5518.99</v>
      </c>
      <c r="G8" s="1429" t="s">
        <v>3506</v>
      </c>
    </row>
    <row r="9" spans="1:11">
      <c r="A9" s="3555">
        <v>501</v>
      </c>
      <c r="B9" s="3555">
        <v>4881.58</v>
      </c>
      <c r="C9" s="3555" t="s">
        <v>673</v>
      </c>
      <c r="E9" s="3555">
        <v>301</v>
      </c>
      <c r="F9" s="3555">
        <v>5900.72</v>
      </c>
      <c r="G9" s="1429" t="s">
        <v>3506</v>
      </c>
    </row>
    <row r="10" spans="1:11">
      <c r="A10" s="3555">
        <v>601</v>
      </c>
      <c r="B10" s="3555">
        <v>4881.58</v>
      </c>
      <c r="C10" s="3555" t="s">
        <v>673</v>
      </c>
      <c r="E10" s="3555">
        <v>302</v>
      </c>
      <c r="F10" s="3555">
        <v>1589.65</v>
      </c>
      <c r="G10" s="1429" t="s">
        <v>3506</v>
      </c>
    </row>
    <row r="11" spans="1:11">
      <c r="A11" s="3555"/>
      <c r="B11" s="3555">
        <f>SUM(B3:B10)</f>
        <v>48955.32</v>
      </c>
      <c r="C11" s="3555"/>
      <c r="E11" s="3555">
        <v>401</v>
      </c>
      <c r="F11" s="3555">
        <v>5896.01</v>
      </c>
      <c r="G11" s="1429" t="s">
        <v>3506</v>
      </c>
    </row>
    <row r="12" spans="1:11">
      <c r="A12" s="3555"/>
      <c r="B12" s="3555"/>
      <c r="C12" s="3555"/>
      <c r="E12" s="3555">
        <v>501</v>
      </c>
      <c r="F12" s="3555">
        <v>5896.01</v>
      </c>
      <c r="G12" s="1429" t="s">
        <v>3506</v>
      </c>
    </row>
    <row r="13" spans="1:11">
      <c r="A13" s="3556" t="s">
        <v>3508</v>
      </c>
      <c r="B13" s="3557">
        <f>SUM(B5:B10)</f>
        <v>32455.11</v>
      </c>
      <c r="C13" s="3555"/>
      <c r="E13" s="1429" t="s">
        <v>3495</v>
      </c>
      <c r="F13" s="3555">
        <v>109.51</v>
      </c>
      <c r="G13" s="3555"/>
    </row>
    <row r="14" spans="1:11">
      <c r="A14" s="3556" t="s">
        <v>3504</v>
      </c>
      <c r="B14" s="3557">
        <f>SUM(B3:B4)</f>
        <v>16500.21</v>
      </c>
      <c r="C14" s="3555"/>
      <c r="E14" s="1429" t="s">
        <v>3496</v>
      </c>
      <c r="F14" s="3555">
        <v>80.48</v>
      </c>
      <c r="G14" s="3555"/>
    </row>
    <row r="15" spans="1:11">
      <c r="A15" s="3557"/>
      <c r="B15" s="3557">
        <f>SUM(B13:B14)</f>
        <v>48955.32</v>
      </c>
      <c r="C15" s="3555"/>
      <c r="E15" s="1429" t="s">
        <v>3497</v>
      </c>
      <c r="F15" s="3555">
        <v>146.46</v>
      </c>
      <c r="G15" s="3555"/>
    </row>
    <row r="16" spans="1:11">
      <c r="E16" s="1429" t="s">
        <v>3498</v>
      </c>
      <c r="F16" s="3555">
        <v>95.1</v>
      </c>
      <c r="G16" s="3555"/>
    </row>
    <row r="17" spans="1:7">
      <c r="E17" s="1429" t="s">
        <v>3499</v>
      </c>
      <c r="F17" s="3555">
        <v>115.98</v>
      </c>
      <c r="G17" s="3555"/>
    </row>
    <row r="18" spans="1:7">
      <c r="E18" s="1429" t="s">
        <v>3500</v>
      </c>
      <c r="F18" s="3555">
        <v>86.93</v>
      </c>
      <c r="G18" s="3555"/>
    </row>
    <row r="19" spans="1:7">
      <c r="A19" s="3558" t="s">
        <v>3508</v>
      </c>
      <c r="B19" s="3559">
        <f>B13+F23</f>
        <v>63105.500000000007</v>
      </c>
      <c r="E19" s="1429" t="s">
        <v>3501</v>
      </c>
      <c r="F19" s="3555">
        <v>134.62</v>
      </c>
      <c r="G19" s="3555"/>
    </row>
    <row r="20" spans="1:7">
      <c r="A20" s="3558" t="s">
        <v>3504</v>
      </c>
      <c r="B20" s="3559">
        <f>B14+F24</f>
        <v>35992.839999999997</v>
      </c>
      <c r="E20" s="1429" t="s">
        <v>3502</v>
      </c>
      <c r="F20" s="3555">
        <v>122.36</v>
      </c>
      <c r="G20" s="3555"/>
    </row>
    <row r="21" spans="1:7">
      <c r="A21" s="3558" t="s">
        <v>3511</v>
      </c>
      <c r="B21" s="3559">
        <f>F25</f>
        <v>891.44</v>
      </c>
      <c r="E21" s="3555"/>
      <c r="F21" s="3555">
        <f>SUM(F3:F20)</f>
        <v>51034.460000000014</v>
      </c>
      <c r="G21" s="3555"/>
    </row>
    <row r="22" spans="1:7">
      <c r="A22" s="3560" t="s">
        <v>2582</v>
      </c>
      <c r="B22" s="3561">
        <f>SUM(B19:B21)</f>
        <v>99989.78</v>
      </c>
      <c r="E22" s="3555"/>
      <c r="F22" s="3555"/>
      <c r="G22" s="3555"/>
    </row>
    <row r="23" spans="1:7">
      <c r="E23" s="3556" t="s">
        <v>3508</v>
      </c>
      <c r="F23" s="3557">
        <f>SUM(F7:F12)</f>
        <v>30650.390000000007</v>
      </c>
      <c r="G23" s="3555"/>
    </row>
    <row r="24" spans="1:7">
      <c r="E24" s="3556" t="s">
        <v>3504</v>
      </c>
      <c r="F24" s="3557">
        <f>SUM(F3:F6)</f>
        <v>19492.63</v>
      </c>
      <c r="G24" s="3555"/>
    </row>
    <row r="25" spans="1:7">
      <c r="E25" s="3556" t="s">
        <v>3509</v>
      </c>
      <c r="F25" s="3557">
        <f>SUM(F13:F20)</f>
        <v>891.44</v>
      </c>
      <c r="G25" s="3555"/>
    </row>
    <row r="26" spans="1:7">
      <c r="E26" s="3557"/>
      <c r="F26" s="3557">
        <f>SUM(F23:F25)</f>
        <v>51034.460000000006</v>
      </c>
      <c r="G26" s="3555"/>
    </row>
  </sheetData>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C6B48-69DE-46C3-BA38-3C5744F3BE0C}">
  <dimension ref="A1:W3455"/>
  <sheetViews>
    <sheetView workbookViewId="0">
      <pane xSplit="2" ySplit="1" topLeftCell="C8" activePane="bottomRight" state="frozen"/>
      <selection activeCell="K104" sqref="K104"/>
      <selection pane="topRight" activeCell="K104" sqref="K104"/>
      <selection pane="bottomLeft" activeCell="K104" sqref="K104"/>
      <selection pane="bottomRight" activeCell="L9" sqref="L9"/>
    </sheetView>
  </sheetViews>
  <sheetFormatPr defaultColWidth="8.875" defaultRowHeight="12"/>
  <cols>
    <col min="1" max="1" width="9" style="3566" bestFit="1" customWidth="1"/>
    <col min="2" max="7" width="8.875" style="3566"/>
    <col min="8" max="8" width="11.25" style="3566" bestFit="1" customWidth="1"/>
    <col min="9" max="9" width="12.5" style="3566" customWidth="1"/>
    <col min="10" max="11" width="11.75" style="3566" customWidth="1"/>
    <col min="12" max="12" width="12.25" style="3566" bestFit="1" customWidth="1"/>
    <col min="13" max="13" width="9" style="3566" bestFit="1" customWidth="1"/>
    <col min="14" max="14" width="11.25" style="3588" bestFit="1" customWidth="1"/>
    <col min="15" max="15" width="8.875" style="3566"/>
    <col min="16" max="16" width="15.5" style="3566" customWidth="1"/>
    <col min="17" max="17" width="53.875" style="3566" customWidth="1"/>
    <col min="18" max="18" width="8.875" style="3566"/>
    <col min="19" max="20" width="9" style="3566" bestFit="1" customWidth="1"/>
    <col min="21" max="21" width="8.875" style="3566"/>
    <col min="22" max="22" width="9" style="3566" bestFit="1" customWidth="1"/>
    <col min="23" max="16384" width="8.875" style="3566"/>
  </cols>
  <sheetData>
    <row r="1" spans="1:23" ht="48">
      <c r="A1" s="3562" t="s">
        <v>3513</v>
      </c>
      <c r="B1" s="3562" t="s">
        <v>3514</v>
      </c>
      <c r="C1" s="3562" t="s">
        <v>3515</v>
      </c>
      <c r="D1" s="3562" t="s">
        <v>3516</v>
      </c>
      <c r="E1" s="3562" t="s">
        <v>3517</v>
      </c>
      <c r="F1" s="3562" t="s">
        <v>3518</v>
      </c>
      <c r="G1" s="3562" t="s">
        <v>672</v>
      </c>
      <c r="H1" s="3562" t="s">
        <v>3519</v>
      </c>
      <c r="I1" s="3562" t="s">
        <v>3520</v>
      </c>
      <c r="J1" s="3563" t="s">
        <v>3521</v>
      </c>
      <c r="K1" s="3562" t="s">
        <v>3522</v>
      </c>
      <c r="L1" s="3562" t="s">
        <v>3523</v>
      </c>
      <c r="M1" s="3564" t="s">
        <v>3524</v>
      </c>
      <c r="N1" s="3562" t="s">
        <v>3525</v>
      </c>
      <c r="O1" s="3562" t="s">
        <v>3526</v>
      </c>
      <c r="P1" s="3565" t="s">
        <v>3527</v>
      </c>
      <c r="Q1" s="3562" t="s">
        <v>3528</v>
      </c>
      <c r="R1" s="3562" t="s">
        <v>3529</v>
      </c>
      <c r="S1" s="3562" t="s">
        <v>3530</v>
      </c>
      <c r="T1" s="3562" t="s">
        <v>3531</v>
      </c>
      <c r="U1" s="3562" t="s">
        <v>3532</v>
      </c>
      <c r="V1" s="3562" t="s">
        <v>3533</v>
      </c>
      <c r="W1" s="3562" t="s">
        <v>3534</v>
      </c>
    </row>
    <row r="2" spans="1:23" ht="60" customHeight="1">
      <c r="A2" s="3562">
        <v>515</v>
      </c>
      <c r="B2" s="3562" t="s">
        <v>3535</v>
      </c>
      <c r="C2" s="3567" t="s">
        <v>3536</v>
      </c>
      <c r="D2" s="3567" t="s">
        <v>3537</v>
      </c>
      <c r="E2" s="3567" t="s">
        <v>3538</v>
      </c>
      <c r="F2" s="3567" t="s">
        <v>3539</v>
      </c>
      <c r="G2" s="3562" t="s">
        <v>3540</v>
      </c>
      <c r="H2" s="3567"/>
      <c r="I2" s="3567">
        <v>11420.48</v>
      </c>
      <c r="J2" s="3568">
        <v>11420.48</v>
      </c>
      <c r="K2" s="3567"/>
      <c r="L2" s="3567">
        <v>43794.81</v>
      </c>
      <c r="M2" s="3569">
        <v>38348</v>
      </c>
      <c r="N2" s="3567">
        <v>38347.608857070802</v>
      </c>
      <c r="O2" s="3567" t="s">
        <v>3541</v>
      </c>
      <c r="P2" s="3570">
        <v>44958</v>
      </c>
      <c r="Q2" s="3562" t="s">
        <v>3542</v>
      </c>
      <c r="R2" s="3567" t="s">
        <v>3543</v>
      </c>
      <c r="S2" s="3567"/>
      <c r="T2" s="3571">
        <v>0</v>
      </c>
      <c r="U2" s="3567"/>
      <c r="V2" s="3572" t="e">
        <v>#DIV/0!</v>
      </c>
      <c r="W2" s="3567" t="s">
        <v>3544</v>
      </c>
    </row>
    <row r="3" spans="1:23" s="3579" customFormat="1" ht="60" customHeight="1">
      <c r="A3" s="3573">
        <v>519</v>
      </c>
      <c r="B3" s="3573" t="s">
        <v>3545</v>
      </c>
      <c r="C3" s="3573" t="s">
        <v>3546</v>
      </c>
      <c r="D3" s="3574" t="s">
        <v>3547</v>
      </c>
      <c r="E3" s="3574" t="s">
        <v>3548</v>
      </c>
      <c r="F3" s="3573" t="s">
        <v>3549</v>
      </c>
      <c r="G3" s="3573" t="s">
        <v>3550</v>
      </c>
      <c r="H3" s="3574">
        <v>13052.13</v>
      </c>
      <c r="I3" s="3575">
        <v>85161.1</v>
      </c>
      <c r="J3" s="3575">
        <v>56789.34</v>
      </c>
      <c r="K3" s="3574">
        <v>28371.759999999998</v>
      </c>
      <c r="L3" s="3574">
        <v>281000</v>
      </c>
      <c r="M3" s="3576">
        <v>32996</v>
      </c>
      <c r="N3" s="3574">
        <v>49481.117406893602</v>
      </c>
      <c r="O3" s="3574" t="s">
        <v>3551</v>
      </c>
      <c r="P3" s="3577" t="s">
        <v>3552</v>
      </c>
      <c r="Q3" s="3573" t="s">
        <v>3553</v>
      </c>
      <c r="R3" s="3574" t="s">
        <v>3554</v>
      </c>
      <c r="S3" s="3574"/>
      <c r="T3" s="3576">
        <v>0</v>
      </c>
      <c r="U3" s="3574" t="s">
        <v>3555</v>
      </c>
      <c r="V3" s="3578" t="e">
        <v>#DIV/0!</v>
      </c>
      <c r="W3" s="3574" t="s">
        <v>3556</v>
      </c>
    </row>
    <row r="4" spans="1:23" ht="60" customHeight="1">
      <c r="A4" s="3562">
        <v>524</v>
      </c>
      <c r="B4" s="3562" t="s">
        <v>3557</v>
      </c>
      <c r="C4" s="3562" t="s">
        <v>3558</v>
      </c>
      <c r="D4" s="3567" t="s">
        <v>3547</v>
      </c>
      <c r="E4" s="3567" t="s">
        <v>3559</v>
      </c>
      <c r="F4" s="3562" t="s">
        <v>3560</v>
      </c>
      <c r="G4" s="3562" t="s">
        <v>673</v>
      </c>
      <c r="H4" s="3567"/>
      <c r="I4" s="3567">
        <v>1665.1</v>
      </c>
      <c r="J4" s="3568">
        <v>1665.1</v>
      </c>
      <c r="K4" s="3567"/>
      <c r="L4" s="3567">
        <v>5516.6790000000001</v>
      </c>
      <c r="M4" s="3569">
        <v>33131</v>
      </c>
      <c r="N4" s="3562">
        <v>33131.217344303601</v>
      </c>
      <c r="O4" s="3562" t="s">
        <v>3561</v>
      </c>
      <c r="P4" s="3580">
        <v>44986</v>
      </c>
      <c r="Q4" s="3562" t="s">
        <v>3562</v>
      </c>
      <c r="R4" s="3567" t="s">
        <v>3563</v>
      </c>
      <c r="S4" s="3567">
        <v>6050.97</v>
      </c>
      <c r="T4" s="3571">
        <v>36339.979580806001</v>
      </c>
      <c r="U4" s="3567"/>
      <c r="V4" s="3572">
        <v>0.91170159495089198</v>
      </c>
      <c r="W4" s="3567" t="s">
        <v>3564</v>
      </c>
    </row>
    <row r="5" spans="1:23" ht="60" customHeight="1">
      <c r="A5" s="3562">
        <v>535</v>
      </c>
      <c r="B5" s="3562" t="s">
        <v>3565</v>
      </c>
      <c r="C5" s="3567" t="s">
        <v>3566</v>
      </c>
      <c r="D5" s="3567" t="s">
        <v>3567</v>
      </c>
      <c r="E5" s="3567" t="s">
        <v>3568</v>
      </c>
      <c r="F5" s="3562" t="s">
        <v>3569</v>
      </c>
      <c r="G5" s="3562" t="s">
        <v>673</v>
      </c>
      <c r="H5" s="3567">
        <v>977.33</v>
      </c>
      <c r="I5" s="3567">
        <v>5258.2</v>
      </c>
      <c r="J5" s="3568">
        <v>5066.3</v>
      </c>
      <c r="K5" s="3567">
        <v>191.9</v>
      </c>
      <c r="L5" s="3567">
        <v>12603.776</v>
      </c>
      <c r="M5" s="3571">
        <v>23970</v>
      </c>
      <c r="N5" s="3567">
        <v>24877.6740422004</v>
      </c>
      <c r="O5" s="3567" t="s">
        <v>3570</v>
      </c>
      <c r="P5" s="3581">
        <v>45072</v>
      </c>
      <c r="Q5" s="3562" t="s">
        <v>3571</v>
      </c>
      <c r="R5" s="3567" t="s">
        <v>3572</v>
      </c>
      <c r="S5" s="3567">
        <v>12599.68</v>
      </c>
      <c r="T5" s="3571">
        <v>24869.5892465902</v>
      </c>
      <c r="U5" s="3567"/>
      <c r="V5" s="3572">
        <v>1.0003250876212699</v>
      </c>
      <c r="W5" s="3567" t="s">
        <v>3564</v>
      </c>
    </row>
    <row r="6" spans="1:23" ht="60" customHeight="1">
      <c r="A6" s="3562">
        <v>536</v>
      </c>
      <c r="B6" s="3562" t="s">
        <v>3573</v>
      </c>
      <c r="C6" s="3562" t="s">
        <v>3573</v>
      </c>
      <c r="D6" s="3567" t="s">
        <v>3567</v>
      </c>
      <c r="E6" s="3567" t="s">
        <v>3574</v>
      </c>
      <c r="F6" s="3562" t="s">
        <v>3575</v>
      </c>
      <c r="G6" s="3562" t="s">
        <v>673</v>
      </c>
      <c r="H6" s="3567"/>
      <c r="I6" s="3567">
        <v>1055.3800000000001</v>
      </c>
      <c r="J6" s="3568">
        <v>1055.3800000000001</v>
      </c>
      <c r="K6" s="3567"/>
      <c r="L6" s="3567">
        <v>6101.2779</v>
      </c>
      <c r="M6" s="3569">
        <v>57811</v>
      </c>
      <c r="N6" s="3567">
        <v>57811.195019803301</v>
      </c>
      <c r="O6" s="3562" t="s">
        <v>3576</v>
      </c>
      <c r="P6" s="3581">
        <v>45072</v>
      </c>
      <c r="Q6" s="3562" t="s">
        <v>3577</v>
      </c>
      <c r="R6" s="3567" t="s">
        <v>3578</v>
      </c>
      <c r="S6" s="3567">
        <v>6130.3968999999997</v>
      </c>
      <c r="T6" s="3571">
        <v>58087.105118535503</v>
      </c>
      <c r="U6" s="3567"/>
      <c r="V6" s="3572">
        <v>0.99525006284666495</v>
      </c>
      <c r="W6" s="3567" t="s">
        <v>3564</v>
      </c>
    </row>
    <row r="7" spans="1:23" ht="60" customHeight="1">
      <c r="A7" s="3562">
        <v>537</v>
      </c>
      <c r="B7" s="3567" t="s">
        <v>3579</v>
      </c>
      <c r="C7" s="3562" t="s">
        <v>3580</v>
      </c>
      <c r="D7" s="3567" t="s">
        <v>3547</v>
      </c>
      <c r="E7" s="3567" t="s">
        <v>3581</v>
      </c>
      <c r="F7" s="3562" t="s">
        <v>3582</v>
      </c>
      <c r="G7" s="3562" t="s">
        <v>3583</v>
      </c>
      <c r="H7" s="3567"/>
      <c r="I7" s="3567">
        <v>37639.69</v>
      </c>
      <c r="J7" s="3568">
        <v>22888.36</v>
      </c>
      <c r="K7" s="3567">
        <v>14751.33</v>
      </c>
      <c r="L7" s="3567">
        <v>114800</v>
      </c>
      <c r="M7" s="3569">
        <v>30500</v>
      </c>
      <c r="N7" s="3582">
        <v>50156.498761816001</v>
      </c>
      <c r="O7" s="3562" t="s">
        <v>3584</v>
      </c>
      <c r="P7" s="3581" t="s">
        <v>3552</v>
      </c>
      <c r="Q7" s="3562" t="s">
        <v>3585</v>
      </c>
      <c r="R7" s="3567" t="s">
        <v>3586</v>
      </c>
      <c r="S7" s="3567"/>
      <c r="T7" s="3571">
        <v>0</v>
      </c>
      <c r="U7" s="3567"/>
      <c r="V7" s="3572" t="e">
        <v>#DIV/0!</v>
      </c>
      <c r="W7" s="3567" t="s">
        <v>3587</v>
      </c>
    </row>
    <row r="8" spans="1:23" ht="60" customHeight="1">
      <c r="A8" s="3562">
        <v>538</v>
      </c>
      <c r="B8" s="3562" t="s">
        <v>3588</v>
      </c>
      <c r="C8" s="3567" t="s">
        <v>3589</v>
      </c>
      <c r="D8" s="3567" t="s">
        <v>3547</v>
      </c>
      <c r="E8" s="3567" t="s">
        <v>3581</v>
      </c>
      <c r="F8" s="3567" t="s">
        <v>3590</v>
      </c>
      <c r="G8" s="3562" t="s">
        <v>3591</v>
      </c>
      <c r="H8" s="3583">
        <v>35886.519999999997</v>
      </c>
      <c r="I8" s="3567">
        <v>64978.17</v>
      </c>
      <c r="J8" s="3568">
        <v>50193.57</v>
      </c>
      <c r="K8" s="3568">
        <v>14784.6</v>
      </c>
      <c r="L8" s="3567">
        <v>196317</v>
      </c>
      <c r="M8" s="3569">
        <v>30213</v>
      </c>
      <c r="N8" s="3567">
        <v>39111.9818733754</v>
      </c>
      <c r="O8" s="3567" t="s">
        <v>3592</v>
      </c>
      <c r="P8" s="3580">
        <v>45047</v>
      </c>
      <c r="Q8" s="3562" t="s">
        <v>3593</v>
      </c>
      <c r="R8" s="3567" t="s">
        <v>3594</v>
      </c>
      <c r="S8" s="3567"/>
      <c r="T8" s="3571">
        <v>0</v>
      </c>
      <c r="U8" s="3562" t="s">
        <v>3595</v>
      </c>
      <c r="V8" s="3584" t="e">
        <v>#DIV/0!</v>
      </c>
      <c r="W8" s="3567" t="s">
        <v>3556</v>
      </c>
    </row>
    <row r="9" spans="1:23" s="3588" customFormat="1" ht="60" customHeight="1">
      <c r="A9" s="3564">
        <v>547</v>
      </c>
      <c r="B9" s="3564" t="s">
        <v>3596</v>
      </c>
      <c r="C9" s="3564" t="s">
        <v>3597</v>
      </c>
      <c r="D9" s="3582" t="s">
        <v>3547</v>
      </c>
      <c r="E9" s="3582" t="s">
        <v>3598</v>
      </c>
      <c r="F9" s="3582" t="s">
        <v>3599</v>
      </c>
      <c r="G9" s="3564" t="s">
        <v>3600</v>
      </c>
      <c r="H9" s="3582"/>
      <c r="I9" s="3582">
        <v>10575.42</v>
      </c>
      <c r="J9" s="3585">
        <v>8879.14</v>
      </c>
      <c r="K9" s="3582">
        <v>1696.28</v>
      </c>
      <c r="L9" s="3582">
        <v>46940.2</v>
      </c>
      <c r="M9" s="3569">
        <v>44386</v>
      </c>
      <c r="N9" s="3567">
        <v>52865.705462466001</v>
      </c>
      <c r="O9" s="3582" t="s">
        <v>3601</v>
      </c>
      <c r="P9" s="3586">
        <v>45078</v>
      </c>
      <c r="Q9" s="3564" t="s">
        <v>3602</v>
      </c>
      <c r="R9" s="3582" t="s">
        <v>3603</v>
      </c>
      <c r="S9" s="3582"/>
      <c r="T9" s="3569">
        <v>0</v>
      </c>
      <c r="U9" s="3582"/>
      <c r="V9" s="3587" t="e">
        <v>#DIV/0!</v>
      </c>
      <c r="W9" s="3582" t="s">
        <v>3604</v>
      </c>
    </row>
    <row r="10" spans="1:23" ht="60" customHeight="1">
      <c r="A10" s="3589">
        <v>5360.09</v>
      </c>
      <c r="B10" s="3590" t="s">
        <v>3605</v>
      </c>
      <c r="C10" s="3590" t="s">
        <v>3606</v>
      </c>
      <c r="D10" s="3590" t="s">
        <v>3547</v>
      </c>
      <c r="E10" s="3591" t="s">
        <v>3607</v>
      </c>
      <c r="F10" s="3591" t="s">
        <v>3608</v>
      </c>
      <c r="G10" s="3590" t="s">
        <v>673</v>
      </c>
      <c r="H10" s="3591"/>
      <c r="I10" s="3591">
        <v>1062.74</v>
      </c>
      <c r="J10" s="3592">
        <v>1062.74</v>
      </c>
      <c r="K10" s="3591"/>
      <c r="L10" s="3591">
        <v>3029.6</v>
      </c>
      <c r="M10" s="3569">
        <v>28507</v>
      </c>
      <c r="N10" s="3567">
        <v>28507.443024634402</v>
      </c>
      <c r="O10" s="3590" t="s">
        <v>3609</v>
      </c>
      <c r="P10" s="3593">
        <v>45139</v>
      </c>
      <c r="Q10" s="3590" t="s">
        <v>3610</v>
      </c>
      <c r="R10" s="3591" t="s">
        <v>3611</v>
      </c>
      <c r="S10" s="3591">
        <v>3462</v>
      </c>
      <c r="T10" s="3594">
        <v>32576.171029602701</v>
      </c>
      <c r="U10" s="3591"/>
      <c r="V10" s="3595">
        <v>0.87510109763142696</v>
      </c>
      <c r="W10" s="3591" t="s">
        <v>3564</v>
      </c>
    </row>
    <row r="11" spans="1:23" ht="60" customHeight="1">
      <c r="A11" s="3562">
        <v>570</v>
      </c>
      <c r="B11" s="3567" t="s">
        <v>3612</v>
      </c>
      <c r="C11" s="3562" t="s">
        <v>3613</v>
      </c>
      <c r="D11" s="3567" t="s">
        <v>3547</v>
      </c>
      <c r="E11" s="3567" t="s">
        <v>3614</v>
      </c>
      <c r="F11" s="3567" t="s">
        <v>3570</v>
      </c>
      <c r="G11" s="3562" t="s">
        <v>673</v>
      </c>
      <c r="H11" s="3567"/>
      <c r="I11" s="3567">
        <v>2240.2199999999998</v>
      </c>
      <c r="J11" s="3568">
        <v>2240.2199999999998</v>
      </c>
      <c r="K11" s="3567"/>
      <c r="L11" s="3567">
        <v>6973.8</v>
      </c>
      <c r="M11" s="3569">
        <v>31130</v>
      </c>
      <c r="N11" s="3582">
        <v>31129.978305702101</v>
      </c>
      <c r="O11" s="3562" t="s">
        <v>3615</v>
      </c>
      <c r="P11" s="3581">
        <v>45174</v>
      </c>
      <c r="Q11" s="3562" t="s">
        <v>3616</v>
      </c>
      <c r="R11" s="3567"/>
      <c r="S11" s="3567">
        <v>10748.61</v>
      </c>
      <c r="T11" s="3571">
        <v>47980.153734901003</v>
      </c>
      <c r="U11" s="3567"/>
      <c r="V11" s="3572">
        <v>0.64880947396919197</v>
      </c>
      <c r="W11" s="3591" t="s">
        <v>3564</v>
      </c>
    </row>
    <row r="12" spans="1:23" ht="60" customHeight="1">
      <c r="A12" s="3562">
        <v>573</v>
      </c>
      <c r="B12" s="3562" t="s">
        <v>3617</v>
      </c>
      <c r="C12" s="3562" t="s">
        <v>3618</v>
      </c>
      <c r="D12" s="3567" t="s">
        <v>3547</v>
      </c>
      <c r="E12" s="3567" t="s">
        <v>3614</v>
      </c>
      <c r="F12" s="3562" t="s">
        <v>3619</v>
      </c>
      <c r="G12" s="3562" t="s">
        <v>673</v>
      </c>
      <c r="H12" s="3567"/>
      <c r="I12" s="3568">
        <v>17065.64</v>
      </c>
      <c r="J12" s="3568">
        <v>10965.63</v>
      </c>
      <c r="K12" s="3567">
        <v>6100.01</v>
      </c>
      <c r="L12" s="3567">
        <v>49376.334179999998</v>
      </c>
      <c r="M12" s="3569">
        <v>28933</v>
      </c>
      <c r="N12" s="3567">
        <v>45028.269401758</v>
      </c>
      <c r="O12" s="3567" t="s">
        <v>3620</v>
      </c>
      <c r="P12" s="3580">
        <v>45170</v>
      </c>
      <c r="Q12" s="3567" t="s">
        <v>3621</v>
      </c>
      <c r="R12" s="3567" t="s">
        <v>3543</v>
      </c>
      <c r="S12" s="3567">
        <v>51799.726999999999</v>
      </c>
      <c r="T12" s="3571">
        <v>47238.2589965191</v>
      </c>
      <c r="U12" s="3567"/>
      <c r="V12" s="3584">
        <v>0.95321610826250103</v>
      </c>
      <c r="W12" s="3567" t="s">
        <v>3622</v>
      </c>
    </row>
    <row r="13" spans="1:23" ht="60" customHeight="1">
      <c r="A13" s="3562">
        <v>580</v>
      </c>
      <c r="B13" s="3562" t="s">
        <v>3623</v>
      </c>
      <c r="C13" s="3567" t="s">
        <v>3624</v>
      </c>
      <c r="D13" s="3567" t="s">
        <v>3547</v>
      </c>
      <c r="E13" s="3567" t="s">
        <v>3625</v>
      </c>
      <c r="F13" s="3567" t="s">
        <v>3626</v>
      </c>
      <c r="G13" s="3562" t="s">
        <v>3627</v>
      </c>
      <c r="H13" s="3567"/>
      <c r="I13" s="3568">
        <v>26969.93</v>
      </c>
      <c r="J13" s="3568">
        <v>17023.25</v>
      </c>
      <c r="K13" s="3567">
        <v>9946.68</v>
      </c>
      <c r="L13" s="3567">
        <v>68966.4856</v>
      </c>
      <c r="M13" s="3569">
        <v>25572</v>
      </c>
      <c r="N13" s="3567">
        <v>40513.1133009267</v>
      </c>
      <c r="O13" s="3567" t="s">
        <v>3620</v>
      </c>
      <c r="P13" s="3581">
        <v>45208</v>
      </c>
      <c r="Q13" s="3562" t="s">
        <v>3628</v>
      </c>
      <c r="R13" s="3567" t="s">
        <v>3629</v>
      </c>
      <c r="S13" s="3567"/>
      <c r="T13" s="3571">
        <v>0</v>
      </c>
      <c r="U13" s="3567" t="s">
        <v>3555</v>
      </c>
      <c r="V13" s="3572" t="e">
        <v>#DIV/0!</v>
      </c>
      <c r="W13" s="3567" t="s">
        <v>3630</v>
      </c>
    </row>
    <row r="14" spans="1:23" ht="60" customHeight="1">
      <c r="A14" s="3562">
        <v>595</v>
      </c>
      <c r="B14" s="3562" t="s">
        <v>3631</v>
      </c>
      <c r="C14" s="3562" t="s">
        <v>3632</v>
      </c>
      <c r="D14" s="3567" t="s">
        <v>3633</v>
      </c>
      <c r="E14" s="3567" t="s">
        <v>3634</v>
      </c>
      <c r="F14" s="3567" t="s">
        <v>3635</v>
      </c>
      <c r="G14" s="3562" t="s">
        <v>3636</v>
      </c>
      <c r="H14" s="3567"/>
      <c r="I14" s="3567">
        <v>10758.33</v>
      </c>
      <c r="J14" s="3568">
        <v>10758.33</v>
      </c>
      <c r="K14" s="3567"/>
      <c r="L14" s="3567">
        <v>35999.89</v>
      </c>
      <c r="M14" s="3582">
        <v>33462</v>
      </c>
      <c r="N14" s="3562">
        <v>33462.340344644603</v>
      </c>
      <c r="O14" s="3567" t="s">
        <v>43</v>
      </c>
      <c r="P14" s="3581">
        <v>45287</v>
      </c>
      <c r="Q14" s="3562" t="s">
        <v>3637</v>
      </c>
      <c r="R14" s="3567" t="s">
        <v>3638</v>
      </c>
      <c r="S14" s="3567">
        <v>36889.19339919</v>
      </c>
      <c r="T14" s="3571">
        <v>34288.958787460499</v>
      </c>
      <c r="U14" s="3567"/>
      <c r="V14" s="3572">
        <v>0.97589257673469398</v>
      </c>
      <c r="W14" s="3567" t="s">
        <v>3622</v>
      </c>
    </row>
    <row r="15" spans="1:23" ht="60" customHeight="1">
      <c r="A15" s="3562">
        <v>596</v>
      </c>
      <c r="B15" s="3562" t="s">
        <v>3639</v>
      </c>
      <c r="C15" s="3562" t="s">
        <v>3640</v>
      </c>
      <c r="D15" s="3567" t="s">
        <v>3547</v>
      </c>
      <c r="E15" s="3567" t="s">
        <v>3641</v>
      </c>
      <c r="F15" s="3567" t="s">
        <v>43</v>
      </c>
      <c r="G15" s="3562" t="s">
        <v>673</v>
      </c>
      <c r="H15" s="3567"/>
      <c r="I15" s="3567">
        <v>339.71</v>
      </c>
      <c r="J15" s="3568">
        <v>339.71</v>
      </c>
      <c r="K15" s="3567"/>
      <c r="L15" s="3567">
        <v>2816.2</v>
      </c>
      <c r="M15" s="3582">
        <v>82900</v>
      </c>
      <c r="N15" s="3562">
        <v>82900.120691177799</v>
      </c>
      <c r="O15" s="3562" t="s">
        <v>3642</v>
      </c>
      <c r="P15" s="3581">
        <v>45295</v>
      </c>
      <c r="Q15" s="3562" t="s">
        <v>3643</v>
      </c>
      <c r="R15" s="3567" t="s">
        <v>3644</v>
      </c>
      <c r="S15" s="3567">
        <v>1323.0686000000001</v>
      </c>
      <c r="T15" s="3571">
        <v>38947.001854522998</v>
      </c>
      <c r="U15" s="3567"/>
      <c r="V15" s="3572">
        <v>2.1285366457944801</v>
      </c>
      <c r="W15" s="3567" t="s">
        <v>3564</v>
      </c>
    </row>
    <row r="16" spans="1:23" ht="60" customHeight="1">
      <c r="A16" s="3562">
        <v>600</v>
      </c>
      <c r="B16" s="3562" t="s">
        <v>3645</v>
      </c>
      <c r="C16" s="3562" t="s">
        <v>3646</v>
      </c>
      <c r="D16" s="3567" t="s">
        <v>3633</v>
      </c>
      <c r="E16" s="3567" t="s">
        <v>3647</v>
      </c>
      <c r="F16" s="3562" t="s">
        <v>3648</v>
      </c>
      <c r="G16" s="3562" t="s">
        <v>673</v>
      </c>
      <c r="H16" s="3567"/>
      <c r="I16" s="3567">
        <v>106.39</v>
      </c>
      <c r="J16" s="3568">
        <v>106.39</v>
      </c>
      <c r="K16" s="3567"/>
      <c r="L16" s="3567">
        <v>1609.0308600000001</v>
      </c>
      <c r="M16" s="3569">
        <v>151239</v>
      </c>
      <c r="N16" s="3590">
        <v>151238.91907134099</v>
      </c>
      <c r="O16" s="3567" t="s">
        <v>3570</v>
      </c>
      <c r="P16" s="3581">
        <v>45306</v>
      </c>
      <c r="Q16" s="3562" t="s">
        <v>3649</v>
      </c>
      <c r="R16" s="3567" t="s">
        <v>3594</v>
      </c>
      <c r="S16" s="3567">
        <v>644.32979999999998</v>
      </c>
      <c r="T16" s="3571">
        <v>60563.004041733198</v>
      </c>
      <c r="U16" s="3567"/>
      <c r="V16" s="3572">
        <v>2.4972162703013301</v>
      </c>
      <c r="W16" s="3567" t="s">
        <v>3564</v>
      </c>
    </row>
    <row r="17" spans="1:23" ht="60" customHeight="1">
      <c r="A17" s="3562">
        <v>604</v>
      </c>
      <c r="B17" s="3562" t="s">
        <v>3650</v>
      </c>
      <c r="C17" s="3567" t="s">
        <v>3651</v>
      </c>
      <c r="D17" s="3567" t="s">
        <v>3547</v>
      </c>
      <c r="E17" s="3567" t="s">
        <v>3652</v>
      </c>
      <c r="F17" s="3562" t="s">
        <v>3653</v>
      </c>
      <c r="G17" s="3562" t="s">
        <v>673</v>
      </c>
      <c r="H17" s="3567">
        <v>30704.67</v>
      </c>
      <c r="I17" s="3568">
        <v>49462.65</v>
      </c>
      <c r="J17" s="3568">
        <v>36955.57</v>
      </c>
      <c r="K17" s="3567">
        <v>12507.08</v>
      </c>
      <c r="L17" s="3567">
        <v>84200</v>
      </c>
      <c r="M17" s="3569">
        <v>17023</v>
      </c>
      <c r="N17" s="3567">
        <v>22784.1161697682</v>
      </c>
      <c r="O17" s="3567" t="s">
        <v>3654</v>
      </c>
      <c r="P17" s="3581" t="s">
        <v>3655</v>
      </c>
      <c r="Q17" s="3562" t="s">
        <v>3656</v>
      </c>
      <c r="R17" s="3567" t="s">
        <v>3657</v>
      </c>
      <c r="S17" s="3567"/>
      <c r="T17" s="3571">
        <v>0</v>
      </c>
      <c r="U17" s="3567"/>
      <c r="V17" s="3572" t="e">
        <v>#DIV/0!</v>
      </c>
      <c r="W17" s="3567" t="s">
        <v>3587</v>
      </c>
    </row>
    <row r="18" spans="1:23" s="3588" customFormat="1" ht="60" customHeight="1">
      <c r="A18" s="3564">
        <v>605</v>
      </c>
      <c r="B18" s="3564" t="s">
        <v>3658</v>
      </c>
      <c r="C18" s="3564" t="s">
        <v>3659</v>
      </c>
      <c r="D18" s="3582" t="s">
        <v>3633</v>
      </c>
      <c r="E18" s="3582" t="s">
        <v>3634</v>
      </c>
      <c r="F18" s="3582" t="s">
        <v>3635</v>
      </c>
      <c r="G18" s="3564" t="s">
        <v>3660</v>
      </c>
      <c r="H18" s="3582"/>
      <c r="I18" s="3582">
        <v>15106.53</v>
      </c>
      <c r="J18" s="3585">
        <v>15106.53</v>
      </c>
      <c r="K18" s="3582"/>
      <c r="L18" s="3582">
        <v>64349.75</v>
      </c>
      <c r="M18" s="3569">
        <v>42597</v>
      </c>
      <c r="N18" s="3567">
        <v>42597.307257192697</v>
      </c>
      <c r="O18" s="3582" t="s">
        <v>43</v>
      </c>
      <c r="P18" s="3586">
        <v>45292</v>
      </c>
      <c r="Q18" s="3564" t="s">
        <v>3661</v>
      </c>
      <c r="R18" s="3582" t="s">
        <v>3638</v>
      </c>
      <c r="S18" s="3582">
        <v>78939.879110649999</v>
      </c>
      <c r="T18" s="3569">
        <v>52255.467741863897</v>
      </c>
      <c r="U18" s="3582"/>
      <c r="V18" s="3587">
        <v>0.81517416450310198</v>
      </c>
      <c r="W18" s="3582" t="s">
        <v>3622</v>
      </c>
    </row>
    <row r="19" spans="1:23" ht="60" customHeight="1">
      <c r="A19" s="3562">
        <v>606</v>
      </c>
      <c r="B19" s="3567" t="s">
        <v>3662</v>
      </c>
      <c r="C19" s="3567" t="s">
        <v>3663</v>
      </c>
      <c r="D19" s="3567" t="s">
        <v>3664</v>
      </c>
      <c r="E19" s="3567" t="s">
        <v>3665</v>
      </c>
      <c r="F19" s="3562" t="s">
        <v>3666</v>
      </c>
      <c r="G19" s="3562" t="s">
        <v>3667</v>
      </c>
      <c r="H19" s="3596"/>
      <c r="I19" s="3567">
        <v>1748.02</v>
      </c>
      <c r="J19" s="3568">
        <v>1748.02</v>
      </c>
      <c r="K19" s="3567"/>
      <c r="L19" s="3567">
        <v>3309</v>
      </c>
      <c r="M19" s="3571">
        <v>18930</v>
      </c>
      <c r="N19" s="3567">
        <v>18929.989359389499</v>
      </c>
      <c r="O19" s="3562" t="s">
        <v>3668</v>
      </c>
      <c r="P19" s="3570">
        <v>45292</v>
      </c>
      <c r="Q19" s="3567" t="s">
        <v>3669</v>
      </c>
      <c r="R19" s="3567" t="s">
        <v>3670</v>
      </c>
      <c r="S19" s="3567">
        <v>4726.1216999999997</v>
      </c>
      <c r="T19" s="3571">
        <v>27037.000148739698</v>
      </c>
      <c r="U19" s="3567"/>
      <c r="V19" s="3572">
        <v>0.70015124663421202</v>
      </c>
      <c r="W19" s="3567" t="s">
        <v>3564</v>
      </c>
    </row>
    <row r="20" spans="1:23" ht="60" customHeight="1">
      <c r="A20" s="3562">
        <v>607</v>
      </c>
      <c r="B20" s="3562" t="s">
        <v>3671</v>
      </c>
      <c r="C20" s="3567" t="s">
        <v>3672</v>
      </c>
      <c r="D20" s="3567" t="s">
        <v>3664</v>
      </c>
      <c r="E20" s="3567" t="s">
        <v>3665</v>
      </c>
      <c r="F20" s="3562" t="s">
        <v>3666</v>
      </c>
      <c r="G20" s="3562" t="s">
        <v>673</v>
      </c>
      <c r="H20" s="3596"/>
      <c r="I20" s="3567">
        <v>291.92</v>
      </c>
      <c r="J20" s="3567">
        <v>291.92</v>
      </c>
      <c r="K20" s="3567"/>
      <c r="L20" s="3567">
        <v>1277.5</v>
      </c>
      <c r="M20" s="3569">
        <v>43762</v>
      </c>
      <c r="N20" s="3567">
        <v>43761.989586188</v>
      </c>
      <c r="O20" s="3562" t="s">
        <v>3673</v>
      </c>
      <c r="P20" s="3570">
        <v>45292</v>
      </c>
      <c r="Q20" s="3567" t="s">
        <v>3669</v>
      </c>
      <c r="R20" s="3567" t="s">
        <v>3670</v>
      </c>
      <c r="S20" s="3567">
        <v>814.61249999999995</v>
      </c>
      <c r="T20" s="3571">
        <v>27905.333653055601</v>
      </c>
      <c r="U20" s="3567"/>
      <c r="V20" s="3572">
        <v>1.5682302935444801</v>
      </c>
      <c r="W20" s="3567" t="s">
        <v>3564</v>
      </c>
    </row>
    <row r="21" spans="1:23" ht="60" customHeight="1">
      <c r="A21" s="3562">
        <v>608</v>
      </c>
      <c r="B21" s="3562" t="s">
        <v>3674</v>
      </c>
      <c r="C21" s="3567" t="s">
        <v>3675</v>
      </c>
      <c r="D21" s="3567" t="s">
        <v>3664</v>
      </c>
      <c r="E21" s="3567" t="s">
        <v>3665</v>
      </c>
      <c r="F21" s="3562" t="s">
        <v>3666</v>
      </c>
      <c r="G21" s="3562" t="s">
        <v>673</v>
      </c>
      <c r="H21" s="3596"/>
      <c r="I21" s="3567">
        <v>231.49</v>
      </c>
      <c r="J21" s="3567">
        <v>231.49</v>
      </c>
      <c r="K21" s="3567"/>
      <c r="L21" s="3567">
        <v>974</v>
      </c>
      <c r="M21" s="3569">
        <v>42075</v>
      </c>
      <c r="N21" s="3582">
        <v>42075.25163074</v>
      </c>
      <c r="O21" s="3562" t="s">
        <v>3676</v>
      </c>
      <c r="P21" s="3570">
        <v>45292</v>
      </c>
      <c r="Q21" s="3567" t="s">
        <v>3669</v>
      </c>
      <c r="R21" s="3567" t="s">
        <v>3670</v>
      </c>
      <c r="S21" s="3567">
        <v>646.01139999999998</v>
      </c>
      <c r="T21" s="3571">
        <v>27906.665514709101</v>
      </c>
      <c r="U21" s="3567"/>
      <c r="V21" s="3572">
        <v>1.50771333137465</v>
      </c>
      <c r="W21" s="3567" t="s">
        <v>3564</v>
      </c>
    </row>
    <row r="22" spans="1:23" ht="60" customHeight="1">
      <c r="A22" s="3562">
        <v>614</v>
      </c>
      <c r="B22" s="3562" t="s">
        <v>3677</v>
      </c>
      <c r="C22" s="3567" t="s">
        <v>3678</v>
      </c>
      <c r="D22" s="3567" t="s">
        <v>3664</v>
      </c>
      <c r="E22" s="3567" t="s">
        <v>3679</v>
      </c>
      <c r="F22" s="3567" t="s">
        <v>3680</v>
      </c>
      <c r="G22" s="3562" t="s">
        <v>673</v>
      </c>
      <c r="H22" s="3567"/>
      <c r="I22" s="3567">
        <v>6871.92</v>
      </c>
      <c r="J22" s="3568"/>
      <c r="K22" s="3567"/>
      <c r="L22" s="3567">
        <v>23500</v>
      </c>
      <c r="M22" s="3569">
        <v>34197</v>
      </c>
      <c r="N22" s="3567" t="e">
        <v>#DIV/0!</v>
      </c>
      <c r="O22" s="3567" t="s">
        <v>43</v>
      </c>
      <c r="P22" s="3570">
        <v>45323</v>
      </c>
      <c r="Q22" s="3567" t="s">
        <v>3681</v>
      </c>
      <c r="R22" s="3567" t="s">
        <v>3682</v>
      </c>
      <c r="S22" s="3567"/>
      <c r="T22" s="3571" t="e">
        <v>#DIV/0!</v>
      </c>
      <c r="U22" s="3567"/>
      <c r="V22" s="3572" t="e">
        <v>#DIV/0!</v>
      </c>
      <c r="W22" s="3567" t="s">
        <v>3622</v>
      </c>
    </row>
    <row r="23" spans="1:23" ht="60" customHeight="1">
      <c r="A23" s="3562">
        <v>616</v>
      </c>
      <c r="B23" s="3562" t="s">
        <v>3683</v>
      </c>
      <c r="C23" s="3567" t="s">
        <v>3684</v>
      </c>
      <c r="D23" s="3567" t="s">
        <v>3547</v>
      </c>
      <c r="E23" s="3567" t="s">
        <v>3685</v>
      </c>
      <c r="F23" s="3562" t="s">
        <v>3686</v>
      </c>
      <c r="G23" s="3562" t="s">
        <v>3687</v>
      </c>
      <c r="H23" s="3567"/>
      <c r="I23" s="3568">
        <v>25597.41</v>
      </c>
      <c r="J23" s="3568">
        <v>10003.280000000001</v>
      </c>
      <c r="K23" s="3568">
        <v>15594.13</v>
      </c>
      <c r="L23" s="3567">
        <v>28000</v>
      </c>
      <c r="M23" s="3569">
        <v>10939</v>
      </c>
      <c r="N23" s="3567">
        <v>27990.8190113643</v>
      </c>
      <c r="O23" s="3562" t="s">
        <v>3688</v>
      </c>
      <c r="P23" s="3581">
        <v>45329</v>
      </c>
      <c r="Q23" s="3562" t="s">
        <v>3689</v>
      </c>
      <c r="R23" s="3567" t="s">
        <v>3690</v>
      </c>
      <c r="S23" s="3567">
        <v>35000</v>
      </c>
      <c r="T23" s="3571">
        <v>34988.523764205303</v>
      </c>
      <c r="U23" s="3567" t="s">
        <v>3691</v>
      </c>
      <c r="V23" s="3572">
        <v>0.8</v>
      </c>
      <c r="W23" s="3567" t="s">
        <v>3564</v>
      </c>
    </row>
    <row r="24" spans="1:23" ht="60" customHeight="1">
      <c r="A24" s="3562">
        <v>617</v>
      </c>
      <c r="B24" s="3567" t="s">
        <v>3692</v>
      </c>
      <c r="C24" s="3567" t="s">
        <v>3693</v>
      </c>
      <c r="D24" s="3567" t="s">
        <v>3694</v>
      </c>
      <c r="E24" s="3567" t="s">
        <v>3695</v>
      </c>
      <c r="F24" s="3567" t="s">
        <v>3570</v>
      </c>
      <c r="G24" s="3562" t="s">
        <v>673</v>
      </c>
      <c r="H24" s="3567">
        <v>740.52</v>
      </c>
      <c r="I24" s="3567">
        <v>878.04</v>
      </c>
      <c r="J24" s="3568"/>
      <c r="K24" s="3567"/>
      <c r="L24" s="3567">
        <v>10940.248</v>
      </c>
      <c r="M24" s="3569">
        <v>124599</v>
      </c>
      <c r="N24" s="3567" t="e">
        <v>#DIV/0!</v>
      </c>
      <c r="O24" s="3562" t="s">
        <v>3696</v>
      </c>
      <c r="P24" s="3581">
        <v>45342</v>
      </c>
      <c r="Q24" s="3562" t="s">
        <v>3697</v>
      </c>
      <c r="R24" s="3567"/>
      <c r="S24" s="3567">
        <v>13675.31</v>
      </c>
      <c r="T24" s="3571" t="e">
        <v>#DIV/0!</v>
      </c>
      <c r="U24" s="3567"/>
      <c r="V24" s="3572">
        <v>0.8</v>
      </c>
      <c r="W24" s="3567" t="s">
        <v>3564</v>
      </c>
    </row>
    <row r="25" spans="1:23" ht="60" customHeight="1">
      <c r="A25" s="3562">
        <v>619</v>
      </c>
      <c r="B25" s="3562" t="s">
        <v>3698</v>
      </c>
      <c r="C25" s="3567" t="s">
        <v>3699</v>
      </c>
      <c r="D25" s="3567" t="s">
        <v>3633</v>
      </c>
      <c r="E25" s="3567" t="s">
        <v>3700</v>
      </c>
      <c r="F25" s="3567" t="s">
        <v>3701</v>
      </c>
      <c r="G25" s="3562" t="s">
        <v>673</v>
      </c>
      <c r="H25" s="3567"/>
      <c r="I25" s="3568">
        <v>4848.05</v>
      </c>
      <c r="J25" s="3568">
        <v>4848.05</v>
      </c>
      <c r="K25" s="3567"/>
      <c r="L25" s="3567">
        <v>15028.96</v>
      </c>
      <c r="M25" s="3569">
        <v>31000</v>
      </c>
      <c r="N25" s="3567">
        <v>31000.010313424998</v>
      </c>
      <c r="O25" s="3567" t="s">
        <v>43</v>
      </c>
      <c r="P25" s="3570">
        <v>45231</v>
      </c>
      <c r="Q25" s="3567" t="s">
        <v>3702</v>
      </c>
      <c r="R25" s="3567" t="s">
        <v>3543</v>
      </c>
      <c r="S25" s="3567"/>
      <c r="T25" s="3571">
        <v>0</v>
      </c>
      <c r="U25" s="3567"/>
      <c r="V25" s="3572" t="e">
        <v>#DIV/0!</v>
      </c>
      <c r="W25" s="3567" t="s">
        <v>3622</v>
      </c>
    </row>
    <row r="26" spans="1:23" ht="60" customHeight="1">
      <c r="A26" s="3562">
        <v>624</v>
      </c>
      <c r="B26" s="3562" t="s">
        <v>3703</v>
      </c>
      <c r="C26" s="3562" t="s">
        <v>3704</v>
      </c>
      <c r="D26" s="3562" t="s">
        <v>3664</v>
      </c>
      <c r="E26" s="3567" t="s">
        <v>3705</v>
      </c>
      <c r="F26" s="3562" t="s">
        <v>3706</v>
      </c>
      <c r="G26" s="3562" t="s">
        <v>673</v>
      </c>
      <c r="H26" s="3567"/>
      <c r="I26" s="3567">
        <v>5054.5200000000004</v>
      </c>
      <c r="J26" s="3568">
        <v>1430.31</v>
      </c>
      <c r="K26" s="3568">
        <v>3624.21</v>
      </c>
      <c r="L26" s="3567">
        <v>34427.32</v>
      </c>
      <c r="M26" s="3566">
        <v>68112</v>
      </c>
      <c r="N26" s="3566">
        <v>240698</v>
      </c>
      <c r="O26" s="3562" t="s">
        <v>43</v>
      </c>
      <c r="P26" s="3580">
        <v>45352</v>
      </c>
      <c r="Q26" s="3562" t="s">
        <v>3707</v>
      </c>
      <c r="R26" s="3597" t="s">
        <v>3682</v>
      </c>
      <c r="S26" s="3567"/>
      <c r="T26" s="3567"/>
      <c r="U26" s="3567"/>
      <c r="V26" s="3567"/>
      <c r="W26" s="3567" t="s">
        <v>3622</v>
      </c>
    </row>
    <row r="27" spans="1:23" ht="60" customHeight="1">
      <c r="A27" s="3562">
        <v>625</v>
      </c>
      <c r="B27" s="3562" t="s">
        <v>3708</v>
      </c>
      <c r="C27" s="3567" t="s">
        <v>3709</v>
      </c>
      <c r="D27" s="3567" t="s">
        <v>3567</v>
      </c>
      <c r="E27" s="3567" t="s">
        <v>3710</v>
      </c>
      <c r="F27" s="3567" t="s">
        <v>3711</v>
      </c>
      <c r="G27" s="3562" t="s">
        <v>3540</v>
      </c>
      <c r="H27" s="3567"/>
      <c r="I27" s="3583">
        <v>28571.759999999998</v>
      </c>
      <c r="J27" s="3568">
        <v>18033</v>
      </c>
      <c r="K27" s="3567">
        <v>10538.76</v>
      </c>
      <c r="L27" s="3567">
        <v>110090</v>
      </c>
      <c r="M27" s="3588">
        <v>38531</v>
      </c>
      <c r="N27" s="3566">
        <v>61049</v>
      </c>
      <c r="O27" s="3562" t="s">
        <v>3712</v>
      </c>
      <c r="P27" s="3581" t="s">
        <v>3713</v>
      </c>
      <c r="Q27" s="3562" t="s">
        <v>3714</v>
      </c>
      <c r="R27" s="3597" t="s">
        <v>3715</v>
      </c>
      <c r="S27" s="3567"/>
      <c r="T27" s="3567"/>
      <c r="U27" s="3567"/>
      <c r="V27" s="3567"/>
      <c r="W27" s="3562" t="s">
        <v>3716</v>
      </c>
    </row>
    <row r="28" spans="1:23" s="3605" customFormat="1" ht="60" customHeight="1">
      <c r="A28" s="3598">
        <v>626</v>
      </c>
      <c r="B28" s="3598" t="s">
        <v>3717</v>
      </c>
      <c r="C28" s="3599" t="s">
        <v>3718</v>
      </c>
      <c r="D28" s="3599" t="s">
        <v>3664</v>
      </c>
      <c r="E28" s="3599" t="s">
        <v>3665</v>
      </c>
      <c r="F28" s="3599" t="s">
        <v>3719</v>
      </c>
      <c r="G28" s="3598" t="s">
        <v>673</v>
      </c>
      <c r="H28" s="3599"/>
      <c r="I28" s="3600">
        <v>10082.83</v>
      </c>
      <c r="J28" s="3600">
        <v>10082.83</v>
      </c>
      <c r="K28" s="3599"/>
      <c r="L28" s="3601">
        <v>59069.251270000001</v>
      </c>
      <c r="M28" s="3602">
        <v>58584</v>
      </c>
      <c r="N28" s="3599">
        <v>58583.999998016399</v>
      </c>
      <c r="O28" s="3598" t="s">
        <v>3720</v>
      </c>
      <c r="P28" s="3603" t="s">
        <v>3721</v>
      </c>
      <c r="Q28" s="3598" t="s">
        <v>3722</v>
      </c>
      <c r="R28" s="3599" t="s">
        <v>3723</v>
      </c>
      <c r="S28" s="3599"/>
      <c r="T28" s="3602">
        <v>0</v>
      </c>
      <c r="U28" s="3599"/>
      <c r="V28" s="3604" t="e">
        <v>#DIV/0!</v>
      </c>
      <c r="W28" s="3599" t="s">
        <v>3622</v>
      </c>
    </row>
    <row r="29" spans="1:23" s="3605" customFormat="1" ht="60" customHeight="1">
      <c r="A29" s="3598">
        <v>627</v>
      </c>
      <c r="B29" s="3598" t="s">
        <v>3724</v>
      </c>
      <c r="C29" s="3598" t="s">
        <v>3725</v>
      </c>
      <c r="D29" s="3598" t="s">
        <v>3547</v>
      </c>
      <c r="E29" s="3598" t="s">
        <v>3726</v>
      </c>
      <c r="F29" s="3598" t="s">
        <v>3727</v>
      </c>
      <c r="G29" s="3598" t="s">
        <v>3728</v>
      </c>
      <c r="H29" s="3598"/>
      <c r="I29" s="3606">
        <v>6158.34</v>
      </c>
      <c r="J29" s="3607">
        <v>6029.51</v>
      </c>
      <c r="K29" s="3608">
        <v>128.83000000000001</v>
      </c>
      <c r="L29" s="3609">
        <v>35188.322</v>
      </c>
      <c r="M29" s="3602">
        <v>57139</v>
      </c>
      <c r="N29" s="3599">
        <v>58360</v>
      </c>
      <c r="O29" s="3610" t="s">
        <v>3729</v>
      </c>
      <c r="P29" s="3611">
        <v>45401</v>
      </c>
      <c r="Q29" s="3610" t="s">
        <v>3730</v>
      </c>
      <c r="R29" s="3612" t="s">
        <v>3731</v>
      </c>
      <c r="S29" s="3598">
        <v>32680.46</v>
      </c>
      <c r="T29" s="3598">
        <v>53067</v>
      </c>
      <c r="U29" s="3598"/>
      <c r="V29" s="3604">
        <v>1.08</v>
      </c>
      <c r="W29" s="3598" t="s">
        <v>3564</v>
      </c>
    </row>
    <row r="30" spans="1:23" ht="60" hidden="1" customHeight="1">
      <c r="A30" s="3562">
        <v>628</v>
      </c>
      <c r="B30" s="3562" t="s">
        <v>3732</v>
      </c>
      <c r="C30" s="3562" t="s">
        <v>3732</v>
      </c>
      <c r="D30" s="3562" t="s">
        <v>3547</v>
      </c>
      <c r="E30" s="3562" t="s">
        <v>3726</v>
      </c>
      <c r="F30" s="3562" t="s">
        <v>3727</v>
      </c>
      <c r="G30" s="3562" t="s">
        <v>673</v>
      </c>
      <c r="H30" s="3567"/>
      <c r="I30" s="3567">
        <v>2773.32</v>
      </c>
      <c r="J30" s="3568">
        <v>2773.32</v>
      </c>
      <c r="K30" s="3567"/>
      <c r="L30" s="3567">
        <v>22441.69</v>
      </c>
      <c r="M30" s="3569">
        <v>80920</v>
      </c>
      <c r="N30" s="3567">
        <v>80919.944326655401</v>
      </c>
      <c r="O30" s="3562" t="s">
        <v>3733</v>
      </c>
      <c r="P30" s="3581">
        <v>45272</v>
      </c>
      <c r="Q30" s="3613" t="s">
        <v>3734</v>
      </c>
      <c r="R30" s="3597" t="s">
        <v>3731</v>
      </c>
      <c r="S30" s="3567">
        <v>14671.69</v>
      </c>
      <c r="T30" s="3571">
        <v>52902.982706647599</v>
      </c>
      <c r="U30" s="3567"/>
      <c r="V30" s="3572">
        <v>1.5295913422380101</v>
      </c>
      <c r="W30" s="3562" t="s">
        <v>3564</v>
      </c>
    </row>
    <row r="31" spans="1:23" ht="60" hidden="1" customHeight="1">
      <c r="A31" s="3562">
        <v>631</v>
      </c>
      <c r="B31" s="3567" t="s">
        <v>3735</v>
      </c>
      <c r="C31" s="3562" t="s">
        <v>3736</v>
      </c>
      <c r="D31" s="3567" t="s">
        <v>3537</v>
      </c>
      <c r="E31" s="3567" t="s">
        <v>3737</v>
      </c>
      <c r="F31" s="3567" t="s">
        <v>3738</v>
      </c>
      <c r="G31" s="3562" t="s">
        <v>673</v>
      </c>
      <c r="H31" s="3567"/>
      <c r="I31" s="3568">
        <v>4077.59</v>
      </c>
      <c r="J31" s="3568">
        <v>4077.59</v>
      </c>
      <c r="K31" s="3567"/>
      <c r="L31" s="3567">
        <v>9786.2160000000003</v>
      </c>
      <c r="M31" s="3569">
        <v>24000</v>
      </c>
      <c r="N31" s="3567">
        <v>24000</v>
      </c>
      <c r="O31" s="3567" t="s">
        <v>43</v>
      </c>
      <c r="P31" s="3581">
        <v>45393</v>
      </c>
      <c r="Q31" s="3567" t="s">
        <v>3739</v>
      </c>
      <c r="R31" s="3567" t="s">
        <v>3740</v>
      </c>
      <c r="S31" s="3567"/>
      <c r="T31" s="3571">
        <v>0</v>
      </c>
      <c r="U31" s="3567"/>
      <c r="V31" s="3572" t="e">
        <v>#DIV/0!</v>
      </c>
      <c r="W31" s="3567" t="s">
        <v>3622</v>
      </c>
    </row>
    <row r="32" spans="1:23" ht="60" hidden="1" customHeight="1">
      <c r="A32" s="3562">
        <v>637</v>
      </c>
      <c r="B32" s="3562" t="s">
        <v>3741</v>
      </c>
      <c r="C32" s="3562" t="s">
        <v>3742</v>
      </c>
      <c r="D32" s="3567" t="s">
        <v>3664</v>
      </c>
      <c r="E32" s="3567" t="s">
        <v>3743</v>
      </c>
      <c r="F32" s="3562" t="s">
        <v>3744</v>
      </c>
      <c r="G32" s="3562" t="s">
        <v>673</v>
      </c>
      <c r="H32" s="3567"/>
      <c r="I32" s="3567">
        <v>10088.49</v>
      </c>
      <c r="J32" s="3568">
        <v>10088.49</v>
      </c>
      <c r="K32" s="3567"/>
      <c r="L32" s="3567">
        <v>45327</v>
      </c>
      <c r="M32" s="3569">
        <v>44929</v>
      </c>
      <c r="N32" s="3567">
        <v>44929.419566258199</v>
      </c>
      <c r="O32" s="3562" t="s">
        <v>3745</v>
      </c>
      <c r="P32" s="3581">
        <v>45440</v>
      </c>
      <c r="Q32" s="3562" t="s">
        <v>3746</v>
      </c>
      <c r="R32" s="3567" t="s">
        <v>3747</v>
      </c>
      <c r="S32" s="3567">
        <v>80939.75</v>
      </c>
      <c r="T32" s="3571">
        <v>80229.796530501597</v>
      </c>
      <c r="U32" s="3567"/>
      <c r="V32" s="3584">
        <v>0.56000914260298595</v>
      </c>
      <c r="W32" s="3567" t="s">
        <v>3564</v>
      </c>
    </row>
    <row r="33" spans="1:23" ht="60" hidden="1" customHeight="1">
      <c r="A33" s="3562">
        <v>643</v>
      </c>
      <c r="B33" s="3562" t="s">
        <v>3748</v>
      </c>
      <c r="C33" s="3562" t="s">
        <v>3749</v>
      </c>
      <c r="D33" s="3567" t="s">
        <v>3547</v>
      </c>
      <c r="E33" s="3567" t="s">
        <v>3750</v>
      </c>
      <c r="F33" s="3567" t="s">
        <v>3751</v>
      </c>
      <c r="G33" s="3562" t="s">
        <v>3600</v>
      </c>
      <c r="H33" s="3567"/>
      <c r="I33" s="3567">
        <v>32091.49</v>
      </c>
      <c r="J33" s="3568">
        <v>32091.49</v>
      </c>
      <c r="K33" s="3567"/>
      <c r="L33" s="3567">
        <v>55855.01</v>
      </c>
      <c r="M33" s="3569">
        <v>17405</v>
      </c>
      <c r="N33" s="3567">
        <v>17404.9288456223</v>
      </c>
      <c r="O33" s="3567" t="s">
        <v>3752</v>
      </c>
      <c r="P33" s="3581">
        <v>45449</v>
      </c>
      <c r="Q33" s="3562" t="s">
        <v>3753</v>
      </c>
      <c r="R33" s="3567" t="s">
        <v>3543</v>
      </c>
      <c r="S33" s="3567"/>
      <c r="T33" s="3571">
        <v>0</v>
      </c>
      <c r="U33" s="3567"/>
      <c r="V33" s="3572" t="e">
        <v>#DIV/0!</v>
      </c>
      <c r="W33" s="3567" t="s">
        <v>3622</v>
      </c>
    </row>
    <row r="34" spans="1:23" ht="60" hidden="1" customHeight="1">
      <c r="A34" s="3562">
        <v>654</v>
      </c>
      <c r="B34" s="3562" t="s">
        <v>3754</v>
      </c>
      <c r="C34" s="3567" t="s">
        <v>3755</v>
      </c>
      <c r="D34" s="3567" t="s">
        <v>3664</v>
      </c>
      <c r="E34" s="3567" t="s">
        <v>3756</v>
      </c>
      <c r="F34" s="3613" t="s">
        <v>3757</v>
      </c>
      <c r="G34" s="3562" t="s">
        <v>3758</v>
      </c>
      <c r="H34" s="3567"/>
      <c r="I34" s="3567">
        <v>48853.919999999998</v>
      </c>
      <c r="J34" s="3568">
        <v>24544.17</v>
      </c>
      <c r="K34" s="3568">
        <v>24309.75</v>
      </c>
      <c r="L34" s="3567">
        <v>117635.26</v>
      </c>
      <c r="M34" s="3569">
        <v>24079</v>
      </c>
      <c r="N34" s="3567">
        <v>47927.984527486602</v>
      </c>
      <c r="O34" s="3567" t="s">
        <v>43</v>
      </c>
      <c r="P34" s="3581">
        <v>45504</v>
      </c>
      <c r="Q34" s="3562" t="s">
        <v>3759</v>
      </c>
      <c r="R34" s="3567" t="s">
        <v>3594</v>
      </c>
      <c r="S34" s="3567"/>
      <c r="T34" s="3571">
        <v>0</v>
      </c>
      <c r="U34" s="3567"/>
      <c r="V34" s="3584" t="e">
        <v>#DIV/0!</v>
      </c>
      <c r="W34" s="3567" t="s">
        <v>3622</v>
      </c>
    </row>
    <row r="35" spans="1:23" ht="60" hidden="1" customHeight="1">
      <c r="A35" s="3562">
        <v>663</v>
      </c>
      <c r="B35" s="3562" t="s">
        <v>3760</v>
      </c>
      <c r="C35" s="3562" t="s">
        <v>3761</v>
      </c>
      <c r="D35" s="3562" t="s">
        <v>3694</v>
      </c>
      <c r="E35" s="3562" t="s">
        <v>3762</v>
      </c>
      <c r="F35" s="3562" t="s">
        <v>3763</v>
      </c>
      <c r="G35" s="3562" t="s">
        <v>3591</v>
      </c>
      <c r="H35" s="3562">
        <v>1361.86</v>
      </c>
      <c r="I35" s="3563">
        <v>9875.33</v>
      </c>
      <c r="J35" s="3563">
        <v>3761.79</v>
      </c>
      <c r="K35" s="3562">
        <v>6113.54</v>
      </c>
      <c r="L35" s="3562">
        <v>18027</v>
      </c>
      <c r="M35" s="3569">
        <v>18255</v>
      </c>
      <c r="N35" s="3567">
        <v>47921.335321748396</v>
      </c>
      <c r="O35" s="3562" t="s">
        <v>3764</v>
      </c>
      <c r="P35" s="3565">
        <v>45538</v>
      </c>
      <c r="Q35" s="3562" t="s">
        <v>3765</v>
      </c>
      <c r="R35" s="3597" t="s">
        <v>3766</v>
      </c>
      <c r="S35" s="3562">
        <v>25752.6</v>
      </c>
      <c r="T35" s="3571">
        <v>68458.366894483697</v>
      </c>
      <c r="U35" s="3562"/>
      <c r="V35" s="3572">
        <v>0.70000698958551799</v>
      </c>
      <c r="W35" s="3567" t="s">
        <v>3564</v>
      </c>
    </row>
    <row r="36" spans="1:23" ht="60" hidden="1" customHeight="1">
      <c r="A36" s="3562">
        <v>664</v>
      </c>
      <c r="B36" s="3562" t="s">
        <v>3767</v>
      </c>
      <c r="C36" s="3562" t="s">
        <v>3768</v>
      </c>
      <c r="D36" s="3562" t="s">
        <v>3547</v>
      </c>
      <c r="E36" s="3562" t="s">
        <v>3769</v>
      </c>
      <c r="F36" s="3562" t="s">
        <v>3570</v>
      </c>
      <c r="G36" s="3562" t="s">
        <v>3591</v>
      </c>
      <c r="H36" s="3562"/>
      <c r="I36" s="3563">
        <v>551.32000000000005</v>
      </c>
      <c r="J36" s="3563">
        <v>428.9</v>
      </c>
      <c r="K36" s="3562">
        <v>122.42</v>
      </c>
      <c r="L36" s="3562">
        <v>1800.0001</v>
      </c>
      <c r="M36" s="3569">
        <v>32649</v>
      </c>
      <c r="N36" s="3567">
        <v>41968</v>
      </c>
      <c r="O36" s="3562" t="s">
        <v>3770</v>
      </c>
      <c r="P36" s="3565">
        <v>45518</v>
      </c>
      <c r="Q36" s="3562" t="s">
        <v>3771</v>
      </c>
      <c r="R36" s="3597" t="s">
        <v>3772</v>
      </c>
      <c r="S36" s="3562">
        <v>4140.32</v>
      </c>
      <c r="T36" s="3571">
        <v>96533.457682443506</v>
      </c>
      <c r="U36" s="3562"/>
      <c r="V36" s="3572">
        <v>0.43474902906055601</v>
      </c>
      <c r="W36" s="3567" t="s">
        <v>3564</v>
      </c>
    </row>
    <row r="37" spans="1:23" ht="60" hidden="1" customHeight="1">
      <c r="A37" s="3562">
        <v>665</v>
      </c>
      <c r="B37" s="3562" t="s">
        <v>3773</v>
      </c>
      <c r="C37" s="3562" t="s">
        <v>3774</v>
      </c>
      <c r="D37" s="3562" t="s">
        <v>3547</v>
      </c>
      <c r="E37" s="3567" t="s">
        <v>3775</v>
      </c>
      <c r="F37" s="3562" t="s">
        <v>3776</v>
      </c>
      <c r="G37" s="3562" t="s">
        <v>673</v>
      </c>
      <c r="H37" s="3567"/>
      <c r="I37" s="3567">
        <v>3797.1</v>
      </c>
      <c r="J37" s="3567">
        <v>3797.1</v>
      </c>
      <c r="K37" s="3567"/>
      <c r="L37" s="3567">
        <v>5536.7184999999999</v>
      </c>
      <c r="M37" s="3569">
        <v>14581</v>
      </c>
      <c r="N37" s="3567">
        <v>14581.4397829923</v>
      </c>
      <c r="O37" s="3562" t="s">
        <v>3777</v>
      </c>
      <c r="P37" s="3581">
        <v>45534</v>
      </c>
      <c r="Q37" s="3613" t="s">
        <v>3778</v>
      </c>
      <c r="R37" s="3567" t="s">
        <v>3766</v>
      </c>
      <c r="S37" s="3567">
        <v>9329.8544000000002</v>
      </c>
      <c r="T37" s="3571">
        <v>24570.9999736641</v>
      </c>
      <c r="U37" s="3567"/>
      <c r="V37" s="3572">
        <v>0.59344104019458199</v>
      </c>
      <c r="W37" s="3567" t="s">
        <v>3564</v>
      </c>
    </row>
    <row r="38" spans="1:23" ht="60" hidden="1" customHeight="1">
      <c r="A38" s="3562">
        <v>666</v>
      </c>
      <c r="B38" s="3562" t="s">
        <v>3779</v>
      </c>
      <c r="C38" s="3562" t="s">
        <v>3780</v>
      </c>
      <c r="D38" s="3567" t="s">
        <v>3567</v>
      </c>
      <c r="E38" s="3567" t="s">
        <v>3710</v>
      </c>
      <c r="F38" s="3562" t="s">
        <v>3781</v>
      </c>
      <c r="G38" s="3562" t="s">
        <v>673</v>
      </c>
      <c r="H38" s="3567"/>
      <c r="I38" s="3567">
        <v>1203.2</v>
      </c>
      <c r="J38" s="3568">
        <v>143.19999999999999</v>
      </c>
      <c r="K38" s="3567">
        <v>1060</v>
      </c>
      <c r="L38" s="3567">
        <v>2937.5360000000001</v>
      </c>
      <c r="M38" s="3569">
        <v>24414</v>
      </c>
      <c r="N38" s="3567">
        <v>205135.19553072599</v>
      </c>
      <c r="O38" s="3562" t="s">
        <v>3782</v>
      </c>
      <c r="P38" s="3581">
        <v>45541</v>
      </c>
      <c r="Q38" s="3562" t="s">
        <v>3783</v>
      </c>
      <c r="R38" s="3567" t="s">
        <v>3784</v>
      </c>
      <c r="S38" s="3567">
        <v>5245.6</v>
      </c>
      <c r="T38" s="3571">
        <v>366312.849162011</v>
      </c>
      <c r="U38" s="3567"/>
      <c r="V38" s="3572">
        <v>0.56000000000000005</v>
      </c>
      <c r="W38" s="3567" t="s">
        <v>3564</v>
      </c>
    </row>
    <row r="39" spans="1:23" s="3605" customFormat="1" ht="60" customHeight="1">
      <c r="A39" s="3598">
        <v>668</v>
      </c>
      <c r="B39" s="3598" t="s">
        <v>3785</v>
      </c>
      <c r="C39" s="3598" t="s">
        <v>3786</v>
      </c>
      <c r="D39" s="3599" t="s">
        <v>3694</v>
      </c>
      <c r="E39" s="3599" t="s">
        <v>3787</v>
      </c>
      <c r="F39" s="3599" t="s">
        <v>3788</v>
      </c>
      <c r="G39" s="3598" t="s">
        <v>3789</v>
      </c>
      <c r="H39" s="3599"/>
      <c r="I39" s="3599">
        <v>27705.94</v>
      </c>
      <c r="J39" s="3600">
        <v>21015.98</v>
      </c>
      <c r="K39" s="3599">
        <v>6689.96</v>
      </c>
      <c r="L39" s="3599">
        <v>137000</v>
      </c>
      <c r="M39" s="3602">
        <v>49448</v>
      </c>
      <c r="N39" s="3599">
        <v>65188.489901494002</v>
      </c>
      <c r="O39" s="3599" t="s">
        <v>3790</v>
      </c>
      <c r="P39" s="3614">
        <v>45545</v>
      </c>
      <c r="Q39" s="3598" t="s">
        <v>3791</v>
      </c>
      <c r="R39" s="3599" t="s">
        <v>3638</v>
      </c>
      <c r="S39" s="3599"/>
      <c r="T39" s="3602">
        <v>0</v>
      </c>
      <c r="U39" s="3599"/>
      <c r="V39" s="3604" t="e">
        <v>#DIV/0!</v>
      </c>
      <c r="W39" s="3599" t="s">
        <v>3792</v>
      </c>
    </row>
    <row r="40" spans="1:23" ht="60" customHeight="1">
      <c r="A40" s="3562">
        <v>670</v>
      </c>
      <c r="B40" s="3562" t="s">
        <v>3793</v>
      </c>
      <c r="C40" s="3567" t="s">
        <v>3794</v>
      </c>
      <c r="D40" s="3567" t="s">
        <v>3547</v>
      </c>
      <c r="E40" s="3567" t="s">
        <v>3795</v>
      </c>
      <c r="F40" s="3567" t="s">
        <v>3410</v>
      </c>
      <c r="G40" s="3562" t="s">
        <v>673</v>
      </c>
      <c r="H40" s="3567"/>
      <c r="I40" s="3567">
        <v>354.7</v>
      </c>
      <c r="J40" s="3568">
        <v>354.7</v>
      </c>
      <c r="K40" s="3567"/>
      <c r="L40" s="3567">
        <v>2496.9874669999999</v>
      </c>
      <c r="M40" s="3569">
        <v>70397</v>
      </c>
      <c r="N40" s="3567">
        <v>70397.165689314905</v>
      </c>
      <c r="O40" s="3562" t="s">
        <v>3796</v>
      </c>
      <c r="P40" s="3581">
        <v>45555</v>
      </c>
      <c r="Q40" s="3567" t="s">
        <v>3797</v>
      </c>
      <c r="R40" s="3567" t="s">
        <v>3690</v>
      </c>
      <c r="S40" s="3567">
        <v>1076.9874669999999</v>
      </c>
      <c r="T40" s="3571">
        <v>30363.3342824922</v>
      </c>
      <c r="U40" s="3567"/>
      <c r="V40" s="3572">
        <v>2.31849259486322</v>
      </c>
      <c r="W40" s="3567" t="s">
        <v>3564</v>
      </c>
    </row>
    <row r="41" spans="1:23" ht="60" customHeight="1">
      <c r="A41" s="3562">
        <v>671</v>
      </c>
      <c r="B41" s="3562" t="s">
        <v>3798</v>
      </c>
      <c r="C41" s="3562" t="s">
        <v>3799</v>
      </c>
      <c r="D41" s="3567" t="s">
        <v>3547</v>
      </c>
      <c r="E41" s="3567" t="s">
        <v>3795</v>
      </c>
      <c r="F41" s="3567" t="s">
        <v>3410</v>
      </c>
      <c r="G41" s="3562" t="s">
        <v>673</v>
      </c>
      <c r="H41" s="3567"/>
      <c r="I41" s="3567">
        <v>734.8</v>
      </c>
      <c r="J41" s="3568">
        <v>734.8</v>
      </c>
      <c r="K41" s="3567"/>
      <c r="L41" s="3567">
        <v>5318.3445000000002</v>
      </c>
      <c r="M41" s="3569">
        <v>72378</v>
      </c>
      <c r="N41" s="3567">
        <v>72378.123298856794</v>
      </c>
      <c r="O41" s="3562" t="s">
        <v>3800</v>
      </c>
      <c r="P41" s="3581">
        <v>45649</v>
      </c>
      <c r="Q41" s="3562" t="s">
        <v>3801</v>
      </c>
      <c r="R41" s="3567" t="s">
        <v>3690</v>
      </c>
      <c r="S41" s="3567">
        <v>1928.3444999999999</v>
      </c>
      <c r="T41" s="3571">
        <v>26243.120577027799</v>
      </c>
      <c r="U41" s="3567"/>
      <c r="V41" s="3572">
        <v>2.7579846339697101</v>
      </c>
      <c r="W41" s="3567" t="s">
        <v>3564</v>
      </c>
    </row>
    <row r="42" spans="1:23" ht="60" customHeight="1">
      <c r="A42" s="3562">
        <v>672</v>
      </c>
      <c r="B42" s="3562" t="s">
        <v>3802</v>
      </c>
      <c r="C42" s="3562" t="s">
        <v>3803</v>
      </c>
      <c r="D42" s="3567" t="s">
        <v>3547</v>
      </c>
      <c r="E42" s="3567" t="s">
        <v>3795</v>
      </c>
      <c r="F42" s="3567" t="s">
        <v>3410</v>
      </c>
      <c r="G42" s="3562" t="s">
        <v>673</v>
      </c>
      <c r="H42" s="3567"/>
      <c r="I42" s="3567">
        <v>316.17</v>
      </c>
      <c r="J42" s="3568">
        <v>316.17</v>
      </c>
      <c r="K42" s="3567"/>
      <c r="L42" s="3567">
        <v>1100.298</v>
      </c>
      <c r="M42" s="3569">
        <v>34801</v>
      </c>
      <c r="N42" s="3567">
        <v>34800.834993832403</v>
      </c>
      <c r="O42" s="3562" t="s">
        <v>3804</v>
      </c>
      <c r="P42" s="3581">
        <v>45555</v>
      </c>
      <c r="Q42" s="3567" t="s">
        <v>3797</v>
      </c>
      <c r="R42" s="3567" t="s">
        <v>3690</v>
      </c>
      <c r="S42" s="3567">
        <v>912.298</v>
      </c>
      <c r="T42" s="3571">
        <v>28854.666793180899</v>
      </c>
      <c r="U42" s="3567"/>
      <c r="V42" s="3572">
        <v>1.2060730156155099</v>
      </c>
      <c r="W42" s="3567" t="s">
        <v>3564</v>
      </c>
    </row>
    <row r="43" spans="1:23" ht="60" customHeight="1">
      <c r="A43" s="3562">
        <v>673</v>
      </c>
      <c r="B43" s="3562" t="s">
        <v>3805</v>
      </c>
      <c r="C43" s="3562" t="s">
        <v>3806</v>
      </c>
      <c r="D43" s="3567" t="s">
        <v>3547</v>
      </c>
      <c r="E43" s="3567" t="s">
        <v>3795</v>
      </c>
      <c r="F43" s="3567" t="s">
        <v>3410</v>
      </c>
      <c r="G43" s="3562" t="s">
        <v>673</v>
      </c>
      <c r="H43" s="3567"/>
      <c r="I43" s="3567">
        <v>861.83</v>
      </c>
      <c r="J43" s="3568">
        <v>861.83</v>
      </c>
      <c r="K43" s="3567"/>
      <c r="L43" s="3567">
        <v>2599.4250670000001</v>
      </c>
      <c r="M43" s="3569">
        <v>30162</v>
      </c>
      <c r="N43" s="3567">
        <v>30161.691598111</v>
      </c>
      <c r="O43" s="3562" t="s">
        <v>3807</v>
      </c>
      <c r="P43" s="3581">
        <v>45555</v>
      </c>
      <c r="Q43" s="3567" t="s">
        <v>3797</v>
      </c>
      <c r="R43" s="3567" t="s">
        <v>3690</v>
      </c>
      <c r="S43" s="3567">
        <v>2388.4250000000002</v>
      </c>
      <c r="T43" s="3571">
        <v>27713.412157850202</v>
      </c>
      <c r="U43" s="3567"/>
      <c r="V43" s="3572">
        <v>1.08834276437401</v>
      </c>
      <c r="W43" s="3567" t="s">
        <v>3564</v>
      </c>
    </row>
    <row r="44" spans="1:23" ht="60" customHeight="1">
      <c r="A44" s="3562">
        <v>674</v>
      </c>
      <c r="B44" s="3562" t="s">
        <v>3808</v>
      </c>
      <c r="C44" s="3562" t="s">
        <v>3809</v>
      </c>
      <c r="D44" s="3567" t="s">
        <v>3547</v>
      </c>
      <c r="E44" s="3567" t="s">
        <v>3795</v>
      </c>
      <c r="F44" s="3567" t="s">
        <v>3410</v>
      </c>
      <c r="G44" s="3562" t="s">
        <v>673</v>
      </c>
      <c r="H44" s="3567"/>
      <c r="I44" s="3567">
        <v>1796.92</v>
      </c>
      <c r="J44" s="3568">
        <v>1796.92</v>
      </c>
      <c r="K44" s="3567"/>
      <c r="L44" s="3567">
        <v>4978.9059669999997</v>
      </c>
      <c r="M44" s="3569">
        <v>27708</v>
      </c>
      <c r="N44" s="3567">
        <v>27708.000172517401</v>
      </c>
      <c r="O44" s="3562" t="s">
        <v>3810</v>
      </c>
      <c r="P44" s="3581">
        <v>45555</v>
      </c>
      <c r="Q44" s="3567" t="s">
        <v>3797</v>
      </c>
      <c r="R44" s="3567" t="s">
        <v>3690</v>
      </c>
      <c r="S44" s="3567">
        <v>4978.9059669999997</v>
      </c>
      <c r="T44" s="3571">
        <v>27708.000172517401</v>
      </c>
      <c r="U44" s="3567"/>
      <c r="V44" s="3572">
        <v>1</v>
      </c>
      <c r="W44" s="3567" t="s">
        <v>3564</v>
      </c>
    </row>
    <row r="45" spans="1:23" ht="60" customHeight="1">
      <c r="A45" s="3562">
        <v>685</v>
      </c>
      <c r="B45" s="3562" t="s">
        <v>3811</v>
      </c>
      <c r="C45" s="3562" t="s">
        <v>3812</v>
      </c>
      <c r="D45" s="3567" t="s">
        <v>3664</v>
      </c>
      <c r="E45" s="3567" t="s">
        <v>3665</v>
      </c>
      <c r="F45" s="3562" t="s">
        <v>3813</v>
      </c>
      <c r="G45" s="3562" t="s">
        <v>3443</v>
      </c>
      <c r="H45" s="3567">
        <v>385.37</v>
      </c>
      <c r="I45" s="3567">
        <v>2505.4</v>
      </c>
      <c r="J45" s="3568">
        <v>2505.4</v>
      </c>
      <c r="K45" s="3567"/>
      <c r="L45" s="3567">
        <v>5709.6048000000001</v>
      </c>
      <c r="M45" s="3569">
        <v>22789</v>
      </c>
      <c r="N45" s="3567">
        <v>22789.194539794</v>
      </c>
      <c r="O45" s="3562" t="s">
        <v>3814</v>
      </c>
      <c r="P45" s="3581">
        <v>45589</v>
      </c>
      <c r="Q45" s="3562" t="s">
        <v>3815</v>
      </c>
      <c r="R45" s="3567" t="s">
        <v>3816</v>
      </c>
      <c r="S45" s="3567">
        <v>8388.58</v>
      </c>
      <c r="T45" s="3571">
        <v>33481.998882414002</v>
      </c>
      <c r="U45" s="3567"/>
      <c r="V45" s="3572">
        <v>0.68064020370551404</v>
      </c>
      <c r="W45" s="3567" t="s">
        <v>3564</v>
      </c>
    </row>
    <row r="46" spans="1:23" ht="60" customHeight="1">
      <c r="A46" s="3562">
        <v>689</v>
      </c>
      <c r="B46" s="3567" t="s">
        <v>3817</v>
      </c>
      <c r="C46" s="3562" t="s">
        <v>3818</v>
      </c>
      <c r="D46" s="3567" t="s">
        <v>3547</v>
      </c>
      <c r="E46" s="3567" t="s">
        <v>3819</v>
      </c>
      <c r="F46" s="3567" t="s">
        <v>3820</v>
      </c>
      <c r="G46" s="3562" t="s">
        <v>3821</v>
      </c>
      <c r="H46" s="3567"/>
      <c r="I46" s="3567">
        <v>6592.62</v>
      </c>
      <c r="J46" s="3568">
        <v>4285.6400000000003</v>
      </c>
      <c r="K46" s="3567">
        <v>2306.98</v>
      </c>
      <c r="L46" s="3567">
        <v>16620.8</v>
      </c>
      <c r="M46" s="3569">
        <v>25211</v>
      </c>
      <c r="N46" s="3567">
        <v>38782.538897340899</v>
      </c>
      <c r="O46" s="3562" t="s">
        <v>3822</v>
      </c>
      <c r="P46" s="3581">
        <v>45604</v>
      </c>
      <c r="Q46" s="3562" t="s">
        <v>3823</v>
      </c>
      <c r="R46" s="3567" t="s">
        <v>3715</v>
      </c>
      <c r="S46" s="3567">
        <v>20080</v>
      </c>
      <c r="T46" s="3571">
        <v>46854.145471854798</v>
      </c>
      <c r="U46" s="3567"/>
      <c r="V46" s="3572">
        <v>0.82772908366533904</v>
      </c>
      <c r="W46" s="3567" t="s">
        <v>3564</v>
      </c>
    </row>
    <row r="47" spans="1:23" ht="60" customHeight="1">
      <c r="A47" s="3562">
        <v>690</v>
      </c>
      <c r="B47" s="3562" t="s">
        <v>3824</v>
      </c>
      <c r="C47" s="3562" t="s">
        <v>3825</v>
      </c>
      <c r="D47" s="3567" t="s">
        <v>3547</v>
      </c>
      <c r="E47" s="3567" t="s">
        <v>3826</v>
      </c>
      <c r="F47" s="3567" t="s">
        <v>3827</v>
      </c>
      <c r="G47" s="3562" t="s">
        <v>3828</v>
      </c>
      <c r="H47" s="3567">
        <v>1715.57</v>
      </c>
      <c r="I47" s="3567">
        <v>4398.8999999999996</v>
      </c>
      <c r="J47" s="3568">
        <v>3573.4</v>
      </c>
      <c r="K47" s="3567">
        <v>825.5</v>
      </c>
      <c r="L47" s="3567">
        <v>11008.399600000001</v>
      </c>
      <c r="M47" s="3569">
        <v>25025</v>
      </c>
      <c r="N47" s="3567">
        <v>30806.513684446199</v>
      </c>
      <c r="O47" s="3562" t="s">
        <v>3829</v>
      </c>
      <c r="P47" s="3581">
        <v>45604</v>
      </c>
      <c r="Q47" s="3615" t="s">
        <v>3830</v>
      </c>
      <c r="R47" s="3567" t="s">
        <v>3816</v>
      </c>
      <c r="S47" s="3567">
        <v>16179.31</v>
      </c>
      <c r="T47" s="3571">
        <v>45277.075054569897</v>
      </c>
      <c r="U47" s="3567"/>
      <c r="V47" s="3572">
        <v>0.68039981927535897</v>
      </c>
      <c r="W47" s="3567" t="s">
        <v>3564</v>
      </c>
    </row>
    <row r="48" spans="1:23" s="3588" customFormat="1" ht="60" customHeight="1">
      <c r="A48" s="3564">
        <v>691</v>
      </c>
      <c r="B48" s="3564" t="s">
        <v>3831</v>
      </c>
      <c r="C48" s="3564" t="s">
        <v>3832</v>
      </c>
      <c r="D48" s="3582" t="s">
        <v>3547</v>
      </c>
      <c r="E48" s="3582" t="s">
        <v>3598</v>
      </c>
      <c r="F48" s="3582" t="s">
        <v>3599</v>
      </c>
      <c r="G48" s="3564" t="s">
        <v>3833</v>
      </c>
      <c r="H48" s="3582"/>
      <c r="I48" s="3582">
        <v>21750.47</v>
      </c>
      <c r="J48" s="3585">
        <v>16877.5</v>
      </c>
      <c r="K48" s="3582">
        <v>4872.97</v>
      </c>
      <c r="L48" s="3582">
        <v>82000</v>
      </c>
      <c r="M48" s="3569">
        <v>37700</v>
      </c>
      <c r="N48" s="3567">
        <v>48585.394756332404</v>
      </c>
      <c r="O48" s="3582" t="s">
        <v>43</v>
      </c>
      <c r="P48" s="3616">
        <v>45602</v>
      </c>
      <c r="Q48" s="3564" t="s">
        <v>3834</v>
      </c>
      <c r="R48" s="3582" t="s">
        <v>3603</v>
      </c>
      <c r="S48" s="3582"/>
      <c r="T48" s="3569">
        <v>0</v>
      </c>
      <c r="U48" s="3582"/>
      <c r="V48" s="3587" t="e">
        <v>#DIV/0!</v>
      </c>
      <c r="W48" s="3582" t="s">
        <v>3622</v>
      </c>
    </row>
    <row r="49" spans="1:23" ht="60" customHeight="1">
      <c r="A49" s="3562">
        <v>693</v>
      </c>
      <c r="B49" s="3567" t="s">
        <v>3835</v>
      </c>
      <c r="C49" s="3562" t="s">
        <v>3836</v>
      </c>
      <c r="D49" s="3567" t="s">
        <v>3694</v>
      </c>
      <c r="E49" s="3567" t="s">
        <v>3837</v>
      </c>
      <c r="F49" s="3567" t="s">
        <v>3838</v>
      </c>
      <c r="G49" s="3562" t="s">
        <v>3839</v>
      </c>
      <c r="H49" s="3567"/>
      <c r="I49" s="3567">
        <v>12302.41</v>
      </c>
      <c r="J49" s="3568">
        <v>9663.7900000000009</v>
      </c>
      <c r="K49" s="3567">
        <v>2638.62</v>
      </c>
      <c r="L49" s="3567">
        <v>25439.443469999998</v>
      </c>
      <c r="M49" s="3588">
        <v>20678</v>
      </c>
      <c r="N49" s="3566">
        <v>26324.499466565401</v>
      </c>
      <c r="O49" s="3562" t="s">
        <v>3840</v>
      </c>
      <c r="P49" s="3581">
        <v>45608</v>
      </c>
      <c r="Q49" s="3562" t="s">
        <v>3841</v>
      </c>
      <c r="R49" s="3567" t="s">
        <v>3842</v>
      </c>
      <c r="S49" s="3567">
        <v>36342.062100000003</v>
      </c>
      <c r="T49" s="3571">
        <v>37606.4278093791</v>
      </c>
      <c r="U49" s="3567"/>
      <c r="V49" s="3572">
        <v>0.7</v>
      </c>
      <c r="W49" s="3567" t="s">
        <v>3564</v>
      </c>
    </row>
    <row r="50" spans="1:23" ht="60" customHeight="1">
      <c r="A50" s="3562">
        <v>695</v>
      </c>
      <c r="B50" s="3562" t="s">
        <v>3843</v>
      </c>
      <c r="C50" s="3562" t="s">
        <v>3844</v>
      </c>
      <c r="D50" s="3567" t="s">
        <v>3547</v>
      </c>
      <c r="E50" s="3567" t="s">
        <v>3614</v>
      </c>
      <c r="F50" s="3562" t="s">
        <v>3845</v>
      </c>
      <c r="G50" s="3562" t="s">
        <v>3846</v>
      </c>
      <c r="H50" s="3567"/>
      <c r="I50" s="3567">
        <v>1552.64</v>
      </c>
      <c r="J50" s="3568">
        <v>1552.64</v>
      </c>
      <c r="K50" s="3567"/>
      <c r="L50" s="3567">
        <v>5250.0896000000002</v>
      </c>
      <c r="M50" s="3588">
        <v>33814</v>
      </c>
      <c r="N50" s="3566">
        <v>33813.953009068398</v>
      </c>
      <c r="O50" s="3562" t="s">
        <v>3847</v>
      </c>
      <c r="P50" s="3581">
        <v>45611</v>
      </c>
      <c r="Q50" s="3567" t="s">
        <v>3848</v>
      </c>
      <c r="R50" s="3567" t="s">
        <v>3731</v>
      </c>
      <c r="S50" s="3567">
        <v>9375.16</v>
      </c>
      <c r="T50" s="3571">
        <v>60382.058944764998</v>
      </c>
      <c r="U50" s="3567"/>
      <c r="V50" s="3572">
        <v>0.56000000000000005</v>
      </c>
      <c r="W50" s="3567" t="s">
        <v>3564</v>
      </c>
    </row>
    <row r="51" spans="1:23" ht="60" customHeight="1">
      <c r="A51" s="3562">
        <v>705</v>
      </c>
      <c r="B51" s="3567" t="s">
        <v>3849</v>
      </c>
      <c r="C51" s="3567" t="s">
        <v>3850</v>
      </c>
      <c r="D51" s="3567" t="s">
        <v>3694</v>
      </c>
      <c r="E51" s="3567" t="s">
        <v>3851</v>
      </c>
      <c r="F51" s="3567" t="s">
        <v>3570</v>
      </c>
      <c r="G51" s="3562" t="s">
        <v>673</v>
      </c>
      <c r="H51" s="3567"/>
      <c r="I51" s="3562">
        <v>376.61</v>
      </c>
      <c r="J51" s="3563">
        <v>376.61</v>
      </c>
      <c r="K51" s="3567"/>
      <c r="L51" s="3567">
        <v>1951.58</v>
      </c>
      <c r="M51" s="3588">
        <v>51820</v>
      </c>
      <c r="N51" s="3566">
        <v>51819.654284272903</v>
      </c>
      <c r="O51" s="3562" t="s">
        <v>3852</v>
      </c>
      <c r="P51" s="3580">
        <v>45627</v>
      </c>
      <c r="Q51" s="3617" t="s">
        <v>3853</v>
      </c>
      <c r="R51" s="3567" t="s">
        <v>3784</v>
      </c>
      <c r="S51" s="3567">
        <v>2087.96</v>
      </c>
      <c r="T51" s="3571">
        <v>55440.907039112099</v>
      </c>
      <c r="U51" s="3567"/>
      <c r="V51" s="3572">
        <v>0.93468265675587603</v>
      </c>
      <c r="W51" s="3567" t="s">
        <v>3564</v>
      </c>
    </row>
    <row r="52" spans="1:23" ht="60" customHeight="1">
      <c r="A52" s="3562">
        <v>712</v>
      </c>
      <c r="B52" s="3562" t="s">
        <v>3854</v>
      </c>
      <c r="C52" s="3567" t="s">
        <v>3855</v>
      </c>
      <c r="D52" s="3567" t="s">
        <v>3664</v>
      </c>
      <c r="E52" s="3567" t="s">
        <v>3856</v>
      </c>
      <c r="F52" s="3567" t="s">
        <v>3857</v>
      </c>
      <c r="G52" s="3562" t="s">
        <v>3858</v>
      </c>
      <c r="H52" s="3567"/>
      <c r="I52" s="3567">
        <v>22711.39</v>
      </c>
      <c r="J52" s="3568">
        <v>22711.39</v>
      </c>
      <c r="K52" s="3567"/>
      <c r="L52" s="3567">
        <v>68000.009999999995</v>
      </c>
      <c r="M52" s="3569">
        <v>29941</v>
      </c>
      <c r="N52" s="3567">
        <v>29940.928318345999</v>
      </c>
      <c r="O52" s="3567" t="s">
        <v>43</v>
      </c>
      <c r="P52" s="3570">
        <v>45645</v>
      </c>
      <c r="Q52" s="3567" t="s">
        <v>3859</v>
      </c>
      <c r="R52" s="3567" t="s">
        <v>3860</v>
      </c>
      <c r="S52" s="3567"/>
      <c r="T52" s="3571">
        <v>0</v>
      </c>
      <c r="U52" s="3567"/>
      <c r="V52" s="3572" t="e">
        <v>#DIV/0!</v>
      </c>
      <c r="W52" s="3567" t="s">
        <v>3861</v>
      </c>
    </row>
    <row r="53" spans="1:23" ht="60" customHeight="1">
      <c r="A53" s="3562">
        <v>716</v>
      </c>
      <c r="B53" s="3562" t="s">
        <v>3862</v>
      </c>
      <c r="C53" s="3562" t="s">
        <v>3863</v>
      </c>
      <c r="D53" s="3562" t="s">
        <v>3547</v>
      </c>
      <c r="E53" s="3567" t="s">
        <v>3795</v>
      </c>
      <c r="F53" s="3562" t="s">
        <v>3864</v>
      </c>
      <c r="G53" s="3562" t="s">
        <v>673</v>
      </c>
      <c r="H53" s="3567"/>
      <c r="I53" s="3568">
        <v>8056.29</v>
      </c>
      <c r="J53" s="3568">
        <v>8056.29</v>
      </c>
      <c r="K53" s="3568"/>
      <c r="L53" s="3567">
        <v>18466.659</v>
      </c>
      <c r="M53" s="3569">
        <v>22922</v>
      </c>
      <c r="N53" s="3567">
        <v>22922</v>
      </c>
      <c r="O53" s="3562" t="s">
        <v>3865</v>
      </c>
      <c r="P53" s="3581">
        <v>45648</v>
      </c>
      <c r="Q53" s="3562" t="s">
        <v>3866</v>
      </c>
      <c r="R53" s="3597" t="s">
        <v>3629</v>
      </c>
      <c r="S53" s="3567">
        <v>22952.37</v>
      </c>
      <c r="T53" s="3571">
        <v>28489.9997393341</v>
      </c>
      <c r="U53" s="3567"/>
      <c r="V53" s="3584">
        <v>0.80456436524855601</v>
      </c>
      <c r="W53" s="3567" t="s">
        <v>3564</v>
      </c>
    </row>
    <row r="54" spans="1:23" ht="60" customHeight="1">
      <c r="A54" s="3562">
        <v>719</v>
      </c>
      <c r="B54" s="3562" t="s">
        <v>3867</v>
      </c>
      <c r="C54" s="3562" t="s">
        <v>3868</v>
      </c>
      <c r="D54" s="3567" t="s">
        <v>3567</v>
      </c>
      <c r="E54" s="3567" t="s">
        <v>3869</v>
      </c>
      <c r="F54" s="3562" t="s">
        <v>3870</v>
      </c>
      <c r="G54" s="3562" t="s">
        <v>673</v>
      </c>
      <c r="H54" s="3567"/>
      <c r="I54" s="3567">
        <v>517.6</v>
      </c>
      <c r="J54" s="3568">
        <v>517.6</v>
      </c>
      <c r="K54" s="3567"/>
      <c r="L54" s="3567">
        <v>1108.24</v>
      </c>
      <c r="M54" s="3569">
        <v>21411</v>
      </c>
      <c r="N54" s="3567">
        <v>21411.128284389499</v>
      </c>
      <c r="O54" s="3562" t="s">
        <v>3871</v>
      </c>
      <c r="P54" s="3581">
        <v>45652</v>
      </c>
      <c r="Q54" s="3562" t="s">
        <v>3872</v>
      </c>
      <c r="R54" s="3567" t="s">
        <v>3715</v>
      </c>
      <c r="S54" s="3567">
        <v>1579</v>
      </c>
      <c r="T54" s="3571">
        <v>30506.1823802164</v>
      </c>
      <c r="U54" s="3567"/>
      <c r="V54" s="3572">
        <v>0.70186193793540197</v>
      </c>
      <c r="W54" s="3567" t="s">
        <v>3564</v>
      </c>
    </row>
    <row r="55" spans="1:23" ht="60" customHeight="1">
      <c r="A55" s="3562">
        <v>721</v>
      </c>
      <c r="B55" s="3562" t="s">
        <v>3873</v>
      </c>
      <c r="C55" s="3562" t="s">
        <v>3874</v>
      </c>
      <c r="D55" s="3567" t="s">
        <v>3567</v>
      </c>
      <c r="E55" s="3567" t="s">
        <v>3875</v>
      </c>
      <c r="F55" s="3567" t="s">
        <v>3738</v>
      </c>
      <c r="G55" s="3562" t="s">
        <v>3600</v>
      </c>
      <c r="H55" s="3567"/>
      <c r="I55" s="3567">
        <v>38487.19</v>
      </c>
      <c r="J55" s="3568">
        <v>30275.51</v>
      </c>
      <c r="K55" s="3567">
        <v>4567.6499999999996</v>
      </c>
      <c r="L55" s="3567">
        <v>277080.3</v>
      </c>
      <c r="M55" s="3571">
        <v>71993</v>
      </c>
      <c r="N55" s="3567">
        <v>91519.614368180701</v>
      </c>
      <c r="O55" s="3567" t="s">
        <v>43</v>
      </c>
      <c r="P55" s="3581">
        <v>45657</v>
      </c>
      <c r="Q55" s="3562" t="s">
        <v>3876</v>
      </c>
      <c r="R55" s="3567" t="s">
        <v>3877</v>
      </c>
      <c r="S55" s="3567"/>
      <c r="T55" s="3571">
        <v>0</v>
      </c>
      <c r="U55" s="3567"/>
      <c r="V55" s="3584" t="e">
        <v>#DIV/0!</v>
      </c>
      <c r="W55" s="3567" t="s">
        <v>3622</v>
      </c>
    </row>
    <row r="56" spans="1:23" ht="60" customHeight="1">
      <c r="A56" s="3562">
        <v>724</v>
      </c>
      <c r="B56" s="3562" t="s">
        <v>3878</v>
      </c>
      <c r="C56" s="3562" t="s">
        <v>3879</v>
      </c>
      <c r="D56" s="3567" t="s">
        <v>3664</v>
      </c>
      <c r="E56" s="3596" t="s">
        <v>3880</v>
      </c>
      <c r="F56" s="3567" t="s">
        <v>3881</v>
      </c>
      <c r="G56" s="3562" t="s">
        <v>3882</v>
      </c>
      <c r="H56" s="3567"/>
      <c r="I56" s="3567">
        <v>551.14</v>
      </c>
      <c r="J56" s="3568">
        <v>551.14</v>
      </c>
      <c r="K56" s="3567"/>
      <c r="L56" s="3567">
        <v>2106.1999999999998</v>
      </c>
      <c r="M56" s="3569">
        <v>38215</v>
      </c>
      <c r="N56" s="3567">
        <v>38215.335486446304</v>
      </c>
      <c r="O56" s="3567" t="s">
        <v>3570</v>
      </c>
      <c r="P56" s="3581">
        <v>45665</v>
      </c>
      <c r="Q56" s="3562" t="s">
        <v>3883</v>
      </c>
      <c r="R56" s="3567" t="s">
        <v>3884</v>
      </c>
      <c r="S56" s="3567">
        <v>1073.2049</v>
      </c>
      <c r="T56" s="3571">
        <v>19472.455274521901</v>
      </c>
      <c r="U56" s="3567"/>
      <c r="V56" s="3572">
        <v>1.9625329701718699</v>
      </c>
      <c r="W56" s="3567" t="s">
        <v>3564</v>
      </c>
    </row>
    <row r="57" spans="1:23" ht="60" customHeight="1">
      <c r="A57" s="3562">
        <v>725</v>
      </c>
      <c r="B57" s="3562" t="s">
        <v>3885</v>
      </c>
      <c r="C57" s="3562" t="s">
        <v>3886</v>
      </c>
      <c r="D57" s="3567" t="s">
        <v>3537</v>
      </c>
      <c r="E57" s="3567" t="s">
        <v>3887</v>
      </c>
      <c r="F57" s="3567" t="s">
        <v>3888</v>
      </c>
      <c r="G57" s="3562" t="s">
        <v>3889</v>
      </c>
      <c r="H57" s="3567"/>
      <c r="I57" s="3567">
        <v>120267.37</v>
      </c>
      <c r="J57" s="3568">
        <v>90549.83</v>
      </c>
      <c r="K57" s="3567">
        <v>29717.54</v>
      </c>
      <c r="L57" s="3567">
        <v>290000</v>
      </c>
      <c r="M57" s="3569">
        <v>24113</v>
      </c>
      <c r="N57" s="3567">
        <v>32026.5648207181</v>
      </c>
      <c r="O57" s="3567" t="s">
        <v>3890</v>
      </c>
      <c r="P57" s="3581">
        <v>45629</v>
      </c>
      <c r="Q57" s="3562" t="s">
        <v>3891</v>
      </c>
      <c r="R57" s="3567" t="s">
        <v>3877</v>
      </c>
      <c r="S57" s="3567"/>
      <c r="T57" s="3571">
        <v>0</v>
      </c>
      <c r="U57" s="3567"/>
      <c r="V57" s="3572" t="e">
        <v>#DIV/0!</v>
      </c>
      <c r="W57" s="3567" t="s">
        <v>3556</v>
      </c>
    </row>
    <row r="58" spans="1:23" ht="60" customHeight="1">
      <c r="A58" s="3562">
        <v>726</v>
      </c>
      <c r="B58" s="3562" t="s">
        <v>3892</v>
      </c>
      <c r="C58" s="3562" t="s">
        <v>3893</v>
      </c>
      <c r="D58" s="3567" t="s">
        <v>3547</v>
      </c>
      <c r="E58" s="3567" t="s">
        <v>3894</v>
      </c>
      <c r="F58" s="3562" t="s">
        <v>3895</v>
      </c>
      <c r="G58" s="3562" t="s">
        <v>3896</v>
      </c>
      <c r="H58" s="3567"/>
      <c r="I58" s="3567">
        <v>91329.32</v>
      </c>
      <c r="J58" s="3568">
        <v>81137.83</v>
      </c>
      <c r="K58" s="3568">
        <v>10191.49</v>
      </c>
      <c r="L58" s="3618">
        <v>168334.85</v>
      </c>
      <c r="M58" s="3569">
        <v>18432</v>
      </c>
      <c r="N58" s="3567">
        <v>20746.777427988902</v>
      </c>
      <c r="O58" s="3567" t="s">
        <v>3620</v>
      </c>
      <c r="P58" s="3570">
        <v>45671</v>
      </c>
      <c r="Q58" s="3562" t="s">
        <v>3897</v>
      </c>
      <c r="R58" s="3567" t="s">
        <v>3898</v>
      </c>
      <c r="S58" s="3567"/>
      <c r="T58" s="3571">
        <v>0</v>
      </c>
      <c r="U58" s="3567"/>
      <c r="V58" s="3572" t="e">
        <v>#DIV/0!</v>
      </c>
      <c r="W58" s="3567" t="s">
        <v>3622</v>
      </c>
    </row>
    <row r="59" spans="1:23" ht="60" customHeight="1">
      <c r="A59" s="3562">
        <v>732</v>
      </c>
      <c r="B59" s="3562" t="s">
        <v>3899</v>
      </c>
      <c r="C59" s="3562" t="s">
        <v>3900</v>
      </c>
      <c r="D59" s="3567" t="s">
        <v>3547</v>
      </c>
      <c r="E59" s="3567" t="s">
        <v>3901</v>
      </c>
      <c r="F59" s="3562" t="s">
        <v>3902</v>
      </c>
      <c r="G59" s="3562" t="s">
        <v>3903</v>
      </c>
      <c r="H59" s="3567"/>
      <c r="I59" s="3567">
        <v>7358.63</v>
      </c>
      <c r="J59" s="3568">
        <v>3400.96</v>
      </c>
      <c r="K59" s="3567">
        <v>3957.67</v>
      </c>
      <c r="L59" s="3618">
        <v>17772.328000000001</v>
      </c>
      <c r="M59" s="3569">
        <v>24152</v>
      </c>
      <c r="N59" s="3567">
        <v>52256.798080542001</v>
      </c>
      <c r="O59" s="3562" t="s">
        <v>3904</v>
      </c>
      <c r="P59" s="3581">
        <v>45695</v>
      </c>
      <c r="Q59" s="3562" t="s">
        <v>3905</v>
      </c>
      <c r="R59" s="3567" t="s">
        <v>3611</v>
      </c>
      <c r="S59" s="3567">
        <v>31736.3</v>
      </c>
      <c r="T59" s="3571">
        <v>93315.7108581106</v>
      </c>
      <c r="U59" s="3567"/>
      <c r="V59" s="3572">
        <v>0.56000000000000005</v>
      </c>
      <c r="W59" s="3567" t="s">
        <v>3564</v>
      </c>
    </row>
    <row r="60" spans="1:23" ht="60" customHeight="1">
      <c r="A60" s="3562">
        <v>733</v>
      </c>
      <c r="B60" s="3562" t="s">
        <v>3906</v>
      </c>
      <c r="C60" s="3562" t="s">
        <v>3907</v>
      </c>
      <c r="D60" s="3567" t="s">
        <v>3537</v>
      </c>
      <c r="E60" s="3567" t="s">
        <v>3908</v>
      </c>
      <c r="F60" s="3567" t="s">
        <v>3570</v>
      </c>
      <c r="G60" s="3562" t="s">
        <v>673</v>
      </c>
      <c r="H60" s="3567"/>
      <c r="I60" s="3567">
        <v>603.87</v>
      </c>
      <c r="J60" s="3568"/>
      <c r="K60" s="3567"/>
      <c r="L60" s="3567">
        <v>1062.8</v>
      </c>
      <c r="M60" s="3569">
        <v>17600</v>
      </c>
      <c r="N60" s="3567" t="e">
        <v>#DIV/0!</v>
      </c>
      <c r="O60" s="3567" t="s">
        <v>3570</v>
      </c>
      <c r="P60" s="3581">
        <v>45712</v>
      </c>
      <c r="Q60" s="3567" t="s">
        <v>3909</v>
      </c>
      <c r="R60" s="3567" t="s">
        <v>3766</v>
      </c>
      <c r="S60" s="3567">
        <v>1660.64</v>
      </c>
      <c r="T60" s="3571" t="e">
        <v>#DIV/0!</v>
      </c>
      <c r="U60" s="3567"/>
      <c r="V60" s="3572">
        <v>0.63999421909625198</v>
      </c>
      <c r="W60" s="3567" t="s">
        <v>3564</v>
      </c>
    </row>
    <row r="61" spans="1:23">
      <c r="M61" s="3569"/>
      <c r="N61" s="3567"/>
    </row>
    <row r="62" spans="1:23">
      <c r="M62" s="3569"/>
      <c r="N62" s="3567"/>
    </row>
    <row r="63" spans="1:23">
      <c r="M63" s="3569"/>
      <c r="N63" s="3567"/>
    </row>
    <row r="64" spans="1:23">
      <c r="M64" s="3588"/>
      <c r="N64" s="3566"/>
    </row>
    <row r="65" spans="13:14">
      <c r="M65" s="3588"/>
      <c r="N65" s="3566"/>
    </row>
    <row r="66" spans="13:14">
      <c r="M66" s="3588"/>
      <c r="N66" s="3566"/>
    </row>
    <row r="67" spans="13:14">
      <c r="M67" s="3588"/>
      <c r="N67" s="3566"/>
    </row>
    <row r="68" spans="13:14">
      <c r="M68" s="3588"/>
      <c r="N68" s="3566"/>
    </row>
    <row r="69" spans="13:14">
      <c r="M69" s="3588"/>
      <c r="N69" s="3566"/>
    </row>
    <row r="70" spans="13:14">
      <c r="M70" s="3588"/>
      <c r="N70" s="3566"/>
    </row>
    <row r="71" spans="13:14">
      <c r="M71" s="3588"/>
      <c r="N71" s="3566"/>
    </row>
    <row r="72" spans="13:14">
      <c r="M72" s="3588"/>
      <c r="N72" s="3566"/>
    </row>
    <row r="73" spans="13:14">
      <c r="M73" s="3588"/>
      <c r="N73" s="3566"/>
    </row>
    <row r="74" spans="13:14">
      <c r="M74" s="3588"/>
      <c r="N74" s="3566"/>
    </row>
    <row r="75" spans="13:14">
      <c r="M75" s="3588"/>
      <c r="N75" s="3566"/>
    </row>
    <row r="76" spans="13:14">
      <c r="M76" s="3588"/>
      <c r="N76" s="3566"/>
    </row>
    <row r="77" spans="13:14">
      <c r="M77" s="3588"/>
      <c r="N77" s="3566"/>
    </row>
    <row r="78" spans="13:14">
      <c r="M78" s="3588"/>
      <c r="N78" s="3566"/>
    </row>
    <row r="79" spans="13:14">
      <c r="M79" s="3588"/>
      <c r="N79" s="3566"/>
    </row>
    <row r="80" spans="13:14">
      <c r="M80" s="3588"/>
      <c r="N80" s="3566"/>
    </row>
    <row r="81" spans="13:14">
      <c r="M81" s="3588"/>
      <c r="N81" s="3566"/>
    </row>
    <row r="82" spans="13:14">
      <c r="M82" s="3588"/>
      <c r="N82" s="3566"/>
    </row>
    <row r="83" spans="13:14">
      <c r="M83" s="3588"/>
      <c r="N83" s="3566"/>
    </row>
    <row r="84" spans="13:14">
      <c r="M84" s="3588"/>
      <c r="N84" s="3566"/>
    </row>
    <row r="85" spans="13:14">
      <c r="M85" s="3588"/>
      <c r="N85" s="3566"/>
    </row>
    <row r="86" spans="13:14">
      <c r="M86" s="3588"/>
      <c r="N86" s="3566"/>
    </row>
    <row r="87" spans="13:14">
      <c r="M87" s="3588"/>
      <c r="N87" s="3566"/>
    </row>
    <row r="88" spans="13:14">
      <c r="M88" s="3588"/>
      <c r="N88" s="3566"/>
    </row>
    <row r="89" spans="13:14">
      <c r="M89" s="3588"/>
      <c r="N89" s="3566"/>
    </row>
    <row r="90" spans="13:14">
      <c r="M90" s="3588"/>
      <c r="N90" s="3566"/>
    </row>
    <row r="91" spans="13:14">
      <c r="M91" s="3588"/>
      <c r="N91" s="3566"/>
    </row>
    <row r="92" spans="13:14">
      <c r="M92" s="3588"/>
      <c r="N92" s="3566"/>
    </row>
    <row r="93" spans="13:14">
      <c r="M93" s="3588"/>
      <c r="N93" s="3566"/>
    </row>
    <row r="94" spans="13:14">
      <c r="M94" s="3588"/>
      <c r="N94" s="3566"/>
    </row>
    <row r="95" spans="13:14">
      <c r="M95" s="3588"/>
      <c r="N95" s="3566"/>
    </row>
    <row r="96" spans="13:14">
      <c r="M96" s="3588"/>
      <c r="N96" s="3566"/>
    </row>
    <row r="97" spans="13:14">
      <c r="M97" s="3588"/>
      <c r="N97" s="3566"/>
    </row>
    <row r="98" spans="13:14">
      <c r="M98" s="3588"/>
      <c r="N98" s="3566"/>
    </row>
    <row r="99" spans="13:14">
      <c r="M99" s="3588"/>
      <c r="N99" s="3566"/>
    </row>
    <row r="100" spans="13:14">
      <c r="M100" s="3588"/>
      <c r="N100" s="3566"/>
    </row>
    <row r="101" spans="13:14">
      <c r="M101" s="3588"/>
      <c r="N101" s="3566"/>
    </row>
    <row r="102" spans="13:14">
      <c r="M102" s="3588"/>
      <c r="N102" s="3566"/>
    </row>
    <row r="103" spans="13:14">
      <c r="M103" s="3588"/>
      <c r="N103" s="3566"/>
    </row>
    <row r="104" spans="13:14">
      <c r="M104" s="3588"/>
      <c r="N104" s="3566"/>
    </row>
    <row r="105" spans="13:14">
      <c r="M105" s="3588"/>
      <c r="N105" s="3566"/>
    </row>
    <row r="106" spans="13:14">
      <c r="M106" s="3588"/>
      <c r="N106" s="3566"/>
    </row>
    <row r="107" spans="13:14">
      <c r="M107" s="3588"/>
      <c r="N107" s="3566"/>
    </row>
    <row r="108" spans="13:14">
      <c r="M108" s="3588"/>
      <c r="N108" s="3566"/>
    </row>
    <row r="109" spans="13:14">
      <c r="M109" s="3588"/>
      <c r="N109" s="3566"/>
    </row>
    <row r="110" spans="13:14">
      <c r="M110" s="3588"/>
      <c r="N110" s="3566"/>
    </row>
    <row r="111" spans="13:14">
      <c r="M111" s="3588"/>
      <c r="N111" s="3566"/>
    </row>
    <row r="112" spans="13:14">
      <c r="M112" s="3588"/>
      <c r="N112" s="3566"/>
    </row>
    <row r="113" spans="13:14">
      <c r="M113" s="3588"/>
      <c r="N113" s="3566"/>
    </row>
    <row r="114" spans="13:14">
      <c r="M114" s="3588"/>
      <c r="N114" s="3566"/>
    </row>
    <row r="115" spans="13:14">
      <c r="M115" s="3588"/>
      <c r="N115" s="3566"/>
    </row>
    <row r="116" spans="13:14">
      <c r="M116" s="3588"/>
      <c r="N116" s="3566"/>
    </row>
    <row r="117" spans="13:14">
      <c r="M117" s="3588"/>
      <c r="N117" s="3566"/>
    </row>
    <row r="118" spans="13:14">
      <c r="M118" s="3588"/>
      <c r="N118" s="3566"/>
    </row>
    <row r="119" spans="13:14">
      <c r="M119" s="3588"/>
      <c r="N119" s="3566"/>
    </row>
    <row r="120" spans="13:14">
      <c r="M120" s="3588"/>
      <c r="N120" s="3566"/>
    </row>
    <row r="121" spans="13:14">
      <c r="M121" s="3588"/>
      <c r="N121" s="3566"/>
    </row>
    <row r="122" spans="13:14">
      <c r="M122" s="3588"/>
      <c r="N122" s="3566"/>
    </row>
    <row r="123" spans="13:14">
      <c r="M123" s="3588"/>
      <c r="N123" s="3566"/>
    </row>
    <row r="124" spans="13:14">
      <c r="M124" s="3588"/>
      <c r="N124" s="3566"/>
    </row>
    <row r="125" spans="13:14">
      <c r="M125" s="3588"/>
      <c r="N125" s="3566"/>
    </row>
    <row r="126" spans="13:14">
      <c r="M126" s="3588"/>
      <c r="N126" s="3566"/>
    </row>
    <row r="127" spans="13:14">
      <c r="M127" s="3588"/>
      <c r="N127" s="3566"/>
    </row>
    <row r="128" spans="13:14">
      <c r="M128" s="3588"/>
      <c r="N128" s="3566"/>
    </row>
    <row r="129" spans="13:14">
      <c r="M129" s="3588"/>
      <c r="N129" s="3566"/>
    </row>
    <row r="130" spans="13:14">
      <c r="M130" s="3588"/>
      <c r="N130" s="3566"/>
    </row>
    <row r="131" spans="13:14">
      <c r="M131" s="3588"/>
      <c r="N131" s="3566"/>
    </row>
    <row r="132" spans="13:14">
      <c r="M132" s="3588"/>
      <c r="N132" s="3566"/>
    </row>
    <row r="133" spans="13:14">
      <c r="M133" s="3588"/>
      <c r="N133" s="3566"/>
    </row>
    <row r="134" spans="13:14">
      <c r="M134" s="3588"/>
      <c r="N134" s="3566"/>
    </row>
    <row r="135" spans="13:14">
      <c r="M135" s="3588"/>
      <c r="N135" s="3566"/>
    </row>
    <row r="136" spans="13:14">
      <c r="M136" s="3588"/>
      <c r="N136" s="3566"/>
    </row>
    <row r="137" spans="13:14">
      <c r="M137" s="3588"/>
      <c r="N137" s="3566"/>
    </row>
    <row r="138" spans="13:14">
      <c r="M138" s="3588"/>
      <c r="N138" s="3566"/>
    </row>
    <row r="139" spans="13:14">
      <c r="M139" s="3588"/>
      <c r="N139" s="3566"/>
    </row>
    <row r="140" spans="13:14">
      <c r="M140" s="3588"/>
      <c r="N140" s="3566"/>
    </row>
    <row r="141" spans="13:14">
      <c r="M141" s="3588"/>
      <c r="N141" s="3566"/>
    </row>
    <row r="142" spans="13:14">
      <c r="M142" s="3588"/>
      <c r="N142" s="3566"/>
    </row>
    <row r="143" spans="13:14">
      <c r="M143" s="3588"/>
      <c r="N143" s="3566"/>
    </row>
    <row r="144" spans="13:14">
      <c r="M144" s="3588"/>
      <c r="N144" s="3566"/>
    </row>
    <row r="145" spans="13:14">
      <c r="M145" s="3588"/>
      <c r="N145" s="3566"/>
    </row>
    <row r="146" spans="13:14">
      <c r="M146" s="3588"/>
      <c r="N146" s="3566"/>
    </row>
    <row r="147" spans="13:14">
      <c r="M147" s="3588"/>
      <c r="N147" s="3566"/>
    </row>
    <row r="148" spans="13:14">
      <c r="M148" s="3588"/>
      <c r="N148" s="3566"/>
    </row>
    <row r="149" spans="13:14">
      <c r="M149" s="3588"/>
      <c r="N149" s="3566"/>
    </row>
    <row r="150" spans="13:14">
      <c r="M150" s="3588"/>
      <c r="N150" s="3566"/>
    </row>
    <row r="151" spans="13:14">
      <c r="M151" s="3588"/>
      <c r="N151" s="3566"/>
    </row>
    <row r="152" spans="13:14">
      <c r="M152" s="3588"/>
      <c r="N152" s="3566"/>
    </row>
    <row r="153" spans="13:14">
      <c r="M153" s="3588"/>
      <c r="N153" s="3566"/>
    </row>
    <row r="154" spans="13:14">
      <c r="M154" s="3588"/>
      <c r="N154" s="3566"/>
    </row>
    <row r="155" spans="13:14">
      <c r="M155" s="3588"/>
      <c r="N155" s="3566"/>
    </row>
    <row r="156" spans="13:14">
      <c r="M156" s="3588"/>
      <c r="N156" s="3566"/>
    </row>
    <row r="157" spans="13:14">
      <c r="M157" s="3588"/>
      <c r="N157" s="3566"/>
    </row>
    <row r="158" spans="13:14">
      <c r="M158" s="3588"/>
      <c r="N158" s="3566"/>
    </row>
    <row r="159" spans="13:14">
      <c r="M159" s="3588"/>
      <c r="N159" s="3566"/>
    </row>
    <row r="160" spans="13:14">
      <c r="M160" s="3588"/>
      <c r="N160" s="3566"/>
    </row>
    <row r="161" spans="13:14">
      <c r="M161" s="3588"/>
      <c r="N161" s="3566"/>
    </row>
    <row r="162" spans="13:14">
      <c r="M162" s="3588"/>
      <c r="N162" s="3566"/>
    </row>
    <row r="163" spans="13:14">
      <c r="M163" s="3588"/>
      <c r="N163" s="3566"/>
    </row>
    <row r="164" spans="13:14">
      <c r="M164" s="3588"/>
      <c r="N164" s="3566"/>
    </row>
    <row r="165" spans="13:14">
      <c r="M165" s="3588"/>
      <c r="N165" s="3566"/>
    </row>
    <row r="166" spans="13:14">
      <c r="M166" s="3588"/>
      <c r="N166" s="3566"/>
    </row>
    <row r="167" spans="13:14">
      <c r="M167" s="3588"/>
      <c r="N167" s="3566"/>
    </row>
    <row r="168" spans="13:14">
      <c r="M168" s="3588"/>
      <c r="N168" s="3566"/>
    </row>
    <row r="169" spans="13:14">
      <c r="M169" s="3588"/>
      <c r="N169" s="3566"/>
    </row>
    <row r="170" spans="13:14">
      <c r="M170" s="3588"/>
      <c r="N170" s="3566"/>
    </row>
    <row r="171" spans="13:14">
      <c r="M171" s="3588"/>
      <c r="N171" s="3566"/>
    </row>
    <row r="172" spans="13:14">
      <c r="M172" s="3588"/>
      <c r="N172" s="3566"/>
    </row>
    <row r="173" spans="13:14">
      <c r="M173" s="3588"/>
      <c r="N173" s="3566"/>
    </row>
    <row r="174" spans="13:14">
      <c r="M174" s="3588"/>
      <c r="N174" s="3566"/>
    </row>
    <row r="175" spans="13:14">
      <c r="M175" s="3588"/>
      <c r="N175" s="3566"/>
    </row>
    <row r="176" spans="13:14">
      <c r="M176" s="3588"/>
      <c r="N176" s="3566"/>
    </row>
    <row r="177" spans="13:14">
      <c r="M177" s="3588"/>
      <c r="N177" s="3566"/>
    </row>
    <row r="178" spans="13:14">
      <c r="M178" s="3588"/>
      <c r="N178" s="3566"/>
    </row>
    <row r="179" spans="13:14">
      <c r="M179" s="3588"/>
      <c r="N179" s="3566"/>
    </row>
    <row r="180" spans="13:14">
      <c r="M180" s="3588"/>
      <c r="N180" s="3566"/>
    </row>
    <row r="181" spans="13:14">
      <c r="M181" s="3588"/>
      <c r="N181" s="3566"/>
    </row>
    <row r="182" spans="13:14">
      <c r="M182" s="3588"/>
      <c r="N182" s="3566"/>
    </row>
    <row r="183" spans="13:14">
      <c r="M183" s="3588"/>
      <c r="N183" s="3566"/>
    </row>
    <row r="184" spans="13:14">
      <c r="M184" s="3588"/>
      <c r="N184" s="3566"/>
    </row>
    <row r="185" spans="13:14">
      <c r="M185" s="3588"/>
      <c r="N185" s="3566"/>
    </row>
    <row r="186" spans="13:14">
      <c r="M186" s="3588"/>
      <c r="N186" s="3566"/>
    </row>
    <row r="187" spans="13:14">
      <c r="M187" s="3588"/>
      <c r="N187" s="3566"/>
    </row>
    <row r="188" spans="13:14">
      <c r="M188" s="3588"/>
      <c r="N188" s="3566"/>
    </row>
    <row r="189" spans="13:14">
      <c r="M189" s="3588"/>
      <c r="N189" s="3566"/>
    </row>
    <row r="190" spans="13:14">
      <c r="M190" s="3588"/>
      <c r="N190" s="3566"/>
    </row>
    <row r="191" spans="13:14">
      <c r="M191" s="3588"/>
      <c r="N191" s="3566"/>
    </row>
    <row r="192" spans="13:14">
      <c r="M192" s="3588"/>
      <c r="N192" s="3566"/>
    </row>
    <row r="193" spans="13:14">
      <c r="M193" s="3588"/>
      <c r="N193" s="3566"/>
    </row>
    <row r="194" spans="13:14">
      <c r="M194" s="3588"/>
      <c r="N194" s="3566"/>
    </row>
    <row r="195" spans="13:14">
      <c r="M195" s="3588"/>
      <c r="N195" s="3566"/>
    </row>
    <row r="196" spans="13:14">
      <c r="M196" s="3588"/>
      <c r="N196" s="3566"/>
    </row>
    <row r="197" spans="13:14">
      <c r="M197" s="3588"/>
      <c r="N197" s="3566"/>
    </row>
    <row r="198" spans="13:14">
      <c r="M198" s="3588"/>
      <c r="N198" s="3566"/>
    </row>
    <row r="199" spans="13:14">
      <c r="M199" s="3588"/>
      <c r="N199" s="3566"/>
    </row>
    <row r="200" spans="13:14">
      <c r="M200" s="3588"/>
      <c r="N200" s="3566"/>
    </row>
    <row r="201" spans="13:14">
      <c r="M201" s="3588"/>
      <c r="N201" s="3566"/>
    </row>
    <row r="202" spans="13:14">
      <c r="M202" s="3588"/>
      <c r="N202" s="3566"/>
    </row>
    <row r="203" spans="13:14">
      <c r="M203" s="3588"/>
      <c r="N203" s="3566"/>
    </row>
    <row r="204" spans="13:14">
      <c r="M204" s="3588"/>
      <c r="N204" s="3566"/>
    </row>
    <row r="205" spans="13:14">
      <c r="M205" s="3588"/>
      <c r="N205" s="3566"/>
    </row>
    <row r="206" spans="13:14">
      <c r="M206" s="3588"/>
      <c r="N206" s="3566"/>
    </row>
    <row r="207" spans="13:14">
      <c r="M207" s="3588"/>
      <c r="N207" s="3566"/>
    </row>
    <row r="208" spans="13:14">
      <c r="M208" s="3588"/>
      <c r="N208" s="3566"/>
    </row>
    <row r="209" spans="13:14">
      <c r="M209" s="3588"/>
      <c r="N209" s="3566"/>
    </row>
    <row r="210" spans="13:14">
      <c r="M210" s="3588"/>
      <c r="N210" s="3566"/>
    </row>
    <row r="211" spans="13:14">
      <c r="M211" s="3588"/>
      <c r="N211" s="3566"/>
    </row>
    <row r="212" spans="13:14">
      <c r="M212" s="3588"/>
      <c r="N212" s="3566"/>
    </row>
    <row r="213" spans="13:14">
      <c r="M213" s="3588"/>
      <c r="N213" s="3566"/>
    </row>
    <row r="214" spans="13:14">
      <c r="M214" s="3588"/>
      <c r="N214" s="3566"/>
    </row>
    <row r="215" spans="13:14">
      <c r="M215" s="3588"/>
      <c r="N215" s="3566"/>
    </row>
    <row r="216" spans="13:14">
      <c r="M216" s="3588"/>
      <c r="N216" s="3566"/>
    </row>
    <row r="217" spans="13:14">
      <c r="M217" s="3588"/>
      <c r="N217" s="3566"/>
    </row>
    <row r="218" spans="13:14">
      <c r="M218" s="3588"/>
      <c r="N218" s="3566"/>
    </row>
    <row r="219" spans="13:14">
      <c r="M219" s="3588"/>
      <c r="N219" s="3566"/>
    </row>
    <row r="220" spans="13:14">
      <c r="M220" s="3588"/>
      <c r="N220" s="3566"/>
    </row>
    <row r="221" spans="13:14">
      <c r="M221" s="3588"/>
      <c r="N221" s="3566"/>
    </row>
    <row r="222" spans="13:14">
      <c r="M222" s="3588"/>
      <c r="N222" s="3566"/>
    </row>
    <row r="223" spans="13:14">
      <c r="M223" s="3588"/>
      <c r="N223" s="3566"/>
    </row>
    <row r="224" spans="13:14">
      <c r="M224" s="3588"/>
      <c r="N224" s="3566"/>
    </row>
    <row r="225" spans="13:14">
      <c r="M225" s="3588"/>
      <c r="N225" s="3566"/>
    </row>
    <row r="226" spans="13:14">
      <c r="M226" s="3588"/>
      <c r="N226" s="3566"/>
    </row>
    <row r="227" spans="13:14">
      <c r="M227" s="3588"/>
      <c r="N227" s="3566"/>
    </row>
    <row r="228" spans="13:14">
      <c r="M228" s="3588"/>
      <c r="N228" s="3566"/>
    </row>
    <row r="229" spans="13:14">
      <c r="M229" s="3588"/>
      <c r="N229" s="3566"/>
    </row>
    <row r="230" spans="13:14">
      <c r="M230" s="3588"/>
      <c r="N230" s="3566"/>
    </row>
    <row r="231" spans="13:14">
      <c r="M231" s="3588"/>
      <c r="N231" s="3566"/>
    </row>
    <row r="232" spans="13:14">
      <c r="M232" s="3588"/>
      <c r="N232" s="3566"/>
    </row>
    <row r="233" spans="13:14">
      <c r="M233" s="3588"/>
      <c r="N233" s="3566"/>
    </row>
    <row r="234" spans="13:14">
      <c r="M234" s="3588"/>
      <c r="N234" s="3566"/>
    </row>
    <row r="235" spans="13:14">
      <c r="M235" s="3588"/>
      <c r="N235" s="3566"/>
    </row>
    <row r="236" spans="13:14">
      <c r="M236" s="3588"/>
      <c r="N236" s="3566"/>
    </row>
    <row r="237" spans="13:14">
      <c r="M237" s="3588"/>
      <c r="N237" s="3566"/>
    </row>
    <row r="238" spans="13:14">
      <c r="M238" s="3588"/>
      <c r="N238" s="3566"/>
    </row>
    <row r="239" spans="13:14">
      <c r="M239" s="3588"/>
      <c r="N239" s="3566"/>
    </row>
    <row r="240" spans="13:14">
      <c r="M240" s="3588"/>
      <c r="N240" s="3566"/>
    </row>
    <row r="241" spans="13:14">
      <c r="M241" s="3588"/>
      <c r="N241" s="3566"/>
    </row>
    <row r="242" spans="13:14">
      <c r="M242" s="3588"/>
      <c r="N242" s="3566"/>
    </row>
    <row r="243" spans="13:14">
      <c r="M243" s="3588"/>
      <c r="N243" s="3566"/>
    </row>
    <row r="244" spans="13:14">
      <c r="M244" s="3588"/>
      <c r="N244" s="3566"/>
    </row>
    <row r="245" spans="13:14">
      <c r="M245" s="3588"/>
      <c r="N245" s="3566"/>
    </row>
    <row r="246" spans="13:14">
      <c r="M246" s="3588"/>
      <c r="N246" s="3566"/>
    </row>
    <row r="247" spans="13:14">
      <c r="M247" s="3588"/>
      <c r="N247" s="3566"/>
    </row>
    <row r="248" spans="13:14">
      <c r="M248" s="3588"/>
      <c r="N248" s="3566"/>
    </row>
    <row r="249" spans="13:14">
      <c r="M249" s="3588"/>
      <c r="N249" s="3566"/>
    </row>
    <row r="250" spans="13:14">
      <c r="M250" s="3588"/>
      <c r="N250" s="3566"/>
    </row>
    <row r="251" spans="13:14">
      <c r="M251" s="3588"/>
      <c r="N251" s="3566"/>
    </row>
    <row r="252" spans="13:14">
      <c r="M252" s="3588"/>
      <c r="N252" s="3566"/>
    </row>
    <row r="253" spans="13:14">
      <c r="M253" s="3588"/>
      <c r="N253" s="3566"/>
    </row>
    <row r="254" spans="13:14">
      <c r="M254" s="3588"/>
      <c r="N254" s="3566"/>
    </row>
    <row r="255" spans="13:14">
      <c r="M255" s="3588"/>
      <c r="N255" s="3566"/>
    </row>
    <row r="256" spans="13:14">
      <c r="M256" s="3588"/>
      <c r="N256" s="3566"/>
    </row>
    <row r="257" spans="13:14">
      <c r="M257" s="3588"/>
      <c r="N257" s="3566"/>
    </row>
    <row r="258" spans="13:14">
      <c r="M258" s="3588"/>
      <c r="N258" s="3566"/>
    </row>
    <row r="259" spans="13:14">
      <c r="M259" s="3588"/>
      <c r="N259" s="3566"/>
    </row>
    <row r="260" spans="13:14">
      <c r="M260" s="3588"/>
      <c r="N260" s="3566"/>
    </row>
    <row r="261" spans="13:14">
      <c r="M261" s="3588"/>
      <c r="N261" s="3566"/>
    </row>
    <row r="262" spans="13:14">
      <c r="M262" s="3588"/>
      <c r="N262" s="3566"/>
    </row>
    <row r="263" spans="13:14">
      <c r="M263" s="3588"/>
      <c r="N263" s="3566"/>
    </row>
    <row r="264" spans="13:14">
      <c r="M264" s="3588"/>
      <c r="N264" s="3566"/>
    </row>
    <row r="265" spans="13:14">
      <c r="M265" s="3588"/>
      <c r="N265" s="3566"/>
    </row>
    <row r="266" spans="13:14">
      <c r="M266" s="3588"/>
      <c r="N266" s="3566"/>
    </row>
    <row r="267" spans="13:14">
      <c r="M267" s="3588"/>
      <c r="N267" s="3566"/>
    </row>
    <row r="268" spans="13:14">
      <c r="M268" s="3588"/>
      <c r="N268" s="3566"/>
    </row>
    <row r="269" spans="13:14">
      <c r="M269" s="3588"/>
      <c r="N269" s="3566"/>
    </row>
    <row r="270" spans="13:14">
      <c r="M270" s="3588"/>
      <c r="N270" s="3566"/>
    </row>
    <row r="271" spans="13:14">
      <c r="M271" s="3588"/>
      <c r="N271" s="3566"/>
    </row>
    <row r="272" spans="13:14">
      <c r="M272" s="3588"/>
      <c r="N272" s="3566"/>
    </row>
    <row r="273" spans="13:14">
      <c r="M273" s="3588"/>
      <c r="N273" s="3566"/>
    </row>
    <row r="274" spans="13:14">
      <c r="M274" s="3588"/>
      <c r="N274" s="3566"/>
    </row>
    <row r="275" spans="13:14">
      <c r="M275" s="3588"/>
      <c r="N275" s="3566"/>
    </row>
    <row r="276" spans="13:14">
      <c r="M276" s="3588"/>
      <c r="N276" s="3566"/>
    </row>
    <row r="277" spans="13:14">
      <c r="M277" s="3588"/>
      <c r="N277" s="3566"/>
    </row>
    <row r="278" spans="13:14">
      <c r="M278" s="3588"/>
      <c r="N278" s="3566"/>
    </row>
    <row r="279" spans="13:14">
      <c r="M279" s="3588"/>
      <c r="N279" s="3566"/>
    </row>
    <row r="280" spans="13:14">
      <c r="M280" s="3588"/>
      <c r="N280" s="3566"/>
    </row>
    <row r="281" spans="13:14">
      <c r="M281" s="3588"/>
      <c r="N281" s="3566"/>
    </row>
    <row r="282" spans="13:14">
      <c r="M282" s="3588"/>
      <c r="N282" s="3566"/>
    </row>
    <row r="283" spans="13:14">
      <c r="M283" s="3588"/>
      <c r="N283" s="3566"/>
    </row>
    <row r="284" spans="13:14">
      <c r="M284" s="3588"/>
      <c r="N284" s="3566"/>
    </row>
    <row r="285" spans="13:14">
      <c r="M285" s="3588"/>
      <c r="N285" s="3566"/>
    </row>
    <row r="286" spans="13:14">
      <c r="M286" s="3588"/>
      <c r="N286" s="3566"/>
    </row>
    <row r="287" spans="13:14">
      <c r="M287" s="3588"/>
      <c r="N287" s="3566"/>
    </row>
    <row r="288" spans="13:14">
      <c r="M288" s="3588"/>
      <c r="N288" s="3566"/>
    </row>
    <row r="289" spans="13:14">
      <c r="M289" s="3588"/>
      <c r="N289" s="3566"/>
    </row>
    <row r="290" spans="13:14">
      <c r="M290" s="3588"/>
      <c r="N290" s="3566"/>
    </row>
    <row r="291" spans="13:14">
      <c r="M291" s="3588"/>
      <c r="N291" s="3566"/>
    </row>
    <row r="292" spans="13:14">
      <c r="M292" s="3588"/>
      <c r="N292" s="3566"/>
    </row>
    <row r="293" spans="13:14">
      <c r="M293" s="3588"/>
      <c r="N293" s="3566"/>
    </row>
    <row r="294" spans="13:14">
      <c r="M294" s="3588"/>
      <c r="N294" s="3566"/>
    </row>
    <row r="295" spans="13:14">
      <c r="M295" s="3588"/>
      <c r="N295" s="3566"/>
    </row>
    <row r="296" spans="13:14">
      <c r="M296" s="3588"/>
      <c r="N296" s="3566"/>
    </row>
    <row r="297" spans="13:14">
      <c r="M297" s="3588"/>
      <c r="N297" s="3566"/>
    </row>
    <row r="298" spans="13:14">
      <c r="M298" s="3588"/>
      <c r="N298" s="3566"/>
    </row>
    <row r="299" spans="13:14">
      <c r="M299" s="3588"/>
      <c r="N299" s="3566"/>
    </row>
    <row r="300" spans="13:14">
      <c r="M300" s="3588"/>
      <c r="N300" s="3566"/>
    </row>
    <row r="301" spans="13:14">
      <c r="M301" s="3588"/>
      <c r="N301" s="3566"/>
    </row>
    <row r="302" spans="13:14">
      <c r="M302" s="3588"/>
      <c r="N302" s="3566"/>
    </row>
    <row r="303" spans="13:14">
      <c r="M303" s="3588"/>
      <c r="N303" s="3566"/>
    </row>
    <row r="304" spans="13:14">
      <c r="M304" s="3588"/>
      <c r="N304" s="3566"/>
    </row>
    <row r="305" spans="13:14">
      <c r="M305" s="3588"/>
      <c r="N305" s="3566"/>
    </row>
    <row r="306" spans="13:14">
      <c r="M306" s="3588"/>
      <c r="N306" s="3566"/>
    </row>
    <row r="307" spans="13:14">
      <c r="M307" s="3588"/>
      <c r="N307" s="3566"/>
    </row>
    <row r="308" spans="13:14">
      <c r="M308" s="3588"/>
      <c r="N308" s="3566"/>
    </row>
    <row r="309" spans="13:14">
      <c r="M309" s="3588"/>
      <c r="N309" s="3566"/>
    </row>
    <row r="310" spans="13:14">
      <c r="M310" s="3588"/>
      <c r="N310" s="3566"/>
    </row>
    <row r="311" spans="13:14">
      <c r="M311" s="3588"/>
      <c r="N311" s="3566"/>
    </row>
    <row r="312" spans="13:14">
      <c r="M312" s="3588"/>
      <c r="N312" s="3566"/>
    </row>
    <row r="313" spans="13:14">
      <c r="M313" s="3588"/>
      <c r="N313" s="3566"/>
    </row>
    <row r="314" spans="13:14">
      <c r="M314" s="3588"/>
      <c r="N314" s="3566"/>
    </row>
    <row r="315" spans="13:14">
      <c r="M315" s="3588"/>
      <c r="N315" s="3566"/>
    </row>
    <row r="316" spans="13:14">
      <c r="M316" s="3588"/>
      <c r="N316" s="3566"/>
    </row>
    <row r="317" spans="13:14">
      <c r="M317" s="3588"/>
      <c r="N317" s="3566"/>
    </row>
    <row r="318" spans="13:14">
      <c r="M318" s="3588"/>
      <c r="N318" s="3566"/>
    </row>
    <row r="319" spans="13:14">
      <c r="M319" s="3588"/>
      <c r="N319" s="3566"/>
    </row>
    <row r="320" spans="13:14">
      <c r="M320" s="3588"/>
      <c r="N320" s="3566"/>
    </row>
    <row r="321" spans="13:14">
      <c r="M321" s="3588"/>
      <c r="N321" s="3566"/>
    </row>
    <row r="322" spans="13:14">
      <c r="M322" s="3588"/>
      <c r="N322" s="3566"/>
    </row>
    <row r="323" spans="13:14">
      <c r="M323" s="3588"/>
      <c r="N323" s="3566"/>
    </row>
    <row r="324" spans="13:14">
      <c r="M324" s="3588"/>
      <c r="N324" s="3566"/>
    </row>
    <row r="325" spans="13:14">
      <c r="M325" s="3588"/>
      <c r="N325" s="3566"/>
    </row>
    <row r="326" spans="13:14">
      <c r="M326" s="3588"/>
      <c r="N326" s="3566"/>
    </row>
    <row r="327" spans="13:14">
      <c r="M327" s="3588"/>
      <c r="N327" s="3566"/>
    </row>
    <row r="328" spans="13:14">
      <c r="M328" s="3588"/>
      <c r="N328" s="3566"/>
    </row>
    <row r="329" spans="13:14">
      <c r="M329" s="3588"/>
      <c r="N329" s="3566"/>
    </row>
    <row r="330" spans="13:14">
      <c r="M330" s="3588"/>
      <c r="N330" s="3566"/>
    </row>
    <row r="331" spans="13:14">
      <c r="M331" s="3588"/>
      <c r="N331" s="3566"/>
    </row>
    <row r="332" spans="13:14">
      <c r="M332" s="3588"/>
      <c r="N332" s="3566"/>
    </row>
    <row r="333" spans="13:14">
      <c r="M333" s="3588"/>
      <c r="N333" s="3566"/>
    </row>
    <row r="334" spans="13:14">
      <c r="M334" s="3588"/>
      <c r="N334" s="3566"/>
    </row>
    <row r="335" spans="13:14">
      <c r="M335" s="3588"/>
      <c r="N335" s="3566"/>
    </row>
    <row r="336" spans="13:14">
      <c r="M336" s="3588"/>
      <c r="N336" s="3566"/>
    </row>
    <row r="337" spans="13:14">
      <c r="M337" s="3588"/>
      <c r="N337" s="3566"/>
    </row>
    <row r="338" spans="13:14">
      <c r="M338" s="3588"/>
      <c r="N338" s="3566"/>
    </row>
    <row r="339" spans="13:14">
      <c r="M339" s="3588"/>
      <c r="N339" s="3566"/>
    </row>
    <row r="340" spans="13:14">
      <c r="M340" s="3588"/>
      <c r="N340" s="3566"/>
    </row>
    <row r="341" spans="13:14">
      <c r="M341" s="3588"/>
      <c r="N341" s="3566"/>
    </row>
    <row r="342" spans="13:14">
      <c r="M342" s="3588"/>
      <c r="N342" s="3566"/>
    </row>
    <row r="343" spans="13:14">
      <c r="M343" s="3588"/>
      <c r="N343" s="3566"/>
    </row>
    <row r="344" spans="13:14">
      <c r="M344" s="3588"/>
      <c r="N344" s="3566"/>
    </row>
    <row r="345" spans="13:14">
      <c r="M345" s="3588"/>
      <c r="N345" s="3566"/>
    </row>
    <row r="346" spans="13:14">
      <c r="M346" s="3588"/>
      <c r="N346" s="3566"/>
    </row>
    <row r="347" spans="13:14">
      <c r="M347" s="3588"/>
      <c r="N347" s="3566"/>
    </row>
    <row r="348" spans="13:14">
      <c r="M348" s="3588"/>
      <c r="N348" s="3566"/>
    </row>
    <row r="349" spans="13:14">
      <c r="M349" s="3588"/>
      <c r="N349" s="3566"/>
    </row>
    <row r="350" spans="13:14">
      <c r="M350" s="3588"/>
      <c r="N350" s="3566"/>
    </row>
    <row r="351" spans="13:14">
      <c r="M351" s="3588"/>
      <c r="N351" s="3566"/>
    </row>
    <row r="352" spans="13:14">
      <c r="M352" s="3588"/>
      <c r="N352" s="3566"/>
    </row>
    <row r="353" spans="13:14">
      <c r="M353" s="3588"/>
      <c r="N353" s="3566"/>
    </row>
    <row r="354" spans="13:14">
      <c r="M354" s="3588"/>
      <c r="N354" s="3566"/>
    </row>
    <row r="355" spans="13:14">
      <c r="M355" s="3588"/>
      <c r="N355" s="3566"/>
    </row>
    <row r="356" spans="13:14">
      <c r="M356" s="3588"/>
      <c r="N356" s="3566"/>
    </row>
    <row r="357" spans="13:14">
      <c r="M357" s="3588"/>
      <c r="N357" s="3566"/>
    </row>
    <row r="358" spans="13:14">
      <c r="M358" s="3588"/>
      <c r="N358" s="3566"/>
    </row>
    <row r="359" spans="13:14">
      <c r="M359" s="3588"/>
      <c r="N359" s="3566"/>
    </row>
    <row r="360" spans="13:14">
      <c r="M360" s="3588"/>
      <c r="N360" s="3566"/>
    </row>
    <row r="361" spans="13:14">
      <c r="M361" s="3588"/>
      <c r="N361" s="3566"/>
    </row>
    <row r="362" spans="13:14">
      <c r="M362" s="3588"/>
      <c r="N362" s="3566"/>
    </row>
    <row r="363" spans="13:14">
      <c r="M363" s="3588"/>
      <c r="N363" s="3566"/>
    </row>
    <row r="364" spans="13:14">
      <c r="M364" s="3588"/>
      <c r="N364" s="3566"/>
    </row>
    <row r="365" spans="13:14">
      <c r="M365" s="3588"/>
      <c r="N365" s="3566"/>
    </row>
    <row r="366" spans="13:14">
      <c r="M366" s="3588"/>
      <c r="N366" s="3566"/>
    </row>
    <row r="367" spans="13:14">
      <c r="M367" s="3588"/>
      <c r="N367" s="3566"/>
    </row>
    <row r="368" spans="13:14">
      <c r="M368" s="3588"/>
      <c r="N368" s="3566"/>
    </row>
    <row r="369" spans="13:14">
      <c r="M369" s="3588"/>
      <c r="N369" s="3566"/>
    </row>
    <row r="370" spans="13:14">
      <c r="M370" s="3588"/>
      <c r="N370" s="3566"/>
    </row>
    <row r="371" spans="13:14">
      <c r="M371" s="3588"/>
      <c r="N371" s="3566"/>
    </row>
    <row r="372" spans="13:14">
      <c r="M372" s="3588"/>
      <c r="N372" s="3566"/>
    </row>
    <row r="373" spans="13:14">
      <c r="M373" s="3588"/>
      <c r="N373" s="3566"/>
    </row>
    <row r="374" spans="13:14">
      <c r="M374" s="3588"/>
      <c r="N374" s="3566"/>
    </row>
    <row r="375" spans="13:14">
      <c r="M375" s="3588"/>
      <c r="N375" s="3566"/>
    </row>
    <row r="376" spans="13:14">
      <c r="M376" s="3588"/>
      <c r="N376" s="3566"/>
    </row>
    <row r="377" spans="13:14">
      <c r="M377" s="3588"/>
      <c r="N377" s="3566"/>
    </row>
    <row r="378" spans="13:14">
      <c r="M378" s="3588"/>
      <c r="N378" s="3566"/>
    </row>
    <row r="379" spans="13:14">
      <c r="M379" s="3588"/>
      <c r="N379" s="3566"/>
    </row>
    <row r="380" spans="13:14">
      <c r="M380" s="3588"/>
      <c r="N380" s="3566"/>
    </row>
    <row r="381" spans="13:14">
      <c r="M381" s="3588"/>
      <c r="N381" s="3566"/>
    </row>
    <row r="382" spans="13:14">
      <c r="M382" s="3588"/>
      <c r="N382" s="3566"/>
    </row>
    <row r="383" spans="13:14">
      <c r="M383" s="3588"/>
      <c r="N383" s="3566"/>
    </row>
    <row r="384" spans="13:14">
      <c r="M384" s="3588"/>
      <c r="N384" s="3566"/>
    </row>
    <row r="385" spans="13:14">
      <c r="M385" s="3588"/>
      <c r="N385" s="3566"/>
    </row>
    <row r="386" spans="13:14">
      <c r="M386" s="3588"/>
      <c r="N386" s="3566"/>
    </row>
    <row r="387" spans="13:14">
      <c r="M387" s="3588"/>
      <c r="N387" s="3566"/>
    </row>
    <row r="388" spans="13:14">
      <c r="M388" s="3588"/>
      <c r="N388" s="3566"/>
    </row>
    <row r="389" spans="13:14">
      <c r="M389" s="3588"/>
      <c r="N389" s="3566"/>
    </row>
    <row r="390" spans="13:14">
      <c r="M390" s="3588"/>
      <c r="N390" s="3566"/>
    </row>
    <row r="391" spans="13:14">
      <c r="M391" s="3588"/>
      <c r="N391" s="3566"/>
    </row>
    <row r="392" spans="13:14">
      <c r="M392" s="3588"/>
      <c r="N392" s="3566"/>
    </row>
    <row r="393" spans="13:14">
      <c r="M393" s="3588"/>
      <c r="N393" s="3566"/>
    </row>
    <row r="394" spans="13:14">
      <c r="M394" s="3588"/>
      <c r="N394" s="3566"/>
    </row>
    <row r="395" spans="13:14">
      <c r="M395" s="3588"/>
      <c r="N395" s="3566"/>
    </row>
    <row r="396" spans="13:14">
      <c r="M396" s="3588"/>
      <c r="N396" s="3566"/>
    </row>
    <row r="397" spans="13:14">
      <c r="M397" s="3588"/>
      <c r="N397" s="3566"/>
    </row>
    <row r="398" spans="13:14">
      <c r="M398" s="3588"/>
      <c r="N398" s="3566"/>
    </row>
    <row r="399" spans="13:14">
      <c r="M399" s="3588"/>
      <c r="N399" s="3566"/>
    </row>
    <row r="400" spans="13:14">
      <c r="M400" s="3588"/>
      <c r="N400" s="3566"/>
    </row>
    <row r="401" spans="13:14">
      <c r="M401" s="3588"/>
      <c r="N401" s="3566"/>
    </row>
    <row r="402" spans="13:14">
      <c r="M402" s="3588"/>
      <c r="N402" s="3566"/>
    </row>
    <row r="403" spans="13:14">
      <c r="M403" s="3588"/>
      <c r="N403" s="3566"/>
    </row>
    <row r="404" spans="13:14">
      <c r="M404" s="3588"/>
      <c r="N404" s="3566"/>
    </row>
    <row r="405" spans="13:14">
      <c r="M405" s="3588"/>
      <c r="N405" s="3566"/>
    </row>
    <row r="406" spans="13:14">
      <c r="M406" s="3588"/>
      <c r="N406" s="3566"/>
    </row>
    <row r="407" spans="13:14">
      <c r="M407" s="3588"/>
      <c r="N407" s="3566"/>
    </row>
    <row r="408" spans="13:14">
      <c r="M408" s="3588"/>
      <c r="N408" s="3566"/>
    </row>
    <row r="409" spans="13:14">
      <c r="M409" s="3588"/>
      <c r="N409" s="3566"/>
    </row>
    <row r="410" spans="13:14">
      <c r="M410" s="3588"/>
      <c r="N410" s="3566"/>
    </row>
    <row r="411" spans="13:14">
      <c r="M411" s="3588"/>
      <c r="N411" s="3566"/>
    </row>
    <row r="412" spans="13:14">
      <c r="M412" s="3588"/>
      <c r="N412" s="3566"/>
    </row>
    <row r="413" spans="13:14">
      <c r="M413" s="3588"/>
      <c r="N413" s="3566"/>
    </row>
    <row r="414" spans="13:14">
      <c r="M414" s="3588"/>
      <c r="N414" s="3566"/>
    </row>
    <row r="415" spans="13:14">
      <c r="M415" s="3588"/>
      <c r="N415" s="3566"/>
    </row>
    <row r="416" spans="13:14">
      <c r="M416" s="3588"/>
      <c r="N416" s="3566"/>
    </row>
    <row r="417" spans="13:14">
      <c r="M417" s="3588"/>
      <c r="N417" s="3566"/>
    </row>
    <row r="418" spans="13:14">
      <c r="M418" s="3588"/>
      <c r="N418" s="3566"/>
    </row>
    <row r="419" spans="13:14">
      <c r="M419" s="3588"/>
      <c r="N419" s="3566"/>
    </row>
    <row r="420" spans="13:14">
      <c r="M420" s="3588"/>
      <c r="N420" s="3566"/>
    </row>
    <row r="421" spans="13:14">
      <c r="M421" s="3588"/>
      <c r="N421" s="3566"/>
    </row>
    <row r="422" spans="13:14">
      <c r="M422" s="3588"/>
      <c r="N422" s="3566"/>
    </row>
    <row r="423" spans="13:14">
      <c r="M423" s="3588"/>
      <c r="N423" s="3566"/>
    </row>
    <row r="424" spans="13:14">
      <c r="M424" s="3588"/>
      <c r="N424" s="3566"/>
    </row>
    <row r="425" spans="13:14">
      <c r="M425" s="3588"/>
      <c r="N425" s="3566"/>
    </row>
    <row r="426" spans="13:14">
      <c r="M426" s="3588"/>
      <c r="N426" s="3566"/>
    </row>
    <row r="427" spans="13:14">
      <c r="M427" s="3588"/>
      <c r="N427" s="3566"/>
    </row>
    <row r="428" spans="13:14">
      <c r="M428" s="3588"/>
      <c r="N428" s="3566"/>
    </row>
    <row r="429" spans="13:14">
      <c r="M429" s="3588"/>
      <c r="N429" s="3566"/>
    </row>
    <row r="430" spans="13:14">
      <c r="M430" s="3588"/>
      <c r="N430" s="3566"/>
    </row>
    <row r="431" spans="13:14">
      <c r="M431" s="3588"/>
      <c r="N431" s="3566"/>
    </row>
    <row r="432" spans="13:14">
      <c r="M432" s="3588"/>
      <c r="N432" s="3566"/>
    </row>
    <row r="433" spans="13:14">
      <c r="M433" s="3588"/>
      <c r="N433" s="3566"/>
    </row>
    <row r="434" spans="13:14">
      <c r="M434" s="3588"/>
      <c r="N434" s="3566"/>
    </row>
    <row r="435" spans="13:14">
      <c r="M435" s="3588"/>
      <c r="N435" s="3566"/>
    </row>
    <row r="436" spans="13:14">
      <c r="M436" s="3588"/>
      <c r="N436" s="3566"/>
    </row>
    <row r="437" spans="13:14">
      <c r="M437" s="3588"/>
      <c r="N437" s="3566"/>
    </row>
    <row r="438" spans="13:14">
      <c r="M438" s="3588"/>
      <c r="N438" s="3566"/>
    </row>
    <row r="439" spans="13:14">
      <c r="M439" s="3588"/>
      <c r="N439" s="3566"/>
    </row>
    <row r="440" spans="13:14">
      <c r="M440" s="3588"/>
      <c r="N440" s="3566"/>
    </row>
    <row r="441" spans="13:14">
      <c r="M441" s="3588"/>
      <c r="N441" s="3566"/>
    </row>
    <row r="442" spans="13:14">
      <c r="M442" s="3588"/>
      <c r="N442" s="3566"/>
    </row>
    <row r="443" spans="13:14">
      <c r="M443" s="3588"/>
      <c r="N443" s="3566"/>
    </row>
    <row r="444" spans="13:14">
      <c r="M444" s="3588"/>
      <c r="N444" s="3566"/>
    </row>
    <row r="445" spans="13:14">
      <c r="M445" s="3588"/>
      <c r="N445" s="3566"/>
    </row>
    <row r="446" spans="13:14">
      <c r="M446" s="3588"/>
      <c r="N446" s="3566"/>
    </row>
    <row r="447" spans="13:14">
      <c r="M447" s="3588"/>
      <c r="N447" s="3566"/>
    </row>
    <row r="448" spans="13:14">
      <c r="M448" s="3588"/>
      <c r="N448" s="3566"/>
    </row>
    <row r="449" spans="13:14">
      <c r="M449" s="3588"/>
      <c r="N449" s="3566"/>
    </row>
    <row r="450" spans="13:14">
      <c r="M450" s="3588"/>
      <c r="N450" s="3566"/>
    </row>
    <row r="451" spans="13:14">
      <c r="M451" s="3588"/>
      <c r="N451" s="3566"/>
    </row>
    <row r="452" spans="13:14">
      <c r="M452" s="3588"/>
      <c r="N452" s="3566"/>
    </row>
    <row r="453" spans="13:14">
      <c r="M453" s="3588"/>
      <c r="N453" s="3566"/>
    </row>
    <row r="454" spans="13:14">
      <c r="M454" s="3588"/>
      <c r="N454" s="3566"/>
    </row>
    <row r="455" spans="13:14">
      <c r="M455" s="3588"/>
      <c r="N455" s="3566"/>
    </row>
    <row r="456" spans="13:14">
      <c r="M456" s="3588"/>
      <c r="N456" s="3566"/>
    </row>
    <row r="457" spans="13:14">
      <c r="M457" s="3588"/>
      <c r="N457" s="3566"/>
    </row>
    <row r="458" spans="13:14">
      <c r="M458" s="3588"/>
      <c r="N458" s="3566"/>
    </row>
    <row r="459" spans="13:14">
      <c r="M459" s="3588"/>
      <c r="N459" s="3566"/>
    </row>
    <row r="460" spans="13:14">
      <c r="M460" s="3588"/>
      <c r="N460" s="3566"/>
    </row>
    <row r="461" spans="13:14">
      <c r="M461" s="3588"/>
      <c r="N461" s="3566"/>
    </row>
    <row r="462" spans="13:14">
      <c r="M462" s="3588"/>
      <c r="N462" s="3566"/>
    </row>
    <row r="463" spans="13:14">
      <c r="M463" s="3588"/>
      <c r="N463" s="3566"/>
    </row>
    <row r="464" spans="13:14">
      <c r="M464" s="3588"/>
      <c r="N464" s="3566"/>
    </row>
    <row r="465" spans="13:14">
      <c r="M465" s="3588"/>
      <c r="N465" s="3566"/>
    </row>
    <row r="466" spans="13:14">
      <c r="M466" s="3588"/>
      <c r="N466" s="3566"/>
    </row>
    <row r="467" spans="13:14">
      <c r="M467" s="3588"/>
      <c r="N467" s="3566"/>
    </row>
    <row r="468" spans="13:14">
      <c r="M468" s="3588"/>
      <c r="N468" s="3566"/>
    </row>
    <row r="469" spans="13:14">
      <c r="M469" s="3588"/>
      <c r="N469" s="3566"/>
    </row>
    <row r="470" spans="13:14">
      <c r="M470" s="3588"/>
      <c r="N470" s="3566"/>
    </row>
    <row r="471" spans="13:14">
      <c r="M471" s="3588"/>
      <c r="N471" s="3566"/>
    </row>
    <row r="472" spans="13:14">
      <c r="M472" s="3588"/>
      <c r="N472" s="3566"/>
    </row>
    <row r="473" spans="13:14">
      <c r="M473" s="3588"/>
      <c r="N473" s="3566"/>
    </row>
    <row r="474" spans="13:14">
      <c r="M474" s="3588"/>
      <c r="N474" s="3566"/>
    </row>
    <row r="475" spans="13:14">
      <c r="M475" s="3588"/>
      <c r="N475" s="3566"/>
    </row>
    <row r="476" spans="13:14">
      <c r="M476" s="3588"/>
      <c r="N476" s="3566"/>
    </row>
    <row r="477" spans="13:14">
      <c r="M477" s="3588"/>
      <c r="N477" s="3566"/>
    </row>
    <row r="478" spans="13:14">
      <c r="M478" s="3588"/>
      <c r="N478" s="3566"/>
    </row>
    <row r="479" spans="13:14">
      <c r="M479" s="3588"/>
      <c r="N479" s="3566"/>
    </row>
    <row r="480" spans="13:14">
      <c r="M480" s="3588"/>
      <c r="N480" s="3566"/>
    </row>
    <row r="481" spans="13:14">
      <c r="M481" s="3588"/>
      <c r="N481" s="3566"/>
    </row>
    <row r="482" spans="13:14">
      <c r="M482" s="3588"/>
      <c r="N482" s="3566"/>
    </row>
    <row r="483" spans="13:14">
      <c r="M483" s="3588"/>
      <c r="N483" s="3566"/>
    </row>
    <row r="484" spans="13:14">
      <c r="M484" s="3588"/>
      <c r="N484" s="3566"/>
    </row>
    <row r="485" spans="13:14">
      <c r="M485" s="3588"/>
      <c r="N485" s="3566"/>
    </row>
    <row r="486" spans="13:14">
      <c r="M486" s="3588"/>
      <c r="N486" s="3566"/>
    </row>
    <row r="487" spans="13:14">
      <c r="M487" s="3588"/>
      <c r="N487" s="3566"/>
    </row>
    <row r="488" spans="13:14">
      <c r="M488" s="3588"/>
      <c r="N488" s="3566"/>
    </row>
    <row r="489" spans="13:14">
      <c r="M489" s="3588"/>
      <c r="N489" s="3566"/>
    </row>
    <row r="490" spans="13:14">
      <c r="M490" s="3588"/>
      <c r="N490" s="3566"/>
    </row>
    <row r="491" spans="13:14">
      <c r="M491" s="3588"/>
      <c r="N491" s="3566"/>
    </row>
    <row r="492" spans="13:14">
      <c r="M492" s="3588"/>
      <c r="N492" s="3566"/>
    </row>
    <row r="493" spans="13:14">
      <c r="M493" s="3588"/>
      <c r="N493" s="3566"/>
    </row>
    <row r="494" spans="13:14">
      <c r="M494" s="3588"/>
      <c r="N494" s="3566"/>
    </row>
    <row r="495" spans="13:14">
      <c r="M495" s="3588"/>
      <c r="N495" s="3566"/>
    </row>
    <row r="496" spans="13:14">
      <c r="M496" s="3588"/>
      <c r="N496" s="3566"/>
    </row>
    <row r="497" spans="13:14">
      <c r="M497" s="3588"/>
      <c r="N497" s="3566"/>
    </row>
    <row r="498" spans="13:14">
      <c r="M498" s="3588"/>
      <c r="N498" s="3566"/>
    </row>
    <row r="499" spans="13:14">
      <c r="M499" s="3588"/>
      <c r="N499" s="3566"/>
    </row>
    <row r="500" spans="13:14">
      <c r="M500" s="3588"/>
      <c r="N500" s="3566"/>
    </row>
    <row r="501" spans="13:14">
      <c r="M501" s="3588"/>
      <c r="N501" s="3566"/>
    </row>
    <row r="502" spans="13:14">
      <c r="M502" s="3588"/>
      <c r="N502" s="3566"/>
    </row>
    <row r="503" spans="13:14">
      <c r="M503" s="3588"/>
      <c r="N503" s="3566"/>
    </row>
    <row r="504" spans="13:14">
      <c r="M504" s="3588"/>
      <c r="N504" s="3566"/>
    </row>
    <row r="505" spans="13:14">
      <c r="M505" s="3588"/>
      <c r="N505" s="3566"/>
    </row>
    <row r="506" spans="13:14">
      <c r="M506" s="3588"/>
      <c r="N506" s="3566"/>
    </row>
    <row r="507" spans="13:14">
      <c r="M507" s="3588"/>
      <c r="N507" s="3566"/>
    </row>
    <row r="508" spans="13:14">
      <c r="M508" s="3588"/>
      <c r="N508" s="3566"/>
    </row>
    <row r="509" spans="13:14">
      <c r="M509" s="3588"/>
      <c r="N509" s="3566"/>
    </row>
    <row r="510" spans="13:14">
      <c r="M510" s="3588"/>
      <c r="N510" s="3566"/>
    </row>
    <row r="511" spans="13:14">
      <c r="M511" s="3588"/>
      <c r="N511" s="3566"/>
    </row>
    <row r="512" spans="13:14">
      <c r="M512" s="3588"/>
      <c r="N512" s="3566"/>
    </row>
    <row r="513" spans="13:14">
      <c r="M513" s="3588"/>
      <c r="N513" s="3566"/>
    </row>
    <row r="514" spans="13:14">
      <c r="M514" s="3588"/>
      <c r="N514" s="3566"/>
    </row>
    <row r="515" spans="13:14">
      <c r="M515" s="3588"/>
      <c r="N515" s="3566"/>
    </row>
    <row r="516" spans="13:14">
      <c r="M516" s="3588"/>
      <c r="N516" s="3566"/>
    </row>
    <row r="517" spans="13:14">
      <c r="M517" s="3588"/>
      <c r="N517" s="3566"/>
    </row>
    <row r="518" spans="13:14">
      <c r="M518" s="3588"/>
      <c r="N518" s="3566"/>
    </row>
    <row r="519" spans="13:14">
      <c r="M519" s="3588"/>
      <c r="N519" s="3566"/>
    </row>
    <row r="520" spans="13:14">
      <c r="M520" s="3588"/>
      <c r="N520" s="3566"/>
    </row>
    <row r="521" spans="13:14">
      <c r="M521" s="3588"/>
      <c r="N521" s="3566"/>
    </row>
    <row r="522" spans="13:14">
      <c r="M522" s="3588"/>
      <c r="N522" s="3566"/>
    </row>
    <row r="523" spans="13:14">
      <c r="M523" s="3588"/>
      <c r="N523" s="3566"/>
    </row>
    <row r="524" spans="13:14">
      <c r="M524" s="3588"/>
      <c r="N524" s="3566"/>
    </row>
    <row r="525" spans="13:14">
      <c r="M525" s="3588"/>
      <c r="N525" s="3566"/>
    </row>
    <row r="526" spans="13:14">
      <c r="M526" s="3588"/>
      <c r="N526" s="3566"/>
    </row>
    <row r="527" spans="13:14">
      <c r="M527" s="3588"/>
      <c r="N527" s="3566"/>
    </row>
    <row r="528" spans="13:14">
      <c r="M528" s="3588"/>
      <c r="N528" s="3566"/>
    </row>
    <row r="529" spans="13:14">
      <c r="M529" s="3588"/>
      <c r="N529" s="3566"/>
    </row>
    <row r="530" spans="13:14">
      <c r="M530" s="3588"/>
      <c r="N530" s="3566"/>
    </row>
    <row r="531" spans="13:14">
      <c r="M531" s="3588"/>
      <c r="N531" s="3566"/>
    </row>
    <row r="532" spans="13:14">
      <c r="M532" s="3588"/>
      <c r="N532" s="3566"/>
    </row>
    <row r="533" spans="13:14">
      <c r="M533" s="3588"/>
      <c r="N533" s="3566"/>
    </row>
    <row r="534" spans="13:14">
      <c r="M534" s="3588"/>
      <c r="N534" s="3566"/>
    </row>
    <row r="535" spans="13:14">
      <c r="M535" s="3588"/>
      <c r="N535" s="3566"/>
    </row>
    <row r="536" spans="13:14">
      <c r="M536" s="3588"/>
      <c r="N536" s="3566"/>
    </row>
    <row r="537" spans="13:14">
      <c r="M537" s="3588"/>
      <c r="N537" s="3566"/>
    </row>
    <row r="538" spans="13:14">
      <c r="M538" s="3588"/>
      <c r="N538" s="3566"/>
    </row>
    <row r="539" spans="13:14">
      <c r="M539" s="3588"/>
      <c r="N539" s="3566"/>
    </row>
    <row r="540" spans="13:14">
      <c r="M540" s="3588"/>
      <c r="N540" s="3566"/>
    </row>
    <row r="541" spans="13:14">
      <c r="M541" s="3588"/>
      <c r="N541" s="3566"/>
    </row>
    <row r="542" spans="13:14">
      <c r="M542" s="3588"/>
      <c r="N542" s="3566"/>
    </row>
    <row r="543" spans="13:14">
      <c r="M543" s="3588"/>
      <c r="N543" s="3566"/>
    </row>
    <row r="544" spans="13:14">
      <c r="M544" s="3588"/>
      <c r="N544" s="3566"/>
    </row>
    <row r="545" spans="13:14">
      <c r="M545" s="3588"/>
      <c r="N545" s="3566"/>
    </row>
    <row r="546" spans="13:14">
      <c r="M546" s="3588"/>
      <c r="N546" s="3566"/>
    </row>
    <row r="547" spans="13:14">
      <c r="M547" s="3588"/>
      <c r="N547" s="3566"/>
    </row>
    <row r="548" spans="13:14">
      <c r="M548" s="3588"/>
      <c r="N548" s="3566"/>
    </row>
    <row r="549" spans="13:14">
      <c r="M549" s="3588"/>
      <c r="N549" s="3566"/>
    </row>
    <row r="550" spans="13:14">
      <c r="M550" s="3588"/>
      <c r="N550" s="3566"/>
    </row>
    <row r="551" spans="13:14">
      <c r="M551" s="3588"/>
      <c r="N551" s="3566"/>
    </row>
    <row r="552" spans="13:14">
      <c r="M552" s="3588"/>
      <c r="N552" s="3566"/>
    </row>
    <row r="553" spans="13:14">
      <c r="M553" s="3588"/>
      <c r="N553" s="3566"/>
    </row>
    <row r="554" spans="13:14">
      <c r="M554" s="3588"/>
      <c r="N554" s="3566"/>
    </row>
    <row r="555" spans="13:14">
      <c r="M555" s="3588"/>
      <c r="N555" s="3566"/>
    </row>
    <row r="556" spans="13:14">
      <c r="M556" s="3588"/>
      <c r="N556" s="3566"/>
    </row>
    <row r="557" spans="13:14">
      <c r="M557" s="3588"/>
      <c r="N557" s="3566"/>
    </row>
    <row r="558" spans="13:14">
      <c r="M558" s="3588"/>
      <c r="N558" s="3566"/>
    </row>
    <row r="559" spans="13:14">
      <c r="M559" s="3588"/>
      <c r="N559" s="3566"/>
    </row>
    <row r="560" spans="13:14">
      <c r="M560" s="3588"/>
      <c r="N560" s="3566"/>
    </row>
    <row r="561" spans="13:14">
      <c r="M561" s="3588"/>
      <c r="N561" s="3566"/>
    </row>
    <row r="562" spans="13:14">
      <c r="M562" s="3588"/>
      <c r="N562" s="3566"/>
    </row>
    <row r="563" spans="13:14">
      <c r="M563" s="3588"/>
      <c r="N563" s="3566"/>
    </row>
    <row r="564" spans="13:14">
      <c r="M564" s="3588"/>
      <c r="N564" s="3566"/>
    </row>
    <row r="565" spans="13:14">
      <c r="M565" s="3588"/>
      <c r="N565" s="3566"/>
    </row>
    <row r="566" spans="13:14">
      <c r="M566" s="3588"/>
      <c r="N566" s="3566"/>
    </row>
    <row r="567" spans="13:14">
      <c r="M567" s="3588"/>
      <c r="N567" s="3566"/>
    </row>
    <row r="568" spans="13:14">
      <c r="M568" s="3588"/>
      <c r="N568" s="3566"/>
    </row>
    <row r="569" spans="13:14">
      <c r="M569" s="3588"/>
      <c r="N569" s="3566"/>
    </row>
    <row r="570" spans="13:14">
      <c r="M570" s="3588"/>
      <c r="N570" s="3566"/>
    </row>
    <row r="571" spans="13:14">
      <c r="M571" s="3588"/>
      <c r="N571" s="3566"/>
    </row>
    <row r="572" spans="13:14">
      <c r="M572" s="3588"/>
      <c r="N572" s="3566"/>
    </row>
    <row r="573" spans="13:14">
      <c r="M573" s="3588"/>
      <c r="N573" s="3566"/>
    </row>
    <row r="574" spans="13:14">
      <c r="M574" s="3588"/>
      <c r="N574" s="3566"/>
    </row>
    <row r="575" spans="13:14">
      <c r="M575" s="3588"/>
      <c r="N575" s="3566"/>
    </row>
    <row r="576" spans="13:14">
      <c r="M576" s="3588"/>
      <c r="N576" s="3566"/>
    </row>
    <row r="577" spans="13:14">
      <c r="M577" s="3588"/>
      <c r="N577" s="3566"/>
    </row>
    <row r="578" spans="13:14">
      <c r="M578" s="3588"/>
      <c r="N578" s="3566"/>
    </row>
    <row r="579" spans="13:14">
      <c r="M579" s="3588"/>
      <c r="N579" s="3566"/>
    </row>
    <row r="580" spans="13:14">
      <c r="M580" s="3588"/>
      <c r="N580" s="3566"/>
    </row>
    <row r="581" spans="13:14">
      <c r="M581" s="3588"/>
      <c r="N581" s="3566"/>
    </row>
    <row r="582" spans="13:14">
      <c r="M582" s="3588"/>
      <c r="N582" s="3566"/>
    </row>
    <row r="583" spans="13:14">
      <c r="M583" s="3588"/>
      <c r="N583" s="3566"/>
    </row>
    <row r="584" spans="13:14">
      <c r="M584" s="3588"/>
      <c r="N584" s="3566"/>
    </row>
    <row r="585" spans="13:14">
      <c r="M585" s="3588"/>
      <c r="N585" s="3566"/>
    </row>
    <row r="586" spans="13:14">
      <c r="M586" s="3588"/>
      <c r="N586" s="3566"/>
    </row>
    <row r="587" spans="13:14">
      <c r="M587" s="3588"/>
      <c r="N587" s="3566"/>
    </row>
    <row r="588" spans="13:14">
      <c r="M588" s="3588"/>
      <c r="N588" s="3566"/>
    </row>
    <row r="589" spans="13:14">
      <c r="M589" s="3588"/>
      <c r="N589" s="3566"/>
    </row>
    <row r="590" spans="13:14">
      <c r="M590" s="3588"/>
      <c r="N590" s="3566"/>
    </row>
    <row r="591" spans="13:14">
      <c r="M591" s="3588"/>
      <c r="N591" s="3566"/>
    </row>
    <row r="592" spans="13:14">
      <c r="M592" s="3588"/>
      <c r="N592" s="3566"/>
    </row>
    <row r="593" spans="13:14">
      <c r="M593" s="3588"/>
      <c r="N593" s="3566"/>
    </row>
    <row r="594" spans="13:14">
      <c r="M594" s="3588"/>
      <c r="N594" s="3566"/>
    </row>
    <row r="595" spans="13:14">
      <c r="M595" s="3588"/>
      <c r="N595" s="3566"/>
    </row>
    <row r="596" spans="13:14">
      <c r="M596" s="3588"/>
      <c r="N596" s="3566"/>
    </row>
    <row r="597" spans="13:14">
      <c r="M597" s="3588"/>
      <c r="N597" s="3566"/>
    </row>
    <row r="598" spans="13:14">
      <c r="M598" s="3588"/>
      <c r="N598" s="3566"/>
    </row>
    <row r="599" spans="13:14">
      <c r="M599" s="3588"/>
      <c r="N599" s="3566"/>
    </row>
    <row r="600" spans="13:14">
      <c r="M600" s="3588"/>
      <c r="N600" s="3566"/>
    </row>
    <row r="601" spans="13:14">
      <c r="M601" s="3588"/>
      <c r="N601" s="3566"/>
    </row>
    <row r="602" spans="13:14">
      <c r="M602" s="3588"/>
      <c r="N602" s="3566"/>
    </row>
    <row r="603" spans="13:14">
      <c r="M603" s="3588"/>
      <c r="N603" s="3566"/>
    </row>
    <row r="604" spans="13:14">
      <c r="M604" s="3588"/>
      <c r="N604" s="3566"/>
    </row>
    <row r="605" spans="13:14">
      <c r="M605" s="3588"/>
      <c r="N605" s="3566"/>
    </row>
    <row r="606" spans="13:14">
      <c r="M606" s="3588"/>
      <c r="N606" s="3566"/>
    </row>
    <row r="607" spans="13:14">
      <c r="M607" s="3588"/>
      <c r="N607" s="3566"/>
    </row>
    <row r="608" spans="13:14">
      <c r="M608" s="3588"/>
      <c r="N608" s="3566"/>
    </row>
    <row r="609" spans="13:14">
      <c r="M609" s="3588"/>
      <c r="N609" s="3566"/>
    </row>
    <row r="610" spans="13:14">
      <c r="M610" s="3588"/>
      <c r="N610" s="3566"/>
    </row>
    <row r="611" spans="13:14">
      <c r="M611" s="3588"/>
      <c r="N611" s="3566"/>
    </row>
    <row r="612" spans="13:14">
      <c r="M612" s="3588"/>
      <c r="N612" s="3566"/>
    </row>
    <row r="613" spans="13:14">
      <c r="M613" s="3588"/>
      <c r="N613" s="3566"/>
    </row>
    <row r="614" spans="13:14">
      <c r="M614" s="3588"/>
      <c r="N614" s="3566"/>
    </row>
    <row r="615" spans="13:14">
      <c r="M615" s="3588"/>
      <c r="N615" s="3566"/>
    </row>
    <row r="616" spans="13:14">
      <c r="M616" s="3588"/>
      <c r="N616" s="3566"/>
    </row>
    <row r="617" spans="13:14">
      <c r="M617" s="3588"/>
      <c r="N617" s="3566"/>
    </row>
    <row r="618" spans="13:14">
      <c r="M618" s="3588"/>
      <c r="N618" s="3566"/>
    </row>
    <row r="619" spans="13:14">
      <c r="M619" s="3588"/>
      <c r="N619" s="3566"/>
    </row>
    <row r="620" spans="13:14">
      <c r="M620" s="3588"/>
      <c r="N620" s="3566"/>
    </row>
    <row r="621" spans="13:14">
      <c r="M621" s="3588"/>
      <c r="N621" s="3566"/>
    </row>
    <row r="622" spans="13:14">
      <c r="M622" s="3588"/>
      <c r="N622" s="3566"/>
    </row>
    <row r="623" spans="13:14">
      <c r="M623" s="3588"/>
      <c r="N623" s="3566"/>
    </row>
    <row r="624" spans="13:14">
      <c r="M624" s="3588"/>
      <c r="N624" s="3566"/>
    </row>
    <row r="625" spans="13:14">
      <c r="M625" s="3588"/>
      <c r="N625" s="3566"/>
    </row>
    <row r="626" spans="13:14">
      <c r="M626" s="3588"/>
      <c r="N626" s="3566"/>
    </row>
    <row r="627" spans="13:14">
      <c r="M627" s="3588"/>
      <c r="N627" s="3566"/>
    </row>
    <row r="628" spans="13:14">
      <c r="M628" s="3588"/>
      <c r="N628" s="3566"/>
    </row>
    <row r="629" spans="13:14">
      <c r="M629" s="3588"/>
      <c r="N629" s="3566"/>
    </row>
    <row r="630" spans="13:14">
      <c r="M630" s="3588"/>
      <c r="N630" s="3566"/>
    </row>
    <row r="631" spans="13:14">
      <c r="M631" s="3588"/>
      <c r="N631" s="3566"/>
    </row>
    <row r="632" spans="13:14">
      <c r="M632" s="3588"/>
      <c r="N632" s="3566"/>
    </row>
    <row r="633" spans="13:14">
      <c r="M633" s="3588"/>
      <c r="N633" s="3566"/>
    </row>
    <row r="634" spans="13:14">
      <c r="M634" s="3588"/>
      <c r="N634" s="3566"/>
    </row>
    <row r="635" spans="13:14">
      <c r="M635" s="3588"/>
      <c r="N635" s="3566"/>
    </row>
    <row r="636" spans="13:14">
      <c r="M636" s="3588"/>
      <c r="N636" s="3566"/>
    </row>
    <row r="637" spans="13:14">
      <c r="M637" s="3588"/>
      <c r="N637" s="3566"/>
    </row>
    <row r="638" spans="13:14">
      <c r="M638" s="3588"/>
      <c r="N638" s="3566"/>
    </row>
    <row r="639" spans="13:14">
      <c r="M639" s="3588"/>
      <c r="N639" s="3566"/>
    </row>
    <row r="640" spans="13:14">
      <c r="M640" s="3588"/>
      <c r="N640" s="3566"/>
    </row>
    <row r="641" spans="13:14">
      <c r="M641" s="3588"/>
      <c r="N641" s="3566"/>
    </row>
    <row r="642" spans="13:14">
      <c r="M642" s="3588"/>
      <c r="N642" s="3566"/>
    </row>
    <row r="643" spans="13:14">
      <c r="M643" s="3588"/>
      <c r="N643" s="3566"/>
    </row>
    <row r="644" spans="13:14">
      <c r="M644" s="3588"/>
      <c r="N644" s="3566"/>
    </row>
    <row r="645" spans="13:14">
      <c r="M645" s="3588"/>
      <c r="N645" s="3566"/>
    </row>
    <row r="646" spans="13:14">
      <c r="M646" s="3588"/>
      <c r="N646" s="3566"/>
    </row>
    <row r="647" spans="13:14">
      <c r="M647" s="3588"/>
      <c r="N647" s="3566"/>
    </row>
    <row r="648" spans="13:14">
      <c r="M648" s="3588"/>
      <c r="N648" s="3566"/>
    </row>
    <row r="649" spans="13:14">
      <c r="M649" s="3588"/>
      <c r="N649" s="3566"/>
    </row>
    <row r="650" spans="13:14">
      <c r="M650" s="3588"/>
      <c r="N650" s="3566"/>
    </row>
    <row r="651" spans="13:14">
      <c r="M651" s="3588"/>
      <c r="N651" s="3566"/>
    </row>
    <row r="652" spans="13:14">
      <c r="M652" s="3588"/>
      <c r="N652" s="3566"/>
    </row>
    <row r="653" spans="13:14">
      <c r="M653" s="3588"/>
      <c r="N653" s="3566"/>
    </row>
    <row r="654" spans="13:14">
      <c r="M654" s="3588"/>
      <c r="N654" s="3566"/>
    </row>
    <row r="655" spans="13:14">
      <c r="M655" s="3588"/>
      <c r="N655" s="3566"/>
    </row>
    <row r="656" spans="13:14">
      <c r="M656" s="3588"/>
      <c r="N656" s="3566"/>
    </row>
    <row r="657" spans="13:14">
      <c r="M657" s="3588"/>
      <c r="N657" s="3566"/>
    </row>
    <row r="658" spans="13:14">
      <c r="M658" s="3588"/>
      <c r="N658" s="3566"/>
    </row>
    <row r="659" spans="13:14">
      <c r="M659" s="3588"/>
      <c r="N659" s="3566"/>
    </row>
    <row r="660" spans="13:14">
      <c r="M660" s="3588"/>
      <c r="N660" s="3566"/>
    </row>
    <row r="661" spans="13:14">
      <c r="M661" s="3588"/>
      <c r="N661" s="3566"/>
    </row>
    <row r="662" spans="13:14">
      <c r="M662" s="3588"/>
      <c r="N662" s="3566"/>
    </row>
    <row r="663" spans="13:14">
      <c r="M663" s="3588"/>
      <c r="N663" s="3566"/>
    </row>
    <row r="664" spans="13:14">
      <c r="M664" s="3588"/>
      <c r="N664" s="3566"/>
    </row>
    <row r="665" spans="13:14">
      <c r="M665" s="3588"/>
      <c r="N665" s="3566"/>
    </row>
    <row r="666" spans="13:14">
      <c r="M666" s="3588"/>
      <c r="N666" s="3566"/>
    </row>
    <row r="667" spans="13:14">
      <c r="M667" s="3588"/>
      <c r="N667" s="3566"/>
    </row>
    <row r="668" spans="13:14">
      <c r="M668" s="3588"/>
      <c r="N668" s="3566"/>
    </row>
    <row r="669" spans="13:14">
      <c r="M669" s="3588"/>
      <c r="N669" s="3566"/>
    </row>
    <row r="670" spans="13:14">
      <c r="M670" s="3588"/>
      <c r="N670" s="3566"/>
    </row>
    <row r="671" spans="13:14">
      <c r="M671" s="3588"/>
      <c r="N671" s="3566"/>
    </row>
    <row r="672" spans="13:14">
      <c r="M672" s="3588"/>
      <c r="N672" s="3566"/>
    </row>
    <row r="673" spans="13:14">
      <c r="M673" s="3588"/>
      <c r="N673" s="3566"/>
    </row>
    <row r="674" spans="13:14">
      <c r="M674" s="3588"/>
      <c r="N674" s="3566"/>
    </row>
    <row r="675" spans="13:14">
      <c r="M675" s="3588"/>
      <c r="N675" s="3566"/>
    </row>
    <row r="676" spans="13:14">
      <c r="M676" s="3588"/>
      <c r="N676" s="3566"/>
    </row>
    <row r="677" spans="13:14">
      <c r="M677" s="3588"/>
      <c r="N677" s="3566"/>
    </row>
    <row r="678" spans="13:14">
      <c r="M678" s="3588"/>
      <c r="N678" s="3566"/>
    </row>
    <row r="679" spans="13:14">
      <c r="M679" s="3588"/>
      <c r="N679" s="3566"/>
    </row>
    <row r="680" spans="13:14">
      <c r="M680" s="3588"/>
      <c r="N680" s="3566"/>
    </row>
    <row r="681" spans="13:14">
      <c r="M681" s="3588"/>
      <c r="N681" s="3566"/>
    </row>
    <row r="682" spans="13:14">
      <c r="M682" s="3588"/>
      <c r="N682" s="3566"/>
    </row>
    <row r="683" spans="13:14">
      <c r="M683" s="3588"/>
      <c r="N683" s="3566"/>
    </row>
    <row r="684" spans="13:14">
      <c r="M684" s="3588"/>
      <c r="N684" s="3566"/>
    </row>
    <row r="685" spans="13:14">
      <c r="M685" s="3588"/>
      <c r="N685" s="3566"/>
    </row>
    <row r="686" spans="13:14">
      <c r="M686" s="3588"/>
      <c r="N686" s="3566"/>
    </row>
    <row r="687" spans="13:14">
      <c r="M687" s="3588"/>
      <c r="N687" s="3566"/>
    </row>
    <row r="688" spans="13:14">
      <c r="M688" s="3588"/>
      <c r="N688" s="3566"/>
    </row>
    <row r="689" spans="13:14">
      <c r="M689" s="3588"/>
      <c r="N689" s="3566"/>
    </row>
    <row r="690" spans="13:14">
      <c r="M690" s="3588"/>
      <c r="N690" s="3566"/>
    </row>
    <row r="691" spans="13:14">
      <c r="M691" s="3588"/>
      <c r="N691" s="3566"/>
    </row>
    <row r="692" spans="13:14">
      <c r="M692" s="3588"/>
      <c r="N692" s="3566"/>
    </row>
    <row r="693" spans="13:14">
      <c r="M693" s="3588"/>
      <c r="N693" s="3566"/>
    </row>
    <row r="694" spans="13:14">
      <c r="M694" s="3588"/>
      <c r="N694" s="3566"/>
    </row>
    <row r="695" spans="13:14">
      <c r="M695" s="3588"/>
      <c r="N695" s="3566"/>
    </row>
    <row r="696" spans="13:14">
      <c r="M696" s="3588"/>
      <c r="N696" s="3566"/>
    </row>
    <row r="697" spans="13:14">
      <c r="M697" s="3588"/>
      <c r="N697" s="3566"/>
    </row>
    <row r="698" spans="13:14">
      <c r="M698" s="3588"/>
      <c r="N698" s="3566"/>
    </row>
    <row r="699" spans="13:14">
      <c r="M699" s="3588"/>
      <c r="N699" s="3566"/>
    </row>
    <row r="700" spans="13:14">
      <c r="M700" s="3588"/>
      <c r="N700" s="3566"/>
    </row>
    <row r="701" spans="13:14">
      <c r="M701" s="3588"/>
      <c r="N701" s="3566"/>
    </row>
    <row r="702" spans="13:14">
      <c r="M702" s="3588"/>
      <c r="N702" s="3566"/>
    </row>
    <row r="703" spans="13:14">
      <c r="M703" s="3588"/>
      <c r="N703" s="3566"/>
    </row>
    <row r="704" spans="13:14">
      <c r="M704" s="3588"/>
      <c r="N704" s="3566"/>
    </row>
    <row r="705" spans="13:14">
      <c r="M705" s="3588"/>
      <c r="N705" s="3566"/>
    </row>
    <row r="706" spans="13:14">
      <c r="M706" s="3588"/>
      <c r="N706" s="3566"/>
    </row>
    <row r="707" spans="13:14">
      <c r="M707" s="3588"/>
      <c r="N707" s="3566"/>
    </row>
    <row r="708" spans="13:14">
      <c r="M708" s="3588"/>
      <c r="N708" s="3566"/>
    </row>
    <row r="709" spans="13:14">
      <c r="M709" s="3588"/>
      <c r="N709" s="3566"/>
    </row>
    <row r="710" spans="13:14">
      <c r="M710" s="3588"/>
      <c r="N710" s="3566"/>
    </row>
    <row r="711" spans="13:14">
      <c r="M711" s="3588"/>
      <c r="N711" s="3566"/>
    </row>
    <row r="712" spans="13:14">
      <c r="M712" s="3588"/>
      <c r="N712" s="3566"/>
    </row>
    <row r="713" spans="13:14">
      <c r="M713" s="3588"/>
      <c r="N713" s="3566"/>
    </row>
    <row r="714" spans="13:14">
      <c r="M714" s="3588"/>
      <c r="N714" s="3566"/>
    </row>
    <row r="715" spans="13:14">
      <c r="M715" s="3588"/>
      <c r="N715" s="3566"/>
    </row>
    <row r="716" spans="13:14">
      <c r="M716" s="3588"/>
      <c r="N716" s="3566"/>
    </row>
    <row r="717" spans="13:14">
      <c r="M717" s="3588"/>
      <c r="N717" s="3566"/>
    </row>
    <row r="718" spans="13:14">
      <c r="M718" s="3588"/>
      <c r="N718" s="3566"/>
    </row>
    <row r="719" spans="13:14">
      <c r="M719" s="3588"/>
      <c r="N719" s="3566"/>
    </row>
    <row r="720" spans="13:14">
      <c r="M720" s="3588"/>
      <c r="N720" s="3566"/>
    </row>
    <row r="721" spans="13:14">
      <c r="M721" s="3588"/>
      <c r="N721" s="3566"/>
    </row>
    <row r="722" spans="13:14">
      <c r="M722" s="3588"/>
      <c r="N722" s="3566"/>
    </row>
    <row r="723" spans="13:14">
      <c r="M723" s="3588"/>
      <c r="N723" s="3566"/>
    </row>
    <row r="724" spans="13:14">
      <c r="M724" s="3588"/>
      <c r="N724" s="3566"/>
    </row>
    <row r="725" spans="13:14">
      <c r="M725" s="3588"/>
      <c r="N725" s="3566"/>
    </row>
    <row r="726" spans="13:14">
      <c r="M726" s="3588"/>
      <c r="N726" s="3566"/>
    </row>
    <row r="727" spans="13:14">
      <c r="M727" s="3588"/>
      <c r="N727" s="3566"/>
    </row>
    <row r="728" spans="13:14">
      <c r="M728" s="3588"/>
      <c r="N728" s="3566"/>
    </row>
    <row r="729" spans="13:14">
      <c r="M729" s="3588"/>
      <c r="N729" s="3566"/>
    </row>
    <row r="730" spans="13:14">
      <c r="M730" s="3588"/>
      <c r="N730" s="3566"/>
    </row>
    <row r="731" spans="13:14">
      <c r="M731" s="3588"/>
      <c r="N731" s="3566"/>
    </row>
    <row r="732" spans="13:14">
      <c r="M732" s="3588"/>
      <c r="N732" s="3566"/>
    </row>
    <row r="733" spans="13:14">
      <c r="M733" s="3588"/>
      <c r="N733" s="3566"/>
    </row>
    <row r="734" spans="13:14">
      <c r="M734" s="3588"/>
      <c r="N734" s="3566"/>
    </row>
    <row r="735" spans="13:14">
      <c r="M735" s="3588"/>
      <c r="N735" s="3566"/>
    </row>
    <row r="736" spans="13:14">
      <c r="M736" s="3588"/>
      <c r="N736" s="3566"/>
    </row>
    <row r="737" spans="13:14">
      <c r="M737" s="3588"/>
      <c r="N737" s="3566"/>
    </row>
    <row r="738" spans="13:14">
      <c r="M738" s="3588"/>
      <c r="N738" s="3566"/>
    </row>
    <row r="739" spans="13:14">
      <c r="M739" s="3588"/>
      <c r="N739" s="3566"/>
    </row>
    <row r="740" spans="13:14">
      <c r="M740" s="3588"/>
      <c r="N740" s="3566"/>
    </row>
    <row r="741" spans="13:14">
      <c r="M741" s="3588"/>
      <c r="N741" s="3566"/>
    </row>
    <row r="742" spans="13:14">
      <c r="M742" s="3588"/>
      <c r="N742" s="3566"/>
    </row>
    <row r="743" spans="13:14">
      <c r="M743" s="3588"/>
      <c r="N743" s="3566"/>
    </row>
    <row r="744" spans="13:14">
      <c r="M744" s="3588"/>
      <c r="N744" s="3566"/>
    </row>
    <row r="745" spans="13:14">
      <c r="M745" s="3588"/>
      <c r="N745" s="3566"/>
    </row>
    <row r="746" spans="13:14">
      <c r="M746" s="3588"/>
      <c r="N746" s="3566"/>
    </row>
    <row r="747" spans="13:14">
      <c r="M747" s="3588"/>
      <c r="N747" s="3566"/>
    </row>
    <row r="748" spans="13:14">
      <c r="M748" s="3588"/>
      <c r="N748" s="3566"/>
    </row>
    <row r="749" spans="13:14">
      <c r="M749" s="3588"/>
      <c r="N749" s="3566"/>
    </row>
    <row r="750" spans="13:14">
      <c r="M750" s="3588"/>
      <c r="N750" s="3566"/>
    </row>
    <row r="751" spans="13:14">
      <c r="M751" s="3588"/>
      <c r="N751" s="3566"/>
    </row>
    <row r="752" spans="13:14">
      <c r="M752" s="3588"/>
      <c r="N752" s="3566"/>
    </row>
    <row r="753" spans="13:14">
      <c r="M753" s="3588"/>
      <c r="N753" s="3566"/>
    </row>
    <row r="754" spans="13:14">
      <c r="M754" s="3588"/>
      <c r="N754" s="3566"/>
    </row>
    <row r="755" spans="13:14">
      <c r="M755" s="3588"/>
      <c r="N755" s="3566"/>
    </row>
    <row r="756" spans="13:14">
      <c r="M756" s="3588"/>
      <c r="N756" s="3566"/>
    </row>
    <row r="757" spans="13:14">
      <c r="M757" s="3588"/>
      <c r="N757" s="3566"/>
    </row>
    <row r="758" spans="13:14">
      <c r="M758" s="3588"/>
      <c r="N758" s="3566"/>
    </row>
    <row r="759" spans="13:14">
      <c r="M759" s="3588"/>
      <c r="N759" s="3566"/>
    </row>
    <row r="760" spans="13:14">
      <c r="M760" s="3588"/>
      <c r="N760" s="3566"/>
    </row>
    <row r="761" spans="13:14">
      <c r="M761" s="3588"/>
      <c r="N761" s="3566"/>
    </row>
    <row r="762" spans="13:14">
      <c r="M762" s="3588"/>
      <c r="N762" s="3566"/>
    </row>
    <row r="763" spans="13:14">
      <c r="M763" s="3588"/>
      <c r="N763" s="3566"/>
    </row>
    <row r="764" spans="13:14">
      <c r="M764" s="3588"/>
      <c r="N764" s="3566"/>
    </row>
    <row r="765" spans="13:14">
      <c r="M765" s="3588"/>
      <c r="N765" s="3566"/>
    </row>
    <row r="766" spans="13:14">
      <c r="M766" s="3588"/>
      <c r="N766" s="3566"/>
    </row>
    <row r="767" spans="13:14">
      <c r="M767" s="3588"/>
      <c r="N767" s="3566"/>
    </row>
    <row r="768" spans="13:14">
      <c r="M768" s="3588"/>
      <c r="N768" s="3566"/>
    </row>
    <row r="769" spans="13:14">
      <c r="M769" s="3588"/>
      <c r="N769" s="3566"/>
    </row>
    <row r="770" spans="13:14">
      <c r="M770" s="3588"/>
      <c r="N770" s="3566"/>
    </row>
    <row r="771" spans="13:14">
      <c r="M771" s="3588"/>
      <c r="N771" s="3566"/>
    </row>
    <row r="772" spans="13:14">
      <c r="M772" s="3588"/>
      <c r="N772" s="3566"/>
    </row>
    <row r="773" spans="13:14">
      <c r="M773" s="3588"/>
      <c r="N773" s="3566"/>
    </row>
    <row r="774" spans="13:14">
      <c r="M774" s="3588"/>
      <c r="N774" s="3566"/>
    </row>
    <row r="775" spans="13:14">
      <c r="M775" s="3588"/>
      <c r="N775" s="3566"/>
    </row>
    <row r="776" spans="13:14">
      <c r="M776" s="3588"/>
      <c r="N776" s="3566"/>
    </row>
    <row r="777" spans="13:14">
      <c r="M777" s="3588"/>
      <c r="N777" s="3566"/>
    </row>
    <row r="778" spans="13:14">
      <c r="M778" s="3588"/>
      <c r="N778" s="3566"/>
    </row>
    <row r="779" spans="13:14">
      <c r="M779" s="3588"/>
      <c r="N779" s="3566"/>
    </row>
    <row r="780" spans="13:14">
      <c r="M780" s="3588"/>
      <c r="N780" s="3566"/>
    </row>
    <row r="781" spans="13:14">
      <c r="M781" s="3588"/>
      <c r="N781" s="3566"/>
    </row>
    <row r="782" spans="13:14">
      <c r="M782" s="3588"/>
      <c r="N782" s="3566"/>
    </row>
    <row r="783" spans="13:14">
      <c r="M783" s="3588"/>
      <c r="N783" s="3566"/>
    </row>
    <row r="784" spans="13:14">
      <c r="M784" s="3588"/>
      <c r="N784" s="3566"/>
    </row>
    <row r="785" spans="13:14">
      <c r="M785" s="3588"/>
      <c r="N785" s="3566"/>
    </row>
    <row r="786" spans="13:14">
      <c r="M786" s="3588"/>
      <c r="N786" s="3566"/>
    </row>
    <row r="787" spans="13:14">
      <c r="M787" s="3588"/>
      <c r="N787" s="3566"/>
    </row>
    <row r="788" spans="13:14">
      <c r="M788" s="3588"/>
      <c r="N788" s="3566"/>
    </row>
    <row r="789" spans="13:14">
      <c r="M789" s="3588"/>
      <c r="N789" s="3566"/>
    </row>
    <row r="790" spans="13:14">
      <c r="M790" s="3588"/>
      <c r="N790" s="3566"/>
    </row>
    <row r="791" spans="13:14">
      <c r="M791" s="3588"/>
      <c r="N791" s="3566"/>
    </row>
    <row r="792" spans="13:14">
      <c r="M792" s="3588"/>
      <c r="N792" s="3566"/>
    </row>
    <row r="793" spans="13:14">
      <c r="M793" s="3588"/>
      <c r="N793" s="3566"/>
    </row>
    <row r="794" spans="13:14">
      <c r="M794" s="3588"/>
      <c r="N794" s="3566"/>
    </row>
    <row r="795" spans="13:14">
      <c r="M795" s="3588"/>
      <c r="N795" s="3566"/>
    </row>
    <row r="796" spans="13:14">
      <c r="M796" s="3588"/>
      <c r="N796" s="3566"/>
    </row>
    <row r="797" spans="13:14">
      <c r="M797" s="3588"/>
      <c r="N797" s="3566"/>
    </row>
    <row r="798" spans="13:14">
      <c r="M798" s="3588"/>
      <c r="N798" s="3566"/>
    </row>
    <row r="799" spans="13:14">
      <c r="M799" s="3588"/>
      <c r="N799" s="3566"/>
    </row>
    <row r="800" spans="13:14">
      <c r="M800" s="3588"/>
      <c r="N800" s="3566"/>
    </row>
    <row r="801" spans="13:14">
      <c r="M801" s="3588"/>
      <c r="N801" s="3566"/>
    </row>
    <row r="802" spans="13:14">
      <c r="M802" s="3588"/>
      <c r="N802" s="3566"/>
    </row>
    <row r="803" spans="13:14">
      <c r="M803" s="3588"/>
      <c r="N803" s="3566"/>
    </row>
    <row r="804" spans="13:14">
      <c r="M804" s="3588"/>
      <c r="N804" s="3566"/>
    </row>
    <row r="805" spans="13:14">
      <c r="M805" s="3588"/>
      <c r="N805" s="3566"/>
    </row>
    <row r="806" spans="13:14">
      <c r="M806" s="3588"/>
      <c r="N806" s="3566"/>
    </row>
    <row r="807" spans="13:14">
      <c r="M807" s="3588"/>
      <c r="N807" s="3566"/>
    </row>
    <row r="808" spans="13:14">
      <c r="M808" s="3588"/>
      <c r="N808" s="3566"/>
    </row>
    <row r="809" spans="13:14">
      <c r="M809" s="3588"/>
      <c r="N809" s="3566"/>
    </row>
    <row r="810" spans="13:14">
      <c r="M810" s="3588"/>
      <c r="N810" s="3566"/>
    </row>
    <row r="811" spans="13:14">
      <c r="M811" s="3588"/>
      <c r="N811" s="3566"/>
    </row>
    <row r="812" spans="13:14">
      <c r="M812" s="3588"/>
      <c r="N812" s="3566"/>
    </row>
    <row r="813" spans="13:14">
      <c r="M813" s="3588"/>
      <c r="N813" s="3566"/>
    </row>
    <row r="814" spans="13:14">
      <c r="M814" s="3588"/>
      <c r="N814" s="3566"/>
    </row>
    <row r="815" spans="13:14">
      <c r="M815" s="3588"/>
      <c r="N815" s="3566"/>
    </row>
    <row r="816" spans="13:14">
      <c r="M816" s="3588"/>
      <c r="N816" s="3566"/>
    </row>
    <row r="817" spans="13:14">
      <c r="M817" s="3588"/>
      <c r="N817" s="3566"/>
    </row>
    <row r="818" spans="13:14">
      <c r="M818" s="3588"/>
      <c r="N818" s="3566"/>
    </row>
    <row r="819" spans="13:14">
      <c r="M819" s="3588"/>
      <c r="N819" s="3566"/>
    </row>
    <row r="820" spans="13:14">
      <c r="M820" s="3588"/>
      <c r="N820" s="3566"/>
    </row>
    <row r="821" spans="13:14">
      <c r="M821" s="3588"/>
      <c r="N821" s="3566"/>
    </row>
    <row r="822" spans="13:14">
      <c r="M822" s="3588"/>
      <c r="N822" s="3566"/>
    </row>
    <row r="823" spans="13:14">
      <c r="M823" s="3588"/>
      <c r="N823" s="3566"/>
    </row>
    <row r="824" spans="13:14">
      <c r="M824" s="3588"/>
      <c r="N824" s="3566"/>
    </row>
    <row r="825" spans="13:14">
      <c r="M825" s="3588"/>
      <c r="N825" s="3566"/>
    </row>
    <row r="826" spans="13:14">
      <c r="M826" s="3588"/>
      <c r="N826" s="3566"/>
    </row>
    <row r="827" spans="13:14">
      <c r="M827" s="3588"/>
      <c r="N827" s="3566"/>
    </row>
    <row r="828" spans="13:14">
      <c r="M828" s="3588"/>
      <c r="N828" s="3566"/>
    </row>
    <row r="829" spans="13:14">
      <c r="M829" s="3588"/>
      <c r="N829" s="3566"/>
    </row>
    <row r="830" spans="13:14">
      <c r="M830" s="3588"/>
      <c r="N830" s="3566"/>
    </row>
    <row r="831" spans="13:14">
      <c r="M831" s="3588"/>
      <c r="N831" s="3566"/>
    </row>
    <row r="832" spans="13:14">
      <c r="M832" s="3588"/>
      <c r="N832" s="3566"/>
    </row>
    <row r="833" spans="13:14">
      <c r="M833" s="3588"/>
      <c r="N833" s="3566"/>
    </row>
    <row r="834" spans="13:14">
      <c r="M834" s="3588"/>
      <c r="N834" s="3566"/>
    </row>
    <row r="835" spans="13:14">
      <c r="M835" s="3588"/>
      <c r="N835" s="3566"/>
    </row>
    <row r="836" spans="13:14">
      <c r="M836" s="3588"/>
      <c r="N836" s="3566"/>
    </row>
    <row r="837" spans="13:14">
      <c r="M837" s="3588"/>
      <c r="N837" s="3566"/>
    </row>
    <row r="838" spans="13:14">
      <c r="M838" s="3588"/>
      <c r="N838" s="3566"/>
    </row>
    <row r="839" spans="13:14">
      <c r="M839" s="3588"/>
      <c r="N839" s="3566"/>
    </row>
    <row r="840" spans="13:14">
      <c r="M840" s="3588"/>
      <c r="N840" s="3566"/>
    </row>
    <row r="841" spans="13:14">
      <c r="M841" s="3588"/>
      <c r="N841" s="3566"/>
    </row>
    <row r="842" spans="13:14">
      <c r="M842" s="3588"/>
      <c r="N842" s="3566"/>
    </row>
    <row r="843" spans="13:14">
      <c r="M843" s="3588"/>
      <c r="N843" s="3566"/>
    </row>
    <row r="844" spans="13:14">
      <c r="M844" s="3588"/>
      <c r="N844" s="3566"/>
    </row>
    <row r="845" spans="13:14">
      <c r="M845" s="3588"/>
      <c r="N845" s="3566"/>
    </row>
    <row r="846" spans="13:14">
      <c r="M846" s="3588"/>
      <c r="N846" s="3566"/>
    </row>
    <row r="847" spans="13:14">
      <c r="M847" s="3588"/>
      <c r="N847" s="3566"/>
    </row>
    <row r="848" spans="13:14">
      <c r="M848" s="3588"/>
      <c r="N848" s="3566"/>
    </row>
    <row r="849" spans="13:14">
      <c r="M849" s="3588"/>
      <c r="N849" s="3566"/>
    </row>
    <row r="850" spans="13:14">
      <c r="M850" s="3588"/>
      <c r="N850" s="3566"/>
    </row>
    <row r="851" spans="13:14">
      <c r="M851" s="3588"/>
      <c r="N851" s="3566"/>
    </row>
    <row r="852" spans="13:14">
      <c r="M852" s="3588"/>
      <c r="N852" s="3566"/>
    </row>
    <row r="853" spans="13:14">
      <c r="M853" s="3588"/>
      <c r="N853" s="3566"/>
    </row>
    <row r="854" spans="13:14">
      <c r="M854" s="3588"/>
      <c r="N854" s="3566"/>
    </row>
    <row r="855" spans="13:14">
      <c r="M855" s="3588"/>
      <c r="N855" s="3566"/>
    </row>
    <row r="856" spans="13:14">
      <c r="M856" s="3588"/>
      <c r="N856" s="3566"/>
    </row>
    <row r="857" spans="13:14">
      <c r="M857" s="3588"/>
      <c r="N857" s="3566"/>
    </row>
    <row r="858" spans="13:14">
      <c r="M858" s="3588"/>
      <c r="N858" s="3566"/>
    </row>
    <row r="859" spans="13:14">
      <c r="M859" s="3588"/>
      <c r="N859" s="3566"/>
    </row>
    <row r="860" spans="13:14">
      <c r="M860" s="3588"/>
      <c r="N860" s="3566"/>
    </row>
    <row r="861" spans="13:14">
      <c r="M861" s="3588"/>
      <c r="N861" s="3566"/>
    </row>
    <row r="862" spans="13:14">
      <c r="M862" s="3588"/>
      <c r="N862" s="3566"/>
    </row>
    <row r="863" spans="13:14">
      <c r="M863" s="3588"/>
      <c r="N863" s="3566"/>
    </row>
    <row r="864" spans="13:14">
      <c r="M864" s="3588"/>
      <c r="N864" s="3566"/>
    </row>
    <row r="865" spans="13:14">
      <c r="M865" s="3588"/>
      <c r="N865" s="3566"/>
    </row>
    <row r="866" spans="13:14">
      <c r="M866" s="3588"/>
      <c r="N866" s="3566"/>
    </row>
    <row r="867" spans="13:14">
      <c r="M867" s="3588"/>
      <c r="N867" s="3566"/>
    </row>
    <row r="868" spans="13:14">
      <c r="M868" s="3588"/>
      <c r="N868" s="3566"/>
    </row>
    <row r="869" spans="13:14">
      <c r="M869" s="3588"/>
      <c r="N869" s="3566"/>
    </row>
    <row r="870" spans="13:14">
      <c r="M870" s="3588"/>
      <c r="N870" s="3566"/>
    </row>
    <row r="871" spans="13:14">
      <c r="M871" s="3588"/>
      <c r="N871" s="3566"/>
    </row>
    <row r="872" spans="13:14">
      <c r="M872" s="3588"/>
      <c r="N872" s="3566"/>
    </row>
    <row r="873" spans="13:14">
      <c r="M873" s="3588"/>
      <c r="N873" s="3566"/>
    </row>
    <row r="874" spans="13:14">
      <c r="M874" s="3588"/>
      <c r="N874" s="3566"/>
    </row>
    <row r="875" spans="13:14">
      <c r="M875" s="3588"/>
      <c r="N875" s="3566"/>
    </row>
    <row r="876" spans="13:14">
      <c r="M876" s="3588"/>
      <c r="N876" s="3566"/>
    </row>
    <row r="877" spans="13:14">
      <c r="M877" s="3588"/>
      <c r="N877" s="3566"/>
    </row>
    <row r="878" spans="13:14">
      <c r="M878" s="3588"/>
      <c r="N878" s="3566"/>
    </row>
    <row r="879" spans="13:14">
      <c r="M879" s="3588"/>
      <c r="N879" s="3566"/>
    </row>
    <row r="880" spans="13:14">
      <c r="M880" s="3588"/>
      <c r="N880" s="3566"/>
    </row>
    <row r="881" spans="13:14">
      <c r="M881" s="3588"/>
      <c r="N881" s="3566"/>
    </row>
    <row r="882" spans="13:14">
      <c r="M882" s="3588"/>
      <c r="N882" s="3566"/>
    </row>
    <row r="883" spans="13:14">
      <c r="M883" s="3588"/>
      <c r="N883" s="3566"/>
    </row>
    <row r="884" spans="13:14">
      <c r="M884" s="3588"/>
      <c r="N884" s="3566"/>
    </row>
    <row r="885" spans="13:14">
      <c r="M885" s="3588"/>
      <c r="N885" s="3566"/>
    </row>
    <row r="886" spans="13:14">
      <c r="M886" s="3588"/>
      <c r="N886" s="3566"/>
    </row>
    <row r="887" spans="13:14">
      <c r="M887" s="3588"/>
      <c r="N887" s="3566"/>
    </row>
    <row r="888" spans="13:14">
      <c r="M888" s="3588"/>
      <c r="N888" s="3566"/>
    </row>
    <row r="889" spans="13:14">
      <c r="M889" s="3588"/>
      <c r="N889" s="3566"/>
    </row>
    <row r="890" spans="13:14">
      <c r="M890" s="3588"/>
      <c r="N890" s="3566"/>
    </row>
    <row r="891" spans="13:14">
      <c r="M891" s="3588"/>
      <c r="N891" s="3566"/>
    </row>
    <row r="892" spans="13:14">
      <c r="M892" s="3588"/>
      <c r="N892" s="3566"/>
    </row>
    <row r="893" spans="13:14">
      <c r="M893" s="3588"/>
      <c r="N893" s="3566"/>
    </row>
    <row r="894" spans="13:14">
      <c r="M894" s="3588"/>
      <c r="N894" s="3566"/>
    </row>
    <row r="895" spans="13:14">
      <c r="M895" s="3588"/>
      <c r="N895" s="3566"/>
    </row>
    <row r="896" spans="13:14">
      <c r="M896" s="3588"/>
      <c r="N896" s="3566"/>
    </row>
    <row r="897" spans="13:14">
      <c r="M897" s="3588"/>
      <c r="N897" s="3566"/>
    </row>
    <row r="898" spans="13:14">
      <c r="M898" s="3588"/>
      <c r="N898" s="3566"/>
    </row>
    <row r="899" spans="13:14">
      <c r="M899" s="3588"/>
      <c r="N899" s="3566"/>
    </row>
    <row r="900" spans="13:14">
      <c r="M900" s="3588"/>
      <c r="N900" s="3566"/>
    </row>
    <row r="901" spans="13:14">
      <c r="M901" s="3588"/>
      <c r="N901" s="3566"/>
    </row>
    <row r="902" spans="13:14">
      <c r="M902" s="3588"/>
      <c r="N902" s="3566"/>
    </row>
    <row r="903" spans="13:14">
      <c r="M903" s="3588"/>
      <c r="N903" s="3566"/>
    </row>
    <row r="904" spans="13:14">
      <c r="M904" s="3588"/>
      <c r="N904" s="3566"/>
    </row>
    <row r="905" spans="13:14">
      <c r="M905" s="3588"/>
      <c r="N905" s="3566"/>
    </row>
    <row r="906" spans="13:14">
      <c r="M906" s="3588"/>
      <c r="N906" s="3566"/>
    </row>
    <row r="907" spans="13:14">
      <c r="M907" s="3588"/>
      <c r="N907" s="3566"/>
    </row>
    <row r="908" spans="13:14">
      <c r="M908" s="3588"/>
      <c r="N908" s="3566"/>
    </row>
    <row r="909" spans="13:14">
      <c r="M909" s="3588"/>
      <c r="N909" s="3566"/>
    </row>
    <row r="910" spans="13:14">
      <c r="M910" s="3588"/>
      <c r="N910" s="3566"/>
    </row>
    <row r="911" spans="13:14">
      <c r="M911" s="3588"/>
      <c r="N911" s="3566"/>
    </row>
    <row r="912" spans="13:14">
      <c r="M912" s="3588"/>
      <c r="N912" s="3566"/>
    </row>
    <row r="913" spans="13:14">
      <c r="M913" s="3588"/>
      <c r="N913" s="3566"/>
    </row>
    <row r="914" spans="13:14">
      <c r="M914" s="3588"/>
      <c r="N914" s="3566"/>
    </row>
    <row r="915" spans="13:14">
      <c r="M915" s="3588"/>
      <c r="N915" s="3566"/>
    </row>
    <row r="916" spans="13:14">
      <c r="M916" s="3588"/>
      <c r="N916" s="3566"/>
    </row>
    <row r="917" spans="13:14">
      <c r="M917" s="3588"/>
      <c r="N917" s="3566"/>
    </row>
    <row r="918" spans="13:14">
      <c r="M918" s="3588"/>
      <c r="N918" s="3566"/>
    </row>
    <row r="919" spans="13:14">
      <c r="M919" s="3588"/>
      <c r="N919" s="3566"/>
    </row>
    <row r="920" spans="13:14">
      <c r="M920" s="3588"/>
      <c r="N920" s="3566"/>
    </row>
    <row r="921" spans="13:14">
      <c r="M921" s="3588"/>
      <c r="N921" s="3566"/>
    </row>
    <row r="922" spans="13:14">
      <c r="M922" s="3588"/>
      <c r="N922" s="3566"/>
    </row>
    <row r="923" spans="13:14">
      <c r="M923" s="3588"/>
      <c r="N923" s="3566"/>
    </row>
    <row r="924" spans="13:14">
      <c r="M924" s="3588"/>
      <c r="N924" s="3566"/>
    </row>
    <row r="925" spans="13:14">
      <c r="M925" s="3588"/>
      <c r="N925" s="3566"/>
    </row>
    <row r="926" spans="13:14">
      <c r="M926" s="3588"/>
      <c r="N926" s="3566"/>
    </row>
    <row r="927" spans="13:14">
      <c r="M927" s="3588"/>
      <c r="N927" s="3566"/>
    </row>
    <row r="928" spans="13:14">
      <c r="M928" s="3588"/>
      <c r="N928" s="3566"/>
    </row>
    <row r="929" spans="13:14">
      <c r="M929" s="3588"/>
      <c r="N929" s="3566"/>
    </row>
    <row r="930" spans="13:14">
      <c r="M930" s="3588"/>
      <c r="N930" s="3566"/>
    </row>
    <row r="931" spans="13:14">
      <c r="M931" s="3588"/>
      <c r="N931" s="3566"/>
    </row>
    <row r="932" spans="13:14">
      <c r="M932" s="3588"/>
      <c r="N932" s="3566"/>
    </row>
    <row r="933" spans="13:14">
      <c r="M933" s="3588"/>
      <c r="N933" s="3566"/>
    </row>
    <row r="934" spans="13:14">
      <c r="M934" s="3588"/>
      <c r="N934" s="3566"/>
    </row>
    <row r="935" spans="13:14">
      <c r="M935" s="3588"/>
      <c r="N935" s="3566"/>
    </row>
    <row r="936" spans="13:14">
      <c r="M936" s="3588"/>
      <c r="N936" s="3566"/>
    </row>
    <row r="937" spans="13:14">
      <c r="M937" s="3588"/>
      <c r="N937" s="3566"/>
    </row>
    <row r="938" spans="13:14">
      <c r="M938" s="3588"/>
      <c r="N938" s="3566"/>
    </row>
    <row r="939" spans="13:14">
      <c r="M939" s="3588"/>
      <c r="N939" s="3566"/>
    </row>
    <row r="940" spans="13:14">
      <c r="M940" s="3588"/>
      <c r="N940" s="3566"/>
    </row>
    <row r="941" spans="13:14">
      <c r="M941" s="3588"/>
      <c r="N941" s="3566"/>
    </row>
    <row r="942" spans="13:14">
      <c r="M942" s="3588"/>
      <c r="N942" s="3566"/>
    </row>
    <row r="943" spans="13:14">
      <c r="M943" s="3588"/>
      <c r="N943" s="3566"/>
    </row>
    <row r="944" spans="13:14">
      <c r="M944" s="3588"/>
      <c r="N944" s="3566"/>
    </row>
    <row r="945" spans="13:14">
      <c r="M945" s="3588"/>
      <c r="N945" s="3566"/>
    </row>
    <row r="946" spans="13:14">
      <c r="M946" s="3588"/>
      <c r="N946" s="3566"/>
    </row>
    <row r="947" spans="13:14">
      <c r="M947" s="3588"/>
      <c r="N947" s="3566"/>
    </row>
    <row r="948" spans="13:14">
      <c r="M948" s="3588"/>
      <c r="N948" s="3566"/>
    </row>
    <row r="949" spans="13:14">
      <c r="M949" s="3588"/>
      <c r="N949" s="3566"/>
    </row>
    <row r="950" spans="13:14">
      <c r="M950" s="3588"/>
      <c r="N950" s="3566"/>
    </row>
    <row r="951" spans="13:14">
      <c r="M951" s="3588"/>
      <c r="N951" s="3566"/>
    </row>
    <row r="952" spans="13:14">
      <c r="M952" s="3588"/>
      <c r="N952" s="3566"/>
    </row>
    <row r="953" spans="13:14">
      <c r="M953" s="3588"/>
      <c r="N953" s="3566"/>
    </row>
    <row r="954" spans="13:14">
      <c r="M954" s="3588"/>
      <c r="N954" s="3566"/>
    </row>
    <row r="955" spans="13:14">
      <c r="M955" s="3588"/>
      <c r="N955" s="3566"/>
    </row>
    <row r="956" spans="13:14">
      <c r="M956" s="3588"/>
      <c r="N956" s="3566"/>
    </row>
    <row r="957" spans="13:14">
      <c r="M957" s="3588"/>
      <c r="N957" s="3566"/>
    </row>
    <row r="958" spans="13:14">
      <c r="M958" s="3588"/>
      <c r="N958" s="3566"/>
    </row>
    <row r="959" spans="13:14">
      <c r="M959" s="3588"/>
      <c r="N959" s="3566"/>
    </row>
    <row r="960" spans="13:14">
      <c r="M960" s="3588"/>
      <c r="N960" s="3566"/>
    </row>
    <row r="961" spans="13:14">
      <c r="M961" s="3588"/>
      <c r="N961" s="3566"/>
    </row>
    <row r="962" spans="13:14">
      <c r="M962" s="3588"/>
      <c r="N962" s="3566"/>
    </row>
    <row r="963" spans="13:14">
      <c r="M963" s="3588"/>
      <c r="N963" s="3566"/>
    </row>
    <row r="964" spans="13:14">
      <c r="M964" s="3588"/>
      <c r="N964" s="3566"/>
    </row>
    <row r="965" spans="13:14">
      <c r="M965" s="3588"/>
      <c r="N965" s="3566"/>
    </row>
    <row r="966" spans="13:14">
      <c r="M966" s="3588"/>
      <c r="N966" s="3566"/>
    </row>
    <row r="967" spans="13:14">
      <c r="M967" s="3588"/>
      <c r="N967" s="3566"/>
    </row>
    <row r="968" spans="13:14">
      <c r="M968" s="3588"/>
      <c r="N968" s="3566"/>
    </row>
    <row r="969" spans="13:14">
      <c r="M969" s="3588"/>
      <c r="N969" s="3566"/>
    </row>
    <row r="970" spans="13:14">
      <c r="M970" s="3588"/>
      <c r="N970" s="3566"/>
    </row>
    <row r="971" spans="13:14">
      <c r="M971" s="3588"/>
      <c r="N971" s="3566"/>
    </row>
    <row r="972" spans="13:14">
      <c r="M972" s="3588"/>
      <c r="N972" s="3566"/>
    </row>
    <row r="973" spans="13:14">
      <c r="M973" s="3588"/>
      <c r="N973" s="3566"/>
    </row>
    <row r="974" spans="13:14">
      <c r="M974" s="3588"/>
      <c r="N974" s="3566"/>
    </row>
    <row r="975" spans="13:14">
      <c r="M975" s="3588"/>
      <c r="N975" s="3566"/>
    </row>
    <row r="976" spans="13:14">
      <c r="M976" s="3588"/>
      <c r="N976" s="3566"/>
    </row>
    <row r="977" spans="13:14">
      <c r="M977" s="3588"/>
      <c r="N977" s="3566"/>
    </row>
    <row r="978" spans="13:14">
      <c r="M978" s="3588"/>
      <c r="N978" s="3566"/>
    </row>
    <row r="979" spans="13:14">
      <c r="M979" s="3588"/>
      <c r="N979" s="3566"/>
    </row>
    <row r="980" spans="13:14">
      <c r="M980" s="3588"/>
      <c r="N980" s="3566"/>
    </row>
    <row r="981" spans="13:14">
      <c r="M981" s="3588"/>
      <c r="N981" s="3566"/>
    </row>
    <row r="982" spans="13:14">
      <c r="M982" s="3588"/>
      <c r="N982" s="3566"/>
    </row>
    <row r="983" spans="13:14">
      <c r="M983" s="3588"/>
      <c r="N983" s="3566"/>
    </row>
    <row r="984" spans="13:14">
      <c r="M984" s="3588"/>
      <c r="N984" s="3566"/>
    </row>
    <row r="985" spans="13:14">
      <c r="M985" s="3588"/>
      <c r="N985" s="3566"/>
    </row>
    <row r="986" spans="13:14">
      <c r="M986" s="3588"/>
      <c r="N986" s="3566"/>
    </row>
    <row r="987" spans="13:14">
      <c r="M987" s="3588"/>
      <c r="N987" s="3566"/>
    </row>
    <row r="988" spans="13:14">
      <c r="M988" s="3588"/>
      <c r="N988" s="3566"/>
    </row>
    <row r="989" spans="13:14">
      <c r="M989" s="3588"/>
      <c r="N989" s="3566"/>
    </row>
    <row r="990" spans="13:14">
      <c r="M990" s="3588"/>
      <c r="N990" s="3566"/>
    </row>
    <row r="991" spans="13:14">
      <c r="M991" s="3588"/>
      <c r="N991" s="3566"/>
    </row>
    <row r="992" spans="13:14">
      <c r="M992" s="3588"/>
      <c r="N992" s="3566"/>
    </row>
    <row r="993" spans="13:14">
      <c r="M993" s="3588"/>
      <c r="N993" s="3566"/>
    </row>
    <row r="994" spans="13:14">
      <c r="M994" s="3588"/>
      <c r="N994" s="3566"/>
    </row>
    <row r="995" spans="13:14">
      <c r="M995" s="3588"/>
      <c r="N995" s="3566"/>
    </row>
    <row r="996" spans="13:14">
      <c r="M996" s="3588"/>
      <c r="N996" s="3566"/>
    </row>
    <row r="997" spans="13:14">
      <c r="M997" s="3588"/>
      <c r="N997" s="3566"/>
    </row>
    <row r="998" spans="13:14">
      <c r="M998" s="3588"/>
      <c r="N998" s="3566"/>
    </row>
    <row r="999" spans="13:14">
      <c r="M999" s="3588"/>
      <c r="N999" s="3566"/>
    </row>
    <row r="1000" spans="13:14">
      <c r="M1000" s="3588"/>
      <c r="N1000" s="3566"/>
    </row>
    <row r="1001" spans="13:14">
      <c r="M1001" s="3588"/>
      <c r="N1001" s="3566"/>
    </row>
    <row r="1002" spans="13:14">
      <c r="M1002" s="3588"/>
      <c r="N1002" s="3566"/>
    </row>
    <row r="1003" spans="13:14">
      <c r="M1003" s="3588"/>
      <c r="N1003" s="3566"/>
    </row>
    <row r="1004" spans="13:14">
      <c r="M1004" s="3588"/>
      <c r="N1004" s="3566"/>
    </row>
    <row r="1005" spans="13:14">
      <c r="M1005" s="3588"/>
      <c r="N1005" s="3566"/>
    </row>
    <row r="1006" spans="13:14">
      <c r="M1006" s="3588"/>
      <c r="N1006" s="3566"/>
    </row>
    <row r="1007" spans="13:14">
      <c r="M1007" s="3588"/>
      <c r="N1007" s="3566"/>
    </row>
    <row r="1008" spans="13:14">
      <c r="M1008" s="3588"/>
      <c r="N1008" s="3566"/>
    </row>
    <row r="1009" spans="13:14">
      <c r="M1009" s="3588"/>
      <c r="N1009" s="3566"/>
    </row>
    <row r="1010" spans="13:14">
      <c r="M1010" s="3588"/>
      <c r="N1010" s="3566"/>
    </row>
    <row r="1011" spans="13:14">
      <c r="M1011" s="3588"/>
      <c r="N1011" s="3566"/>
    </row>
    <row r="1012" spans="13:14">
      <c r="M1012" s="3588"/>
      <c r="N1012" s="3566"/>
    </row>
    <row r="1013" spans="13:14">
      <c r="M1013" s="3588"/>
      <c r="N1013" s="3566"/>
    </row>
    <row r="1014" spans="13:14">
      <c r="M1014" s="3588"/>
      <c r="N1014" s="3566"/>
    </row>
    <row r="1015" spans="13:14">
      <c r="M1015" s="3588"/>
      <c r="N1015" s="3566"/>
    </row>
    <row r="1016" spans="13:14">
      <c r="M1016" s="3588"/>
      <c r="N1016" s="3566"/>
    </row>
    <row r="1017" spans="13:14">
      <c r="M1017" s="3588"/>
      <c r="N1017" s="3566"/>
    </row>
    <row r="1018" spans="13:14">
      <c r="M1018" s="3588"/>
      <c r="N1018" s="3566"/>
    </row>
    <row r="1019" spans="13:14">
      <c r="M1019" s="3588"/>
      <c r="N1019" s="3566"/>
    </row>
    <row r="1020" spans="13:14">
      <c r="M1020" s="3588"/>
      <c r="N1020" s="3566"/>
    </row>
    <row r="1021" spans="13:14">
      <c r="M1021" s="3588"/>
      <c r="N1021" s="3566"/>
    </row>
    <row r="1022" spans="13:14">
      <c r="M1022" s="3588"/>
      <c r="N1022" s="3566"/>
    </row>
    <row r="1023" spans="13:14">
      <c r="M1023" s="3588"/>
      <c r="N1023" s="3566"/>
    </row>
    <row r="1024" spans="13:14">
      <c r="M1024" s="3588"/>
      <c r="N1024" s="3566"/>
    </row>
    <row r="1025" spans="13:14">
      <c r="M1025" s="3588"/>
      <c r="N1025" s="3566"/>
    </row>
    <row r="1026" spans="13:14">
      <c r="M1026" s="3588"/>
      <c r="N1026" s="3566"/>
    </row>
    <row r="1027" spans="13:14">
      <c r="M1027" s="3588"/>
      <c r="N1027" s="3566"/>
    </row>
    <row r="1028" spans="13:14">
      <c r="M1028" s="3588"/>
      <c r="N1028" s="3566"/>
    </row>
    <row r="1029" spans="13:14">
      <c r="M1029" s="3588"/>
      <c r="N1029" s="3566"/>
    </row>
    <row r="1030" spans="13:14">
      <c r="M1030" s="3588"/>
      <c r="N1030" s="3566"/>
    </row>
    <row r="1031" spans="13:14">
      <c r="M1031" s="3588"/>
      <c r="N1031" s="3566"/>
    </row>
    <row r="1032" spans="13:14">
      <c r="M1032" s="3588"/>
      <c r="N1032" s="3566"/>
    </row>
    <row r="1033" spans="13:14">
      <c r="M1033" s="3588"/>
      <c r="N1033" s="3566"/>
    </row>
    <row r="1034" spans="13:14">
      <c r="M1034" s="3588"/>
      <c r="N1034" s="3566"/>
    </row>
    <row r="1035" spans="13:14">
      <c r="M1035" s="3588"/>
      <c r="N1035" s="3566"/>
    </row>
    <row r="1036" spans="13:14">
      <c r="M1036" s="3588"/>
      <c r="N1036" s="3566"/>
    </row>
    <row r="1037" spans="13:14">
      <c r="M1037" s="3588"/>
      <c r="N1037" s="3566"/>
    </row>
    <row r="1038" spans="13:14">
      <c r="M1038" s="3588"/>
      <c r="N1038" s="3566"/>
    </row>
    <row r="1039" spans="13:14">
      <c r="M1039" s="3588"/>
      <c r="N1039" s="3566"/>
    </row>
    <row r="1040" spans="13:14">
      <c r="M1040" s="3588"/>
      <c r="N1040" s="3566"/>
    </row>
    <row r="1041" spans="13:14">
      <c r="M1041" s="3588"/>
      <c r="N1041" s="3566"/>
    </row>
    <row r="1042" spans="13:14">
      <c r="M1042" s="3588"/>
      <c r="N1042" s="3566"/>
    </row>
    <row r="1043" spans="13:14">
      <c r="M1043" s="3588"/>
      <c r="N1043" s="3566"/>
    </row>
    <row r="1044" spans="13:14">
      <c r="M1044" s="3588"/>
      <c r="N1044" s="3566"/>
    </row>
    <row r="1045" spans="13:14">
      <c r="M1045" s="3588"/>
      <c r="N1045" s="3566"/>
    </row>
    <row r="1046" spans="13:14">
      <c r="M1046" s="3588"/>
      <c r="N1046" s="3566"/>
    </row>
    <row r="1047" spans="13:14">
      <c r="M1047" s="3588"/>
      <c r="N1047" s="3566"/>
    </row>
    <row r="1048" spans="13:14">
      <c r="M1048" s="3588"/>
      <c r="N1048" s="3566"/>
    </row>
    <row r="1049" spans="13:14">
      <c r="M1049" s="3588"/>
      <c r="N1049" s="3566"/>
    </row>
    <row r="1050" spans="13:14">
      <c r="M1050" s="3588"/>
      <c r="N1050" s="3566"/>
    </row>
    <row r="1051" spans="13:14">
      <c r="M1051" s="3588"/>
      <c r="N1051" s="3566"/>
    </row>
    <row r="1052" spans="13:14">
      <c r="M1052" s="3588"/>
      <c r="N1052" s="3566"/>
    </row>
    <row r="1053" spans="13:14">
      <c r="M1053" s="3588"/>
      <c r="N1053" s="3566"/>
    </row>
    <row r="1054" spans="13:14">
      <c r="M1054" s="3588"/>
      <c r="N1054" s="3566"/>
    </row>
    <row r="1055" spans="13:14">
      <c r="M1055" s="3588"/>
      <c r="N1055" s="3566"/>
    </row>
    <row r="1056" spans="13:14">
      <c r="M1056" s="3588"/>
      <c r="N1056" s="3566"/>
    </row>
    <row r="1057" spans="13:14">
      <c r="M1057" s="3588"/>
      <c r="N1057" s="3566"/>
    </row>
    <row r="1058" spans="13:14">
      <c r="M1058" s="3588"/>
      <c r="N1058" s="3566"/>
    </row>
    <row r="1059" spans="13:14">
      <c r="M1059" s="3588"/>
      <c r="N1059" s="3566"/>
    </row>
    <row r="1060" spans="13:14">
      <c r="M1060" s="3588"/>
      <c r="N1060" s="3566"/>
    </row>
    <row r="1061" spans="13:14">
      <c r="M1061" s="3588"/>
      <c r="N1061" s="3566"/>
    </row>
    <row r="1062" spans="13:14">
      <c r="M1062" s="3588"/>
      <c r="N1062" s="3566"/>
    </row>
    <row r="1063" spans="13:14">
      <c r="M1063" s="3588"/>
      <c r="N1063" s="3566"/>
    </row>
    <row r="1064" spans="13:14">
      <c r="M1064" s="3588"/>
      <c r="N1064" s="3566"/>
    </row>
    <row r="1065" spans="13:14">
      <c r="M1065" s="3588"/>
      <c r="N1065" s="3566"/>
    </row>
    <row r="1066" spans="13:14">
      <c r="M1066" s="3588"/>
      <c r="N1066" s="3566"/>
    </row>
    <row r="1067" spans="13:14">
      <c r="M1067" s="3588"/>
      <c r="N1067" s="3566"/>
    </row>
    <row r="1068" spans="13:14">
      <c r="M1068" s="3588"/>
      <c r="N1068" s="3566"/>
    </row>
    <row r="1069" spans="13:14">
      <c r="M1069" s="3588"/>
      <c r="N1069" s="3566"/>
    </row>
    <row r="1070" spans="13:14">
      <c r="M1070" s="3588"/>
      <c r="N1070" s="3566"/>
    </row>
    <row r="1071" spans="13:14">
      <c r="M1071" s="3588"/>
      <c r="N1071" s="3566"/>
    </row>
    <row r="1072" spans="13:14">
      <c r="M1072" s="3588"/>
      <c r="N1072" s="3566"/>
    </row>
    <row r="1073" spans="13:14">
      <c r="M1073" s="3588"/>
      <c r="N1073" s="3566"/>
    </row>
    <row r="1074" spans="13:14">
      <c r="M1074" s="3588"/>
      <c r="N1074" s="3566"/>
    </row>
    <row r="1075" spans="13:14">
      <c r="M1075" s="3588"/>
      <c r="N1075" s="3566"/>
    </row>
    <row r="1076" spans="13:14">
      <c r="M1076" s="3588"/>
      <c r="N1076" s="3566"/>
    </row>
    <row r="1077" spans="13:14">
      <c r="M1077" s="3588"/>
      <c r="N1077" s="3566"/>
    </row>
    <row r="1078" spans="13:14">
      <c r="M1078" s="3588"/>
      <c r="N1078" s="3566"/>
    </row>
    <row r="1079" spans="13:14">
      <c r="M1079" s="3588"/>
      <c r="N1079" s="3566"/>
    </row>
    <row r="1080" spans="13:14">
      <c r="M1080" s="3588"/>
      <c r="N1080" s="3566"/>
    </row>
    <row r="1081" spans="13:14">
      <c r="M1081" s="3588"/>
      <c r="N1081" s="3566"/>
    </row>
    <row r="1082" spans="13:14">
      <c r="M1082" s="3588"/>
      <c r="N1082" s="3566"/>
    </row>
    <row r="1083" spans="13:14">
      <c r="M1083" s="3588"/>
      <c r="N1083" s="3566"/>
    </row>
    <row r="1084" spans="13:14">
      <c r="M1084" s="3588"/>
      <c r="N1084" s="3566"/>
    </row>
    <row r="1085" spans="13:14">
      <c r="M1085" s="3588"/>
      <c r="N1085" s="3566"/>
    </row>
    <row r="1086" spans="13:14">
      <c r="M1086" s="3588"/>
      <c r="N1086" s="3566"/>
    </row>
    <row r="1087" spans="13:14">
      <c r="M1087" s="3588"/>
      <c r="N1087" s="3566"/>
    </row>
    <row r="1088" spans="13:14">
      <c r="M1088" s="3588"/>
      <c r="N1088" s="3566"/>
    </row>
    <row r="1089" spans="13:14">
      <c r="M1089" s="3588"/>
      <c r="N1089" s="3566"/>
    </row>
    <row r="1090" spans="13:14">
      <c r="M1090" s="3588"/>
      <c r="N1090" s="3566"/>
    </row>
    <row r="1091" spans="13:14">
      <c r="M1091" s="3588"/>
      <c r="N1091" s="3566"/>
    </row>
    <row r="1092" spans="13:14">
      <c r="M1092" s="3588"/>
      <c r="N1092" s="3566"/>
    </row>
    <row r="1093" spans="13:14">
      <c r="M1093" s="3588"/>
      <c r="N1093" s="3566"/>
    </row>
    <row r="1094" spans="13:14">
      <c r="M1094" s="3588"/>
      <c r="N1094" s="3566"/>
    </row>
    <row r="1095" spans="13:14">
      <c r="M1095" s="3588"/>
      <c r="N1095" s="3566"/>
    </row>
    <row r="1096" spans="13:14">
      <c r="M1096" s="3588"/>
      <c r="N1096" s="3566"/>
    </row>
    <row r="1097" spans="13:14">
      <c r="M1097" s="3588"/>
      <c r="N1097" s="3566"/>
    </row>
    <row r="1098" spans="13:14">
      <c r="M1098" s="3588"/>
      <c r="N1098" s="3566"/>
    </row>
    <row r="1099" spans="13:14">
      <c r="M1099" s="3588"/>
      <c r="N1099" s="3566"/>
    </row>
    <row r="1100" spans="13:14">
      <c r="M1100" s="3588"/>
      <c r="N1100" s="3566"/>
    </row>
    <row r="1101" spans="13:14">
      <c r="M1101" s="3588"/>
      <c r="N1101" s="3566"/>
    </row>
    <row r="1102" spans="13:14">
      <c r="M1102" s="3588"/>
      <c r="N1102" s="3566"/>
    </row>
    <row r="1103" spans="13:14">
      <c r="M1103" s="3588"/>
      <c r="N1103" s="3566"/>
    </row>
    <row r="1104" spans="13:14">
      <c r="M1104" s="3588"/>
      <c r="N1104" s="3566"/>
    </row>
    <row r="1105" spans="13:14">
      <c r="M1105" s="3588"/>
      <c r="N1105" s="3566"/>
    </row>
    <row r="1106" spans="13:14">
      <c r="M1106" s="3588"/>
      <c r="N1106" s="3566"/>
    </row>
    <row r="1107" spans="13:14">
      <c r="M1107" s="3588"/>
      <c r="N1107" s="3566"/>
    </row>
    <row r="1108" spans="13:14">
      <c r="M1108" s="3588"/>
      <c r="N1108" s="3566"/>
    </row>
    <row r="1109" spans="13:14">
      <c r="M1109" s="3588"/>
      <c r="N1109" s="3566"/>
    </row>
    <row r="1110" spans="13:14">
      <c r="M1110" s="3588"/>
      <c r="N1110" s="3566"/>
    </row>
    <row r="1111" spans="13:14">
      <c r="M1111" s="3588"/>
      <c r="N1111" s="3566"/>
    </row>
    <row r="1112" spans="13:14">
      <c r="M1112" s="3588"/>
      <c r="N1112" s="3566"/>
    </row>
    <row r="1113" spans="13:14">
      <c r="M1113" s="3588"/>
      <c r="N1113" s="3566"/>
    </row>
    <row r="1114" spans="13:14">
      <c r="M1114" s="3588"/>
      <c r="N1114" s="3566"/>
    </row>
    <row r="1115" spans="13:14">
      <c r="M1115" s="3588"/>
      <c r="N1115" s="3566"/>
    </row>
    <row r="1116" spans="13:14">
      <c r="M1116" s="3588"/>
      <c r="N1116" s="3566"/>
    </row>
    <row r="1117" spans="13:14">
      <c r="M1117" s="3588"/>
      <c r="N1117" s="3566"/>
    </row>
    <row r="1118" spans="13:14">
      <c r="M1118" s="3588"/>
      <c r="N1118" s="3566"/>
    </row>
    <row r="1119" spans="13:14">
      <c r="M1119" s="3588"/>
      <c r="N1119" s="3566"/>
    </row>
    <row r="1120" spans="13:14">
      <c r="M1120" s="3588"/>
      <c r="N1120" s="3566"/>
    </row>
    <row r="1121" spans="13:14">
      <c r="M1121" s="3588"/>
      <c r="N1121" s="3566"/>
    </row>
    <row r="1122" spans="13:14">
      <c r="M1122" s="3588"/>
      <c r="N1122" s="3566"/>
    </row>
    <row r="1123" spans="13:14">
      <c r="M1123" s="3588"/>
      <c r="N1123" s="3566"/>
    </row>
    <row r="1124" spans="13:14">
      <c r="M1124" s="3588"/>
      <c r="N1124" s="3566"/>
    </row>
    <row r="1125" spans="13:14">
      <c r="M1125" s="3588"/>
      <c r="N1125" s="3566"/>
    </row>
    <row r="1126" spans="13:14">
      <c r="M1126" s="3588"/>
      <c r="N1126" s="3566"/>
    </row>
    <row r="1127" spans="13:14">
      <c r="M1127" s="3588"/>
      <c r="N1127" s="3566"/>
    </row>
    <row r="1128" spans="13:14">
      <c r="M1128" s="3588"/>
      <c r="N1128" s="3566"/>
    </row>
    <row r="1129" spans="13:14">
      <c r="M1129" s="3588"/>
      <c r="N1129" s="3566"/>
    </row>
    <row r="1130" spans="13:14">
      <c r="M1130" s="3588"/>
      <c r="N1130" s="3566"/>
    </row>
    <row r="1131" spans="13:14">
      <c r="M1131" s="3588"/>
      <c r="N1131" s="3566"/>
    </row>
    <row r="1132" spans="13:14">
      <c r="M1132" s="3588"/>
      <c r="N1132" s="3566"/>
    </row>
    <row r="1133" spans="13:14">
      <c r="M1133" s="3588"/>
      <c r="N1133" s="3566"/>
    </row>
    <row r="1134" spans="13:14">
      <c r="M1134" s="3588"/>
      <c r="N1134" s="3566"/>
    </row>
    <row r="1135" spans="13:14">
      <c r="M1135" s="3588"/>
      <c r="N1135" s="3566"/>
    </row>
    <row r="1136" spans="13:14">
      <c r="M1136" s="3588"/>
      <c r="N1136" s="3566"/>
    </row>
    <row r="1137" spans="13:14">
      <c r="M1137" s="3588"/>
      <c r="N1137" s="3566"/>
    </row>
    <row r="1138" spans="13:14">
      <c r="M1138" s="3588"/>
      <c r="N1138" s="3566"/>
    </row>
    <row r="1139" spans="13:14">
      <c r="M1139" s="3588"/>
      <c r="N1139" s="3566"/>
    </row>
    <row r="1140" spans="13:14">
      <c r="M1140" s="3588"/>
      <c r="N1140" s="3566"/>
    </row>
    <row r="1141" spans="13:14">
      <c r="M1141" s="3588"/>
      <c r="N1141" s="3566"/>
    </row>
    <row r="1142" spans="13:14">
      <c r="M1142" s="3588"/>
      <c r="N1142" s="3566"/>
    </row>
    <row r="1143" spans="13:14">
      <c r="M1143" s="3588"/>
      <c r="N1143" s="3566"/>
    </row>
    <row r="1144" spans="13:14">
      <c r="M1144" s="3588"/>
      <c r="N1144" s="3566"/>
    </row>
    <row r="1145" spans="13:14">
      <c r="M1145" s="3588"/>
      <c r="N1145" s="3566"/>
    </row>
    <row r="1146" spans="13:14">
      <c r="M1146" s="3588"/>
      <c r="N1146" s="3566"/>
    </row>
    <row r="1147" spans="13:14">
      <c r="M1147" s="3588"/>
      <c r="N1147" s="3566"/>
    </row>
    <row r="1148" spans="13:14">
      <c r="M1148" s="3588"/>
      <c r="N1148" s="3566"/>
    </row>
    <row r="1149" spans="13:14">
      <c r="M1149" s="3588"/>
      <c r="N1149" s="3566"/>
    </row>
    <row r="1150" spans="13:14">
      <c r="M1150" s="3588"/>
      <c r="N1150" s="3566"/>
    </row>
    <row r="1151" spans="13:14">
      <c r="M1151" s="3588"/>
      <c r="N1151" s="3566"/>
    </row>
    <row r="1152" spans="13:14">
      <c r="M1152" s="3588"/>
      <c r="N1152" s="3566"/>
    </row>
    <row r="1153" spans="13:14">
      <c r="M1153" s="3588"/>
      <c r="N1153" s="3566"/>
    </row>
    <row r="1154" spans="13:14">
      <c r="M1154" s="3588"/>
      <c r="N1154" s="3566"/>
    </row>
    <row r="1155" spans="13:14">
      <c r="M1155" s="3588"/>
      <c r="N1155" s="3566"/>
    </row>
    <row r="1156" spans="13:14">
      <c r="M1156" s="3588"/>
      <c r="N1156" s="3566"/>
    </row>
    <row r="1157" spans="13:14">
      <c r="M1157" s="3588"/>
      <c r="N1157" s="3566"/>
    </row>
    <row r="1158" spans="13:14">
      <c r="M1158" s="3588"/>
      <c r="N1158" s="3566"/>
    </row>
    <row r="1159" spans="13:14">
      <c r="M1159" s="3588"/>
      <c r="N1159" s="3566"/>
    </row>
    <row r="1160" spans="13:14">
      <c r="M1160" s="3588"/>
      <c r="N1160" s="3566"/>
    </row>
    <row r="1161" spans="13:14">
      <c r="M1161" s="3588"/>
      <c r="N1161" s="3566"/>
    </row>
    <row r="1162" spans="13:14">
      <c r="M1162" s="3588"/>
      <c r="N1162" s="3566"/>
    </row>
    <row r="1163" spans="13:14">
      <c r="M1163" s="3588"/>
      <c r="N1163" s="3566"/>
    </row>
    <row r="1164" spans="13:14">
      <c r="M1164" s="3588"/>
      <c r="N1164" s="3566"/>
    </row>
    <row r="1165" spans="13:14">
      <c r="M1165" s="3588"/>
      <c r="N1165" s="3566"/>
    </row>
    <row r="1166" spans="13:14">
      <c r="M1166" s="3588"/>
      <c r="N1166" s="3566"/>
    </row>
    <row r="1167" spans="13:14">
      <c r="M1167" s="3588"/>
      <c r="N1167" s="3566"/>
    </row>
    <row r="1168" spans="13:14">
      <c r="M1168" s="3588"/>
      <c r="N1168" s="3566"/>
    </row>
    <row r="1169" spans="13:14">
      <c r="M1169" s="3588"/>
      <c r="N1169" s="3566"/>
    </row>
    <row r="1170" spans="13:14">
      <c r="M1170" s="3588"/>
      <c r="N1170" s="3566"/>
    </row>
    <row r="1171" spans="13:14">
      <c r="M1171" s="3588"/>
      <c r="N1171" s="3566"/>
    </row>
    <row r="1172" spans="13:14">
      <c r="M1172" s="3588"/>
      <c r="N1172" s="3566"/>
    </row>
    <row r="1173" spans="13:14">
      <c r="M1173" s="3588"/>
      <c r="N1173" s="3566"/>
    </row>
    <row r="1174" spans="13:14">
      <c r="M1174" s="3588"/>
      <c r="N1174" s="3566"/>
    </row>
    <row r="1175" spans="13:14">
      <c r="M1175" s="3588"/>
      <c r="N1175" s="3566"/>
    </row>
    <row r="1176" spans="13:14">
      <c r="M1176" s="3588"/>
      <c r="N1176" s="3566"/>
    </row>
    <row r="1177" spans="13:14">
      <c r="M1177" s="3588"/>
      <c r="N1177" s="3566"/>
    </row>
    <row r="1178" spans="13:14">
      <c r="M1178" s="3588"/>
      <c r="N1178" s="3566"/>
    </row>
    <row r="1179" spans="13:14">
      <c r="M1179" s="3588"/>
      <c r="N1179" s="3566"/>
    </row>
    <row r="1180" spans="13:14">
      <c r="M1180" s="3588"/>
      <c r="N1180" s="3566"/>
    </row>
    <row r="1181" spans="13:14">
      <c r="M1181" s="3588"/>
      <c r="N1181" s="3566"/>
    </row>
    <row r="1182" spans="13:14">
      <c r="M1182" s="3588"/>
      <c r="N1182" s="3566"/>
    </row>
    <row r="1183" spans="13:14">
      <c r="M1183" s="3588"/>
      <c r="N1183" s="3566"/>
    </row>
    <row r="1184" spans="13:14">
      <c r="M1184" s="3588"/>
      <c r="N1184" s="3566"/>
    </row>
    <row r="1185" spans="13:14">
      <c r="M1185" s="3588"/>
      <c r="N1185" s="3566"/>
    </row>
    <row r="1186" spans="13:14">
      <c r="M1186" s="3588"/>
      <c r="N1186" s="3566"/>
    </row>
    <row r="1187" spans="13:14">
      <c r="M1187" s="3588"/>
      <c r="N1187" s="3566"/>
    </row>
    <row r="1188" spans="13:14">
      <c r="M1188" s="3588"/>
      <c r="N1188" s="3566"/>
    </row>
    <row r="1189" spans="13:14">
      <c r="M1189" s="3588"/>
      <c r="N1189" s="3566"/>
    </row>
    <row r="1190" spans="13:14">
      <c r="M1190" s="3588"/>
      <c r="N1190" s="3566"/>
    </row>
    <row r="1191" spans="13:14">
      <c r="M1191" s="3588"/>
      <c r="N1191" s="3566"/>
    </row>
    <row r="1192" spans="13:14">
      <c r="M1192" s="3588"/>
      <c r="N1192" s="3566"/>
    </row>
    <row r="1193" spans="13:14">
      <c r="M1193" s="3588"/>
      <c r="N1193" s="3566"/>
    </row>
    <row r="1194" spans="13:14">
      <c r="M1194" s="3588"/>
      <c r="N1194" s="3566"/>
    </row>
    <row r="1195" spans="13:14">
      <c r="M1195" s="3588"/>
      <c r="N1195" s="3566"/>
    </row>
    <row r="1196" spans="13:14">
      <c r="M1196" s="3588"/>
      <c r="N1196" s="3566"/>
    </row>
    <row r="1197" spans="13:14">
      <c r="M1197" s="3588"/>
      <c r="N1197" s="3566"/>
    </row>
    <row r="1198" spans="13:14">
      <c r="M1198" s="3588"/>
      <c r="N1198" s="3566"/>
    </row>
    <row r="1199" spans="13:14">
      <c r="M1199" s="3588"/>
      <c r="N1199" s="3566"/>
    </row>
    <row r="1200" spans="13:14">
      <c r="M1200" s="3588"/>
      <c r="N1200" s="3566"/>
    </row>
    <row r="1201" spans="13:14">
      <c r="M1201" s="3588"/>
      <c r="N1201" s="3566"/>
    </row>
    <row r="1202" spans="13:14">
      <c r="M1202" s="3588"/>
      <c r="N1202" s="3566"/>
    </row>
    <row r="1203" spans="13:14">
      <c r="M1203" s="3588"/>
      <c r="N1203" s="3566"/>
    </row>
    <row r="1204" spans="13:14">
      <c r="M1204" s="3588"/>
      <c r="N1204" s="3566"/>
    </row>
    <row r="1205" spans="13:14">
      <c r="M1205" s="3588"/>
      <c r="N1205" s="3566"/>
    </row>
    <row r="1206" spans="13:14">
      <c r="M1206" s="3588"/>
      <c r="N1206" s="3566"/>
    </row>
    <row r="1207" spans="13:14">
      <c r="M1207" s="3588"/>
      <c r="N1207" s="3566"/>
    </row>
    <row r="1208" spans="13:14">
      <c r="M1208" s="3588"/>
      <c r="N1208" s="3566"/>
    </row>
    <row r="1209" spans="13:14">
      <c r="M1209" s="3588"/>
      <c r="N1209" s="3566"/>
    </row>
    <row r="1210" spans="13:14">
      <c r="M1210" s="3588"/>
      <c r="N1210" s="3566"/>
    </row>
    <row r="1211" spans="13:14">
      <c r="M1211" s="3588"/>
      <c r="N1211" s="3566"/>
    </row>
    <row r="1212" spans="13:14">
      <c r="M1212" s="3588"/>
      <c r="N1212" s="3566"/>
    </row>
    <row r="1213" spans="13:14">
      <c r="M1213" s="3588"/>
      <c r="N1213" s="3566"/>
    </row>
    <row r="1214" spans="13:14">
      <c r="M1214" s="3588"/>
      <c r="N1214" s="3566"/>
    </row>
    <row r="1215" spans="13:14">
      <c r="M1215" s="3588"/>
      <c r="N1215" s="3566"/>
    </row>
    <row r="1216" spans="13:14">
      <c r="M1216" s="3588"/>
      <c r="N1216" s="3566"/>
    </row>
    <row r="1217" spans="13:14">
      <c r="M1217" s="3588"/>
      <c r="N1217" s="3566"/>
    </row>
    <row r="1218" spans="13:14">
      <c r="M1218" s="3588"/>
      <c r="N1218" s="3566"/>
    </row>
    <row r="1219" spans="13:14">
      <c r="M1219" s="3588"/>
      <c r="N1219" s="3566"/>
    </row>
    <row r="1220" spans="13:14">
      <c r="M1220" s="3588"/>
      <c r="N1220" s="3566"/>
    </row>
    <row r="1221" spans="13:14">
      <c r="M1221" s="3588"/>
      <c r="N1221" s="3566"/>
    </row>
    <row r="1222" spans="13:14">
      <c r="M1222" s="3588"/>
      <c r="N1222" s="3566"/>
    </row>
    <row r="1223" spans="13:14">
      <c r="M1223" s="3588"/>
      <c r="N1223" s="3566"/>
    </row>
    <row r="1224" spans="13:14">
      <c r="M1224" s="3588"/>
      <c r="N1224" s="3566"/>
    </row>
    <row r="1225" spans="13:14">
      <c r="M1225" s="3588"/>
      <c r="N1225" s="3566"/>
    </row>
    <row r="1226" spans="13:14">
      <c r="M1226" s="3588"/>
      <c r="N1226" s="3566"/>
    </row>
    <row r="1227" spans="13:14">
      <c r="M1227" s="3588"/>
      <c r="N1227" s="3566"/>
    </row>
    <row r="1228" spans="13:14">
      <c r="M1228" s="3588"/>
      <c r="N1228" s="3566"/>
    </row>
    <row r="1229" spans="13:14">
      <c r="M1229" s="3588"/>
      <c r="N1229" s="3566"/>
    </row>
    <row r="1230" spans="13:14">
      <c r="M1230" s="3588"/>
      <c r="N1230" s="3566"/>
    </row>
    <row r="1231" spans="13:14">
      <c r="M1231" s="3588"/>
      <c r="N1231" s="3566"/>
    </row>
    <row r="1232" spans="13:14">
      <c r="M1232" s="3588"/>
      <c r="N1232" s="3566"/>
    </row>
    <row r="1233" spans="13:14">
      <c r="M1233" s="3588"/>
      <c r="N1233" s="3566"/>
    </row>
    <row r="1234" spans="13:14">
      <c r="M1234" s="3588"/>
      <c r="N1234" s="3566"/>
    </row>
    <row r="1235" spans="13:14">
      <c r="M1235" s="3588"/>
      <c r="N1235" s="3566"/>
    </row>
    <row r="1236" spans="13:14">
      <c r="M1236" s="3588"/>
      <c r="N1236" s="3566"/>
    </row>
    <row r="1237" spans="13:14">
      <c r="M1237" s="3588"/>
      <c r="N1237" s="3566"/>
    </row>
    <row r="1238" spans="13:14">
      <c r="M1238" s="3588"/>
      <c r="N1238" s="3566"/>
    </row>
    <row r="1239" spans="13:14">
      <c r="M1239" s="3588"/>
      <c r="N1239" s="3566"/>
    </row>
    <row r="1240" spans="13:14">
      <c r="M1240" s="3588"/>
      <c r="N1240" s="3566"/>
    </row>
    <row r="1241" spans="13:14">
      <c r="M1241" s="3588"/>
      <c r="N1241" s="3566"/>
    </row>
    <row r="1242" spans="13:14">
      <c r="M1242" s="3588"/>
      <c r="N1242" s="3566"/>
    </row>
    <row r="1243" spans="13:14">
      <c r="M1243" s="3588"/>
      <c r="N1243" s="3566"/>
    </row>
    <row r="1244" spans="13:14">
      <c r="M1244" s="3588"/>
      <c r="N1244" s="3566"/>
    </row>
    <row r="1245" spans="13:14">
      <c r="M1245" s="3588"/>
      <c r="N1245" s="3566"/>
    </row>
    <row r="1246" spans="13:14">
      <c r="M1246" s="3588"/>
      <c r="N1246" s="3566"/>
    </row>
    <row r="1247" spans="13:14">
      <c r="M1247" s="3588"/>
      <c r="N1247" s="3566"/>
    </row>
    <row r="1248" spans="13:14">
      <c r="M1248" s="3588"/>
      <c r="N1248" s="3566"/>
    </row>
    <row r="1249" spans="13:14">
      <c r="M1249" s="3588"/>
      <c r="N1249" s="3566"/>
    </row>
    <row r="1250" spans="13:14">
      <c r="M1250" s="3588"/>
      <c r="N1250" s="3566"/>
    </row>
    <row r="1251" spans="13:14">
      <c r="M1251" s="3588"/>
      <c r="N1251" s="3566"/>
    </row>
    <row r="1252" spans="13:14">
      <c r="M1252" s="3588"/>
      <c r="N1252" s="3566"/>
    </row>
    <row r="1253" spans="13:14">
      <c r="M1253" s="3588"/>
      <c r="N1253" s="3566"/>
    </row>
    <row r="1254" spans="13:14">
      <c r="M1254" s="3588"/>
      <c r="N1254" s="3566"/>
    </row>
    <row r="1255" spans="13:14">
      <c r="M1255" s="3588"/>
      <c r="N1255" s="3566"/>
    </row>
    <row r="1256" spans="13:14">
      <c r="M1256" s="3588"/>
      <c r="N1256" s="3566"/>
    </row>
    <row r="1257" spans="13:14">
      <c r="M1257" s="3588"/>
      <c r="N1257" s="3566"/>
    </row>
    <row r="1258" spans="13:14">
      <c r="M1258" s="3588"/>
      <c r="N1258" s="3566"/>
    </row>
    <row r="1259" spans="13:14">
      <c r="M1259" s="3588"/>
      <c r="N1259" s="3566"/>
    </row>
    <row r="1260" spans="13:14">
      <c r="M1260" s="3588"/>
      <c r="N1260" s="3566"/>
    </row>
    <row r="1261" spans="13:14">
      <c r="M1261" s="3588"/>
      <c r="N1261" s="3566"/>
    </row>
    <row r="1262" spans="13:14">
      <c r="M1262" s="3588"/>
      <c r="N1262" s="3566"/>
    </row>
    <row r="1263" spans="13:14">
      <c r="M1263" s="3588"/>
      <c r="N1263" s="3566"/>
    </row>
    <row r="1264" spans="13:14">
      <c r="M1264" s="3588"/>
      <c r="N1264" s="3566"/>
    </row>
    <row r="1265" spans="13:14">
      <c r="M1265" s="3588"/>
      <c r="N1265" s="3566"/>
    </row>
    <row r="1266" spans="13:14">
      <c r="M1266" s="3588"/>
      <c r="N1266" s="3566"/>
    </row>
    <row r="1267" spans="13:14">
      <c r="M1267" s="3588"/>
      <c r="N1267" s="3566"/>
    </row>
    <row r="1268" spans="13:14">
      <c r="M1268" s="3588"/>
      <c r="N1268" s="3566"/>
    </row>
    <row r="1269" spans="13:14">
      <c r="M1269" s="3588"/>
      <c r="N1269" s="3566"/>
    </row>
    <row r="1270" spans="13:14">
      <c r="M1270" s="3588"/>
      <c r="N1270" s="3566"/>
    </row>
    <row r="1271" spans="13:14">
      <c r="M1271" s="3588"/>
      <c r="N1271" s="3566"/>
    </row>
    <row r="1272" spans="13:14">
      <c r="M1272" s="3588"/>
      <c r="N1272" s="3566"/>
    </row>
    <row r="1273" spans="13:14">
      <c r="M1273" s="3588"/>
      <c r="N1273" s="3566"/>
    </row>
    <row r="1274" spans="13:14">
      <c r="M1274" s="3588"/>
      <c r="N1274" s="3566"/>
    </row>
    <row r="1275" spans="13:14">
      <c r="M1275" s="3588"/>
      <c r="N1275" s="3566"/>
    </row>
    <row r="1276" spans="13:14">
      <c r="M1276" s="3588"/>
      <c r="N1276" s="3566"/>
    </row>
    <row r="1277" spans="13:14">
      <c r="M1277" s="3588"/>
      <c r="N1277" s="3566"/>
    </row>
    <row r="1278" spans="13:14">
      <c r="M1278" s="3588"/>
      <c r="N1278" s="3566"/>
    </row>
    <row r="1279" spans="13:14">
      <c r="M1279" s="3588"/>
      <c r="N1279" s="3566"/>
    </row>
    <row r="1280" spans="13:14">
      <c r="M1280" s="3588"/>
      <c r="N1280" s="3566"/>
    </row>
    <row r="1281" spans="13:14">
      <c r="M1281" s="3588"/>
      <c r="N1281" s="3566"/>
    </row>
    <row r="1282" spans="13:14">
      <c r="M1282" s="3588"/>
      <c r="N1282" s="3566"/>
    </row>
    <row r="1283" spans="13:14">
      <c r="M1283" s="3588"/>
      <c r="N1283" s="3566"/>
    </row>
    <row r="1284" spans="13:14">
      <c r="M1284" s="3588"/>
      <c r="N1284" s="3566"/>
    </row>
    <row r="1285" spans="13:14">
      <c r="M1285" s="3588"/>
      <c r="N1285" s="3566"/>
    </row>
    <row r="1286" spans="13:14">
      <c r="M1286" s="3588"/>
      <c r="N1286" s="3566"/>
    </row>
    <row r="1287" spans="13:14">
      <c r="M1287" s="3588"/>
      <c r="N1287" s="3566"/>
    </row>
    <row r="1288" spans="13:14">
      <c r="M1288" s="3588"/>
      <c r="N1288" s="3566"/>
    </row>
    <row r="1289" spans="13:14">
      <c r="M1289" s="3588"/>
      <c r="N1289" s="3566"/>
    </row>
    <row r="1290" spans="13:14">
      <c r="M1290" s="3588"/>
      <c r="N1290" s="3566"/>
    </row>
    <row r="1291" spans="13:14">
      <c r="M1291" s="3588"/>
      <c r="N1291" s="3566"/>
    </row>
    <row r="1292" spans="13:14">
      <c r="M1292" s="3588"/>
      <c r="N1292" s="3566"/>
    </row>
    <row r="1293" spans="13:14">
      <c r="M1293" s="3588"/>
      <c r="N1293" s="3566"/>
    </row>
    <row r="1294" spans="13:14">
      <c r="M1294" s="3588"/>
      <c r="N1294" s="3566"/>
    </row>
    <row r="1295" spans="13:14">
      <c r="M1295" s="3588"/>
      <c r="N1295" s="3566"/>
    </row>
    <row r="1296" spans="13:14">
      <c r="M1296" s="3588"/>
      <c r="N1296" s="3566"/>
    </row>
    <row r="1297" spans="13:14">
      <c r="M1297" s="3588"/>
      <c r="N1297" s="3566"/>
    </row>
    <row r="1298" spans="13:14">
      <c r="M1298" s="3588"/>
      <c r="N1298" s="3566"/>
    </row>
    <row r="1299" spans="13:14">
      <c r="M1299" s="3588"/>
      <c r="N1299" s="3566"/>
    </row>
    <row r="1300" spans="13:14">
      <c r="M1300" s="3588"/>
      <c r="N1300" s="3566"/>
    </row>
    <row r="1301" spans="13:14">
      <c r="M1301" s="3588"/>
      <c r="N1301" s="3566"/>
    </row>
    <row r="1302" spans="13:14">
      <c r="M1302" s="3588"/>
      <c r="N1302" s="3566"/>
    </row>
    <row r="1303" spans="13:14">
      <c r="M1303" s="3588"/>
      <c r="N1303" s="3566"/>
    </row>
    <row r="1304" spans="13:14">
      <c r="M1304" s="3588"/>
      <c r="N1304" s="3566"/>
    </row>
    <row r="1305" spans="13:14">
      <c r="M1305" s="3588"/>
      <c r="N1305" s="3566"/>
    </row>
    <row r="1306" spans="13:14">
      <c r="M1306" s="3588"/>
      <c r="N1306" s="3566"/>
    </row>
    <row r="1307" spans="13:14">
      <c r="M1307" s="3588"/>
      <c r="N1307" s="3566"/>
    </row>
    <row r="1308" spans="13:14">
      <c r="M1308" s="3588"/>
      <c r="N1308" s="3566"/>
    </row>
    <row r="1309" spans="13:14">
      <c r="M1309" s="3588"/>
      <c r="N1309" s="3566"/>
    </row>
    <row r="1310" spans="13:14">
      <c r="M1310" s="3588"/>
      <c r="N1310" s="3566"/>
    </row>
    <row r="1311" spans="13:14">
      <c r="M1311" s="3588"/>
      <c r="N1311" s="3566"/>
    </row>
    <row r="1312" spans="13:14">
      <c r="M1312" s="3588"/>
      <c r="N1312" s="3566"/>
    </row>
    <row r="1313" spans="13:14">
      <c r="M1313" s="3588"/>
      <c r="N1313" s="3566"/>
    </row>
    <row r="1314" spans="13:14">
      <c r="M1314" s="3588"/>
      <c r="N1314" s="3566"/>
    </row>
    <row r="1315" spans="13:14">
      <c r="M1315" s="3588"/>
      <c r="N1315" s="3566"/>
    </row>
    <row r="1316" spans="13:14">
      <c r="M1316" s="3588"/>
      <c r="N1316" s="3566"/>
    </row>
    <row r="1317" spans="13:14">
      <c r="M1317" s="3588"/>
      <c r="N1317" s="3566"/>
    </row>
    <row r="1318" spans="13:14">
      <c r="M1318" s="3588"/>
      <c r="N1318" s="3566"/>
    </row>
    <row r="1319" spans="13:14">
      <c r="M1319" s="3588"/>
      <c r="N1319" s="3566"/>
    </row>
    <row r="1320" spans="13:14">
      <c r="M1320" s="3588"/>
      <c r="N1320" s="3566"/>
    </row>
    <row r="1321" spans="13:14">
      <c r="M1321" s="3588"/>
      <c r="N1321" s="3566"/>
    </row>
    <row r="1322" spans="13:14">
      <c r="M1322" s="3588"/>
      <c r="N1322" s="3566"/>
    </row>
    <row r="1323" spans="13:14">
      <c r="M1323" s="3588"/>
      <c r="N1323" s="3566"/>
    </row>
    <row r="1324" spans="13:14">
      <c r="M1324" s="3588"/>
      <c r="N1324" s="3566"/>
    </row>
    <row r="1325" spans="13:14">
      <c r="M1325" s="3588"/>
      <c r="N1325" s="3566"/>
    </row>
    <row r="1326" spans="13:14">
      <c r="M1326" s="3588"/>
      <c r="N1326" s="3566"/>
    </row>
    <row r="1327" spans="13:14">
      <c r="M1327" s="3588"/>
      <c r="N1327" s="3566"/>
    </row>
    <row r="1328" spans="13:14">
      <c r="M1328" s="3588"/>
      <c r="N1328" s="3566"/>
    </row>
    <row r="1329" spans="13:14">
      <c r="M1329" s="3588"/>
      <c r="N1329" s="3566"/>
    </row>
    <row r="1330" spans="13:14">
      <c r="M1330" s="3588"/>
      <c r="N1330" s="3566"/>
    </row>
    <row r="1331" spans="13:14">
      <c r="M1331" s="3588"/>
      <c r="N1331" s="3566"/>
    </row>
    <row r="1332" spans="13:14">
      <c r="M1332" s="3588"/>
      <c r="N1332" s="3566"/>
    </row>
    <row r="1333" spans="13:14">
      <c r="M1333" s="3588"/>
      <c r="N1333" s="3566"/>
    </row>
    <row r="1334" spans="13:14">
      <c r="M1334" s="3588"/>
      <c r="N1334" s="3566"/>
    </row>
    <row r="1335" spans="13:14">
      <c r="M1335" s="3588"/>
      <c r="N1335" s="3566"/>
    </row>
    <row r="1336" spans="13:14">
      <c r="M1336" s="3588"/>
      <c r="N1336" s="3566"/>
    </row>
    <row r="1337" spans="13:14">
      <c r="M1337" s="3588"/>
      <c r="N1337" s="3566"/>
    </row>
    <row r="1338" spans="13:14">
      <c r="M1338" s="3588"/>
      <c r="N1338" s="3566"/>
    </row>
    <row r="1339" spans="13:14">
      <c r="M1339" s="3588"/>
      <c r="N1339" s="3566"/>
    </row>
    <row r="1340" spans="13:14">
      <c r="M1340" s="3588"/>
      <c r="N1340" s="3566"/>
    </row>
    <row r="1341" spans="13:14">
      <c r="M1341" s="3588"/>
      <c r="N1341" s="3566"/>
    </row>
    <row r="1342" spans="13:14">
      <c r="M1342" s="3588"/>
      <c r="N1342" s="3566"/>
    </row>
    <row r="1343" spans="13:14">
      <c r="M1343" s="3588"/>
      <c r="N1343" s="3566"/>
    </row>
    <row r="1344" spans="13:14">
      <c r="M1344" s="3588"/>
      <c r="N1344" s="3566"/>
    </row>
    <row r="1345" spans="13:14">
      <c r="M1345" s="3588"/>
      <c r="N1345" s="3566"/>
    </row>
    <row r="1346" spans="13:14">
      <c r="M1346" s="3588"/>
      <c r="N1346" s="3566"/>
    </row>
    <row r="1347" spans="13:14">
      <c r="M1347" s="3588"/>
      <c r="N1347" s="3566"/>
    </row>
    <row r="1348" spans="13:14">
      <c r="M1348" s="3588"/>
      <c r="N1348" s="3566"/>
    </row>
    <row r="1349" spans="13:14">
      <c r="M1349" s="3588"/>
      <c r="N1349" s="3566"/>
    </row>
    <row r="1350" spans="13:14">
      <c r="M1350" s="3588"/>
      <c r="N1350" s="3566"/>
    </row>
    <row r="1351" spans="13:14">
      <c r="M1351" s="3588"/>
      <c r="N1351" s="3566"/>
    </row>
    <row r="1352" spans="13:14">
      <c r="M1352" s="3588"/>
      <c r="N1352" s="3566"/>
    </row>
    <row r="1353" spans="13:14">
      <c r="M1353" s="3588"/>
      <c r="N1353" s="3566"/>
    </row>
    <row r="1354" spans="13:14">
      <c r="M1354" s="3588"/>
      <c r="N1354" s="3566"/>
    </row>
    <row r="1355" spans="13:14">
      <c r="M1355" s="3588"/>
      <c r="N1355" s="3566"/>
    </row>
    <row r="1356" spans="13:14">
      <c r="M1356" s="3588"/>
      <c r="N1356" s="3566"/>
    </row>
    <row r="1357" spans="13:14">
      <c r="M1357" s="3588"/>
      <c r="N1357" s="3566"/>
    </row>
    <row r="1358" spans="13:14">
      <c r="M1358" s="3588"/>
      <c r="N1358" s="3566"/>
    </row>
    <row r="1359" spans="13:14">
      <c r="M1359" s="3588"/>
      <c r="N1359" s="3566"/>
    </row>
    <row r="1360" spans="13:14">
      <c r="M1360" s="3588"/>
      <c r="N1360" s="3566"/>
    </row>
    <row r="1361" spans="13:14">
      <c r="M1361" s="3588"/>
      <c r="N1361" s="3566"/>
    </row>
    <row r="1362" spans="13:14">
      <c r="M1362" s="3588"/>
      <c r="N1362" s="3566"/>
    </row>
    <row r="1363" spans="13:14">
      <c r="M1363" s="3588"/>
      <c r="N1363" s="3566"/>
    </row>
    <row r="1364" spans="13:14">
      <c r="M1364" s="3588"/>
      <c r="N1364" s="3566"/>
    </row>
    <row r="1365" spans="13:14">
      <c r="M1365" s="3588"/>
      <c r="N1365" s="3566"/>
    </row>
    <row r="1366" spans="13:14">
      <c r="M1366" s="3588"/>
      <c r="N1366" s="3566"/>
    </row>
    <row r="1367" spans="13:14">
      <c r="M1367" s="3588"/>
      <c r="N1367" s="3566"/>
    </row>
    <row r="1368" spans="13:14">
      <c r="M1368" s="3588"/>
      <c r="N1368" s="3566"/>
    </row>
    <row r="1369" spans="13:14">
      <c r="M1369" s="3588"/>
      <c r="N1369" s="3566"/>
    </row>
    <row r="1370" spans="13:14">
      <c r="M1370" s="3588"/>
      <c r="N1370" s="3566"/>
    </row>
    <row r="1371" spans="13:14">
      <c r="M1371" s="3588"/>
      <c r="N1371" s="3566"/>
    </row>
    <row r="1372" spans="13:14">
      <c r="M1372" s="3588"/>
      <c r="N1372" s="3566"/>
    </row>
    <row r="1373" spans="13:14">
      <c r="M1373" s="3588"/>
      <c r="N1373" s="3566"/>
    </row>
    <row r="1374" spans="13:14">
      <c r="M1374" s="3588"/>
      <c r="N1374" s="3566"/>
    </row>
    <row r="1375" spans="13:14">
      <c r="M1375" s="3588"/>
      <c r="N1375" s="3566"/>
    </row>
    <row r="1376" spans="13:14">
      <c r="M1376" s="3588"/>
      <c r="N1376" s="3566"/>
    </row>
    <row r="1377" spans="13:14">
      <c r="M1377" s="3588"/>
      <c r="N1377" s="3566"/>
    </row>
    <row r="1378" spans="13:14">
      <c r="M1378" s="3588"/>
      <c r="N1378" s="3566"/>
    </row>
    <row r="1379" spans="13:14">
      <c r="M1379" s="3588"/>
      <c r="N1379" s="3566"/>
    </row>
    <row r="1380" spans="13:14">
      <c r="M1380" s="3588"/>
      <c r="N1380" s="3566"/>
    </row>
    <row r="1381" spans="13:14">
      <c r="M1381" s="3588"/>
      <c r="N1381" s="3566"/>
    </row>
    <row r="1382" spans="13:14">
      <c r="M1382" s="3588"/>
      <c r="N1382" s="3566"/>
    </row>
    <row r="1383" spans="13:14">
      <c r="M1383" s="3588"/>
      <c r="N1383" s="3566"/>
    </row>
    <row r="1384" spans="13:14">
      <c r="M1384" s="3588"/>
      <c r="N1384" s="3566"/>
    </row>
    <row r="1385" spans="13:14">
      <c r="M1385" s="3588"/>
      <c r="N1385" s="3566"/>
    </row>
    <row r="1386" spans="13:14">
      <c r="M1386" s="3588"/>
      <c r="N1386" s="3566"/>
    </row>
    <row r="1387" spans="13:14">
      <c r="M1387" s="3588"/>
      <c r="N1387" s="3566"/>
    </row>
    <row r="1388" spans="13:14">
      <c r="M1388" s="3588"/>
      <c r="N1388" s="3566"/>
    </row>
    <row r="1389" spans="13:14">
      <c r="M1389" s="3588"/>
      <c r="N1389" s="3566"/>
    </row>
    <row r="1390" spans="13:14">
      <c r="M1390" s="3588"/>
      <c r="N1390" s="3566"/>
    </row>
    <row r="1391" spans="13:14">
      <c r="M1391" s="3588"/>
      <c r="N1391" s="3566"/>
    </row>
    <row r="1392" spans="13:14">
      <c r="M1392" s="3588"/>
      <c r="N1392" s="3566"/>
    </row>
    <row r="1393" spans="13:14">
      <c r="M1393" s="3588"/>
      <c r="N1393" s="3566"/>
    </row>
    <row r="1394" spans="13:14">
      <c r="M1394" s="3588"/>
      <c r="N1394" s="3566"/>
    </row>
    <row r="1395" spans="13:14">
      <c r="M1395" s="3588"/>
      <c r="N1395" s="3566"/>
    </row>
    <row r="1396" spans="13:14">
      <c r="M1396" s="3588"/>
      <c r="N1396" s="3566"/>
    </row>
    <row r="1397" spans="13:14">
      <c r="M1397" s="3588"/>
      <c r="N1397" s="3566"/>
    </row>
    <row r="1398" spans="13:14">
      <c r="M1398" s="3588"/>
      <c r="N1398" s="3566"/>
    </row>
    <row r="1399" spans="13:14">
      <c r="M1399" s="3588"/>
      <c r="N1399" s="3566"/>
    </row>
    <row r="1400" spans="13:14">
      <c r="M1400" s="3588"/>
      <c r="N1400" s="3566"/>
    </row>
    <row r="1401" spans="13:14">
      <c r="M1401" s="3588"/>
      <c r="N1401" s="3566"/>
    </row>
    <row r="1402" spans="13:14">
      <c r="M1402" s="3588"/>
      <c r="N1402" s="3566"/>
    </row>
    <row r="1403" spans="13:14">
      <c r="M1403" s="3588"/>
      <c r="N1403" s="3566"/>
    </row>
    <row r="1404" spans="13:14">
      <c r="M1404" s="3588"/>
      <c r="N1404" s="3566"/>
    </row>
    <row r="1405" spans="13:14">
      <c r="M1405" s="3588"/>
      <c r="N1405" s="3566"/>
    </row>
    <row r="1406" spans="13:14">
      <c r="M1406" s="3588"/>
      <c r="N1406" s="3566"/>
    </row>
    <row r="1407" spans="13:14">
      <c r="M1407" s="3588"/>
      <c r="N1407" s="3566"/>
    </row>
    <row r="1408" spans="13:14">
      <c r="M1408" s="3588"/>
      <c r="N1408" s="3566"/>
    </row>
    <row r="1409" spans="13:14">
      <c r="M1409" s="3588"/>
      <c r="N1409" s="3566"/>
    </row>
    <row r="1410" spans="13:14">
      <c r="M1410" s="3588"/>
      <c r="N1410" s="3566"/>
    </row>
    <row r="1411" spans="13:14">
      <c r="M1411" s="3588"/>
      <c r="N1411" s="3566"/>
    </row>
    <row r="1412" spans="13:14">
      <c r="M1412" s="3588"/>
      <c r="N1412" s="3566"/>
    </row>
    <row r="1413" spans="13:14">
      <c r="M1413" s="3588"/>
      <c r="N1413" s="3566"/>
    </row>
    <row r="1414" spans="13:14">
      <c r="M1414" s="3588"/>
      <c r="N1414" s="3566"/>
    </row>
    <row r="1415" spans="13:14">
      <c r="M1415" s="3588"/>
      <c r="N1415" s="3566"/>
    </row>
    <row r="1416" spans="13:14">
      <c r="M1416" s="3588"/>
      <c r="N1416" s="3566"/>
    </row>
    <row r="1417" spans="13:14">
      <c r="M1417" s="3588"/>
      <c r="N1417" s="3566"/>
    </row>
    <row r="1418" spans="13:14">
      <c r="M1418" s="3588"/>
      <c r="N1418" s="3566"/>
    </row>
    <row r="1419" spans="13:14">
      <c r="M1419" s="3588"/>
      <c r="N1419" s="3566"/>
    </row>
    <row r="1420" spans="13:14">
      <c r="M1420" s="3588"/>
      <c r="N1420" s="3566"/>
    </row>
    <row r="1421" spans="13:14">
      <c r="M1421" s="3588"/>
      <c r="N1421" s="3566"/>
    </row>
    <row r="1422" spans="13:14">
      <c r="M1422" s="3588"/>
      <c r="N1422" s="3566"/>
    </row>
    <row r="1423" spans="13:14">
      <c r="M1423" s="3588"/>
      <c r="N1423" s="3566"/>
    </row>
    <row r="1424" spans="13:14">
      <c r="M1424" s="3588"/>
      <c r="N1424" s="3566"/>
    </row>
    <row r="1425" spans="13:14">
      <c r="M1425" s="3588"/>
      <c r="N1425" s="3566"/>
    </row>
    <row r="1426" spans="13:14">
      <c r="M1426" s="3588"/>
      <c r="N1426" s="3566"/>
    </row>
    <row r="1427" spans="13:14">
      <c r="M1427" s="3588"/>
      <c r="N1427" s="3566"/>
    </row>
    <row r="1428" spans="13:14">
      <c r="M1428" s="3588"/>
      <c r="N1428" s="3566"/>
    </row>
    <row r="1429" spans="13:14">
      <c r="M1429" s="3588"/>
      <c r="N1429" s="3566"/>
    </row>
    <row r="1430" spans="13:14">
      <c r="M1430" s="3588"/>
      <c r="N1430" s="3566"/>
    </row>
    <row r="1431" spans="13:14">
      <c r="M1431" s="3588"/>
      <c r="N1431" s="3566"/>
    </row>
    <row r="1432" spans="13:14">
      <c r="M1432" s="3588"/>
      <c r="N1432" s="3566"/>
    </row>
    <row r="1433" spans="13:14">
      <c r="M1433" s="3588"/>
      <c r="N1433" s="3566"/>
    </row>
    <row r="1434" spans="13:14">
      <c r="M1434" s="3588"/>
      <c r="N1434" s="3566"/>
    </row>
    <row r="1435" spans="13:14">
      <c r="M1435" s="3588"/>
      <c r="N1435" s="3566"/>
    </row>
    <row r="1436" spans="13:14">
      <c r="M1436" s="3588"/>
      <c r="N1436" s="3566"/>
    </row>
    <row r="1437" spans="13:14">
      <c r="M1437" s="3588"/>
      <c r="N1437" s="3566"/>
    </row>
    <row r="1438" spans="13:14">
      <c r="M1438" s="3588"/>
      <c r="N1438" s="3566"/>
    </row>
    <row r="1439" spans="13:14">
      <c r="M1439" s="3588"/>
      <c r="N1439" s="3566"/>
    </row>
    <row r="1440" spans="13:14">
      <c r="M1440" s="3588"/>
      <c r="N1440" s="3566"/>
    </row>
    <row r="1441" spans="13:14">
      <c r="M1441" s="3588"/>
      <c r="N1441" s="3566"/>
    </row>
    <row r="1442" spans="13:14">
      <c r="M1442" s="3588"/>
      <c r="N1442" s="3566"/>
    </row>
    <row r="1443" spans="13:14">
      <c r="M1443" s="3588"/>
      <c r="N1443" s="3566"/>
    </row>
    <row r="1444" spans="13:14">
      <c r="M1444" s="3588"/>
      <c r="N1444" s="3566"/>
    </row>
    <row r="1445" spans="13:14">
      <c r="M1445" s="3588"/>
      <c r="N1445" s="3566"/>
    </row>
    <row r="1446" spans="13:14">
      <c r="M1446" s="3588"/>
      <c r="N1446" s="3566"/>
    </row>
    <row r="1447" spans="13:14">
      <c r="M1447" s="3588"/>
      <c r="N1447" s="3566"/>
    </row>
    <row r="1448" spans="13:14">
      <c r="M1448" s="3588"/>
      <c r="N1448" s="3566"/>
    </row>
    <row r="1449" spans="13:14">
      <c r="M1449" s="3588"/>
      <c r="N1449" s="3566"/>
    </row>
    <row r="1450" spans="13:14">
      <c r="M1450" s="3588"/>
      <c r="N1450" s="3566"/>
    </row>
    <row r="1451" spans="13:14">
      <c r="M1451" s="3588"/>
      <c r="N1451" s="3566"/>
    </row>
    <row r="1452" spans="13:14">
      <c r="M1452" s="3588"/>
      <c r="N1452" s="3566"/>
    </row>
    <row r="1453" spans="13:14">
      <c r="M1453" s="3588"/>
      <c r="N1453" s="3566"/>
    </row>
    <row r="1454" spans="13:14">
      <c r="M1454" s="3588"/>
      <c r="N1454" s="3566"/>
    </row>
    <row r="1455" spans="13:14">
      <c r="M1455" s="3588"/>
      <c r="N1455" s="3566"/>
    </row>
    <row r="1456" spans="13:14">
      <c r="M1456" s="3588"/>
      <c r="N1456" s="3566"/>
    </row>
    <row r="1457" spans="13:14">
      <c r="M1457" s="3588"/>
      <c r="N1457" s="3566"/>
    </row>
    <row r="1458" spans="13:14">
      <c r="M1458" s="3588"/>
      <c r="N1458" s="3566"/>
    </row>
    <row r="1459" spans="13:14">
      <c r="M1459" s="3588"/>
      <c r="N1459" s="3566"/>
    </row>
    <row r="1460" spans="13:14">
      <c r="M1460" s="3588"/>
      <c r="N1460" s="3566"/>
    </row>
    <row r="1461" spans="13:14">
      <c r="M1461" s="3588"/>
      <c r="N1461" s="3566"/>
    </row>
    <row r="1462" spans="13:14">
      <c r="M1462" s="3588"/>
      <c r="N1462" s="3566"/>
    </row>
    <row r="1463" spans="13:14">
      <c r="M1463" s="3588"/>
      <c r="N1463" s="3566"/>
    </row>
    <row r="1464" spans="13:14">
      <c r="M1464" s="3588"/>
      <c r="N1464" s="3566"/>
    </row>
    <row r="1465" spans="13:14">
      <c r="M1465" s="3588"/>
      <c r="N1465" s="3566"/>
    </row>
    <row r="1466" spans="13:14">
      <c r="M1466" s="3588"/>
      <c r="N1466" s="3566"/>
    </row>
    <row r="1467" spans="13:14">
      <c r="M1467" s="3588"/>
      <c r="N1467" s="3566"/>
    </row>
    <row r="1468" spans="13:14">
      <c r="M1468" s="3588"/>
      <c r="N1468" s="3566"/>
    </row>
    <row r="1469" spans="13:14">
      <c r="M1469" s="3588"/>
      <c r="N1469" s="3566"/>
    </row>
    <row r="1470" spans="13:14">
      <c r="M1470" s="3588"/>
      <c r="N1470" s="3566"/>
    </row>
    <row r="1471" spans="13:14">
      <c r="M1471" s="3588"/>
      <c r="N1471" s="3566"/>
    </row>
    <row r="1472" spans="13:14">
      <c r="M1472" s="3588"/>
      <c r="N1472" s="3566"/>
    </row>
    <row r="1473" spans="13:14">
      <c r="M1473" s="3588"/>
      <c r="N1473" s="3566"/>
    </row>
    <row r="1474" spans="13:14">
      <c r="M1474" s="3588"/>
      <c r="N1474" s="3566"/>
    </row>
    <row r="1475" spans="13:14">
      <c r="M1475" s="3588"/>
      <c r="N1475" s="3566"/>
    </row>
    <row r="1476" spans="13:14">
      <c r="M1476" s="3588"/>
      <c r="N1476" s="3566"/>
    </row>
    <row r="1477" spans="13:14">
      <c r="M1477" s="3588"/>
      <c r="N1477" s="3566"/>
    </row>
    <row r="1478" spans="13:14">
      <c r="M1478" s="3588"/>
      <c r="N1478" s="3566"/>
    </row>
    <row r="1479" spans="13:14">
      <c r="M1479" s="3588"/>
      <c r="N1479" s="3566"/>
    </row>
    <row r="1480" spans="13:14">
      <c r="M1480" s="3588"/>
      <c r="N1480" s="3566"/>
    </row>
    <row r="1481" spans="13:14">
      <c r="M1481" s="3588"/>
      <c r="N1481" s="3566"/>
    </row>
    <row r="1482" spans="13:14">
      <c r="M1482" s="3588"/>
      <c r="N1482" s="3566"/>
    </row>
    <row r="1483" spans="13:14">
      <c r="M1483" s="3588"/>
      <c r="N1483" s="3566"/>
    </row>
    <row r="1484" spans="13:14">
      <c r="M1484" s="3588"/>
      <c r="N1484" s="3566"/>
    </row>
    <row r="1485" spans="13:14">
      <c r="M1485" s="3588"/>
      <c r="N1485" s="3566"/>
    </row>
    <row r="1486" spans="13:14">
      <c r="M1486" s="3588"/>
      <c r="N1486" s="3566"/>
    </row>
    <row r="1487" spans="13:14">
      <c r="M1487" s="3588"/>
      <c r="N1487" s="3566"/>
    </row>
    <row r="1488" spans="13:14">
      <c r="M1488" s="3588"/>
      <c r="N1488" s="3566"/>
    </row>
    <row r="1489" spans="13:14">
      <c r="M1489" s="3588"/>
      <c r="N1489" s="3566"/>
    </row>
    <row r="1490" spans="13:14">
      <c r="M1490" s="3588"/>
      <c r="N1490" s="3566"/>
    </row>
    <row r="1491" spans="13:14">
      <c r="M1491" s="3588"/>
      <c r="N1491" s="3566"/>
    </row>
    <row r="1492" spans="13:14">
      <c r="M1492" s="3588"/>
      <c r="N1492" s="3566"/>
    </row>
    <row r="1493" spans="13:14">
      <c r="M1493" s="3588"/>
      <c r="N1493" s="3566"/>
    </row>
    <row r="1494" spans="13:14">
      <c r="M1494" s="3588"/>
      <c r="N1494" s="3566"/>
    </row>
    <row r="1495" spans="13:14">
      <c r="M1495" s="3588"/>
      <c r="N1495" s="3566"/>
    </row>
    <row r="1496" spans="13:14">
      <c r="M1496" s="3588"/>
      <c r="N1496" s="3566"/>
    </row>
    <row r="1497" spans="13:14">
      <c r="M1497" s="3588"/>
      <c r="N1497" s="3566"/>
    </row>
    <row r="1498" spans="13:14">
      <c r="M1498" s="3588"/>
      <c r="N1498" s="3566"/>
    </row>
    <row r="1499" spans="13:14">
      <c r="M1499" s="3588"/>
      <c r="N1499" s="3566"/>
    </row>
    <row r="1500" spans="13:14">
      <c r="M1500" s="3588"/>
      <c r="N1500" s="3566"/>
    </row>
    <row r="1501" spans="13:14">
      <c r="M1501" s="3588"/>
      <c r="N1501" s="3566"/>
    </row>
    <row r="1502" spans="13:14">
      <c r="M1502" s="3588"/>
      <c r="N1502" s="3566"/>
    </row>
    <row r="1503" spans="13:14">
      <c r="M1503" s="3588"/>
      <c r="N1503" s="3566"/>
    </row>
    <row r="1504" spans="13:14">
      <c r="M1504" s="3588"/>
      <c r="N1504" s="3566"/>
    </row>
    <row r="1505" spans="13:14">
      <c r="M1505" s="3588"/>
      <c r="N1505" s="3566"/>
    </row>
    <row r="1506" spans="13:14">
      <c r="M1506" s="3588"/>
      <c r="N1506" s="3566"/>
    </row>
    <row r="1507" spans="13:14">
      <c r="M1507" s="3588"/>
      <c r="N1507" s="3566"/>
    </row>
    <row r="1508" spans="13:14">
      <c r="M1508" s="3588"/>
      <c r="N1508" s="3566"/>
    </row>
    <row r="1509" spans="13:14">
      <c r="M1509" s="3588"/>
      <c r="N1509" s="3566"/>
    </row>
    <row r="1510" spans="13:14">
      <c r="M1510" s="3588"/>
      <c r="N1510" s="3566"/>
    </row>
    <row r="1511" spans="13:14">
      <c r="M1511" s="3588"/>
      <c r="N1511" s="3566"/>
    </row>
    <row r="1512" spans="13:14">
      <c r="M1512" s="3588"/>
      <c r="N1512" s="3566"/>
    </row>
    <row r="1513" spans="13:14">
      <c r="M1513" s="3588"/>
      <c r="N1513" s="3566"/>
    </row>
    <row r="1514" spans="13:14">
      <c r="M1514" s="3588"/>
      <c r="N1514" s="3566"/>
    </row>
    <row r="1515" spans="13:14">
      <c r="M1515" s="3588"/>
      <c r="N1515" s="3566"/>
    </row>
    <row r="1516" spans="13:14">
      <c r="M1516" s="3588"/>
      <c r="N1516" s="3566"/>
    </row>
    <row r="1517" spans="13:14">
      <c r="M1517" s="3588"/>
      <c r="N1517" s="3566"/>
    </row>
    <row r="1518" spans="13:14">
      <c r="M1518" s="3588"/>
      <c r="N1518" s="3566"/>
    </row>
    <row r="1519" spans="13:14">
      <c r="M1519" s="3588"/>
      <c r="N1519" s="3566"/>
    </row>
    <row r="1520" spans="13:14">
      <c r="M1520" s="3588"/>
      <c r="N1520" s="3566"/>
    </row>
    <row r="1521" spans="13:14">
      <c r="M1521" s="3588"/>
      <c r="N1521" s="3566"/>
    </row>
    <row r="1522" spans="13:14">
      <c r="M1522" s="3588"/>
      <c r="N1522" s="3566"/>
    </row>
    <row r="1523" spans="13:14">
      <c r="M1523" s="3588"/>
      <c r="N1523" s="3566"/>
    </row>
    <row r="1524" spans="13:14">
      <c r="M1524" s="3588"/>
      <c r="N1524" s="3566"/>
    </row>
    <row r="1525" spans="13:14">
      <c r="M1525" s="3588"/>
      <c r="N1525" s="3566"/>
    </row>
    <row r="1526" spans="13:14">
      <c r="M1526" s="3588"/>
      <c r="N1526" s="3566"/>
    </row>
    <row r="1527" spans="13:14">
      <c r="M1527" s="3588"/>
      <c r="N1527" s="3566"/>
    </row>
    <row r="1528" spans="13:14">
      <c r="M1528" s="3588"/>
      <c r="N1528" s="3566"/>
    </row>
    <row r="1529" spans="13:14">
      <c r="M1529" s="3588"/>
      <c r="N1529" s="3566"/>
    </row>
    <row r="1530" spans="13:14">
      <c r="M1530" s="3588"/>
      <c r="N1530" s="3566"/>
    </row>
    <row r="1531" spans="13:14">
      <c r="M1531" s="3588"/>
      <c r="N1531" s="3566"/>
    </row>
    <row r="1532" spans="13:14">
      <c r="M1532" s="3588"/>
      <c r="N1532" s="3566"/>
    </row>
    <row r="1533" spans="13:14">
      <c r="M1533" s="3588"/>
      <c r="N1533" s="3566"/>
    </row>
    <row r="1534" spans="13:14">
      <c r="M1534" s="3588"/>
      <c r="N1534" s="3566"/>
    </row>
    <row r="1535" spans="13:14">
      <c r="M1535" s="3588"/>
      <c r="N1535" s="3566"/>
    </row>
    <row r="1536" spans="13:14">
      <c r="M1536" s="3588"/>
      <c r="N1536" s="3566"/>
    </row>
    <row r="1537" spans="13:14">
      <c r="M1537" s="3588"/>
      <c r="N1537" s="3566"/>
    </row>
    <row r="1538" spans="13:14">
      <c r="M1538" s="3588"/>
      <c r="N1538" s="3566"/>
    </row>
    <row r="1539" spans="13:14">
      <c r="M1539" s="3588"/>
      <c r="N1539" s="3566"/>
    </row>
    <row r="1540" spans="13:14">
      <c r="M1540" s="3588"/>
      <c r="N1540" s="3566"/>
    </row>
    <row r="1541" spans="13:14">
      <c r="M1541" s="3588"/>
      <c r="N1541" s="3566"/>
    </row>
    <row r="1542" spans="13:14">
      <c r="M1542" s="3588"/>
      <c r="N1542" s="3566"/>
    </row>
    <row r="1543" spans="13:14">
      <c r="M1543" s="3588"/>
      <c r="N1543" s="3566"/>
    </row>
    <row r="1544" spans="13:14">
      <c r="M1544" s="3588"/>
      <c r="N1544" s="3566"/>
    </row>
    <row r="1545" spans="13:14">
      <c r="M1545" s="3588"/>
      <c r="N1545" s="3566"/>
    </row>
    <row r="1546" spans="13:14">
      <c r="M1546" s="3588"/>
      <c r="N1546" s="3566"/>
    </row>
    <row r="1547" spans="13:14">
      <c r="M1547" s="3588"/>
      <c r="N1547" s="3566"/>
    </row>
    <row r="1548" spans="13:14">
      <c r="M1548" s="3588"/>
      <c r="N1548" s="3566"/>
    </row>
    <row r="1549" spans="13:14">
      <c r="M1549" s="3588"/>
      <c r="N1549" s="3566"/>
    </row>
    <row r="1550" spans="13:14">
      <c r="M1550" s="3588"/>
      <c r="N1550" s="3566"/>
    </row>
    <row r="1551" spans="13:14">
      <c r="M1551" s="3588"/>
      <c r="N1551" s="3566"/>
    </row>
    <row r="1552" spans="13:14">
      <c r="M1552" s="3588"/>
      <c r="N1552" s="3566"/>
    </row>
    <row r="1553" spans="13:14">
      <c r="M1553" s="3588"/>
      <c r="N1553" s="3566"/>
    </row>
    <row r="1554" spans="13:14">
      <c r="M1554" s="3588"/>
      <c r="N1554" s="3566"/>
    </row>
    <row r="1555" spans="13:14">
      <c r="M1555" s="3588"/>
      <c r="N1555" s="3566"/>
    </row>
    <row r="1556" spans="13:14">
      <c r="M1556" s="3588"/>
      <c r="N1556" s="3566"/>
    </row>
    <row r="1557" spans="13:14">
      <c r="M1557" s="3588"/>
      <c r="N1557" s="3566"/>
    </row>
    <row r="1558" spans="13:14">
      <c r="M1558" s="3588"/>
      <c r="N1558" s="3566"/>
    </row>
    <row r="1559" spans="13:14">
      <c r="M1559" s="3588"/>
      <c r="N1559" s="3566"/>
    </row>
    <row r="1560" spans="13:14">
      <c r="M1560" s="3588"/>
      <c r="N1560" s="3566"/>
    </row>
    <row r="1561" spans="13:14">
      <c r="M1561" s="3588"/>
      <c r="N1561" s="3566"/>
    </row>
    <row r="1562" spans="13:14">
      <c r="M1562" s="3588"/>
      <c r="N1562" s="3566"/>
    </row>
    <row r="1563" spans="13:14">
      <c r="M1563" s="3588"/>
      <c r="N1563" s="3566"/>
    </row>
    <row r="1564" spans="13:14">
      <c r="M1564" s="3588"/>
      <c r="N1564" s="3566"/>
    </row>
    <row r="1565" spans="13:14">
      <c r="M1565" s="3588"/>
      <c r="N1565" s="3566"/>
    </row>
    <row r="1566" spans="13:14">
      <c r="M1566" s="3588"/>
      <c r="N1566" s="3566"/>
    </row>
    <row r="1567" spans="13:14">
      <c r="M1567" s="3588"/>
      <c r="N1567" s="3566"/>
    </row>
    <row r="1568" spans="13:14">
      <c r="M1568" s="3588"/>
      <c r="N1568" s="3566"/>
    </row>
    <row r="1569" spans="13:14">
      <c r="M1569" s="3588"/>
      <c r="N1569" s="3566"/>
    </row>
    <row r="1570" spans="13:14">
      <c r="M1570" s="3588"/>
      <c r="N1570" s="3566"/>
    </row>
    <row r="1571" spans="13:14">
      <c r="M1571" s="3588"/>
      <c r="N1571" s="3566"/>
    </row>
    <row r="1572" spans="13:14">
      <c r="M1572" s="3588"/>
      <c r="N1572" s="3566"/>
    </row>
    <row r="1573" spans="13:14">
      <c r="M1573" s="3588"/>
      <c r="N1573" s="3566"/>
    </row>
    <row r="1574" spans="13:14">
      <c r="M1574" s="3588"/>
      <c r="N1574" s="3566"/>
    </row>
    <row r="1575" spans="13:14">
      <c r="M1575" s="3588"/>
      <c r="N1575" s="3566"/>
    </row>
    <row r="1576" spans="13:14">
      <c r="M1576" s="3588"/>
      <c r="N1576" s="3566"/>
    </row>
    <row r="1577" spans="13:14">
      <c r="M1577" s="3588"/>
      <c r="N1577" s="3566"/>
    </row>
    <row r="1578" spans="13:14">
      <c r="M1578" s="3588"/>
      <c r="N1578" s="3566"/>
    </row>
    <row r="1579" spans="13:14">
      <c r="M1579" s="3588"/>
      <c r="N1579" s="3566"/>
    </row>
    <row r="1580" spans="13:14">
      <c r="M1580" s="3588"/>
      <c r="N1580" s="3566"/>
    </row>
    <row r="1581" spans="13:14">
      <c r="M1581" s="3588"/>
      <c r="N1581" s="3566"/>
    </row>
    <row r="1582" spans="13:14">
      <c r="M1582" s="3588"/>
      <c r="N1582" s="3566"/>
    </row>
    <row r="1583" spans="13:14">
      <c r="M1583" s="3588"/>
      <c r="N1583" s="3566"/>
    </row>
    <row r="1584" spans="13:14">
      <c r="M1584" s="3588"/>
      <c r="N1584" s="3566"/>
    </row>
    <row r="1585" spans="13:14">
      <c r="M1585" s="3588"/>
      <c r="N1585" s="3566"/>
    </row>
    <row r="1586" spans="13:14">
      <c r="M1586" s="3588"/>
      <c r="N1586" s="3566"/>
    </row>
    <row r="1587" spans="13:14">
      <c r="M1587" s="3588"/>
      <c r="N1587" s="3566"/>
    </row>
    <row r="1588" spans="13:14">
      <c r="M1588" s="3588"/>
      <c r="N1588" s="3566"/>
    </row>
    <row r="1589" spans="13:14">
      <c r="M1589" s="3588"/>
      <c r="N1589" s="3566"/>
    </row>
    <row r="1590" spans="13:14">
      <c r="M1590" s="3588"/>
      <c r="N1590" s="3566"/>
    </row>
    <row r="1591" spans="13:14">
      <c r="M1591" s="3588"/>
      <c r="N1591" s="3566"/>
    </row>
    <row r="1592" spans="13:14">
      <c r="M1592" s="3588"/>
      <c r="N1592" s="3566"/>
    </row>
    <row r="1593" spans="13:14">
      <c r="M1593" s="3588"/>
      <c r="N1593" s="3566"/>
    </row>
    <row r="1594" spans="13:14">
      <c r="M1594" s="3588"/>
      <c r="N1594" s="3566"/>
    </row>
    <row r="1595" spans="13:14">
      <c r="M1595" s="3588"/>
      <c r="N1595" s="3566"/>
    </row>
    <row r="1596" spans="13:14">
      <c r="M1596" s="3588"/>
      <c r="N1596" s="3566"/>
    </row>
    <row r="1597" spans="13:14">
      <c r="M1597" s="3588"/>
      <c r="N1597" s="3566"/>
    </row>
    <row r="1598" spans="13:14">
      <c r="M1598" s="3588"/>
      <c r="N1598" s="3566"/>
    </row>
    <row r="1599" spans="13:14">
      <c r="M1599" s="3588"/>
      <c r="N1599" s="3566"/>
    </row>
    <row r="1600" spans="13:14">
      <c r="M1600" s="3588"/>
      <c r="N1600" s="3566"/>
    </row>
    <row r="1601" spans="13:14">
      <c r="M1601" s="3588"/>
      <c r="N1601" s="3566"/>
    </row>
    <row r="1602" spans="13:14">
      <c r="M1602" s="3588"/>
      <c r="N1602" s="3566"/>
    </row>
    <row r="1603" spans="13:14">
      <c r="M1603" s="3588"/>
      <c r="N1603" s="3566"/>
    </row>
    <row r="1604" spans="13:14">
      <c r="M1604" s="3588"/>
      <c r="N1604" s="3566"/>
    </row>
    <row r="1605" spans="13:14">
      <c r="M1605" s="3588"/>
      <c r="N1605" s="3566"/>
    </row>
    <row r="1606" spans="13:14">
      <c r="M1606" s="3588"/>
      <c r="N1606" s="3566"/>
    </row>
    <row r="1607" spans="13:14">
      <c r="M1607" s="3588"/>
      <c r="N1607" s="3566"/>
    </row>
    <row r="1608" spans="13:14">
      <c r="M1608" s="3588"/>
      <c r="N1608" s="3566"/>
    </row>
    <row r="1609" spans="13:14">
      <c r="M1609" s="3588"/>
      <c r="N1609" s="3566"/>
    </row>
    <row r="1610" spans="13:14">
      <c r="M1610" s="3588"/>
      <c r="N1610" s="3566"/>
    </row>
    <row r="1611" spans="13:14">
      <c r="M1611" s="3588"/>
      <c r="N1611" s="3566"/>
    </row>
    <row r="1612" spans="13:14">
      <c r="M1612" s="3588"/>
      <c r="N1612" s="3566"/>
    </row>
    <row r="1613" spans="13:14">
      <c r="M1613" s="3588"/>
      <c r="N1613" s="3566"/>
    </row>
    <row r="1614" spans="13:14">
      <c r="M1614" s="3588"/>
      <c r="N1614" s="3566"/>
    </row>
    <row r="1615" spans="13:14">
      <c r="M1615" s="3588"/>
      <c r="N1615" s="3566"/>
    </row>
    <row r="1616" spans="13:14">
      <c r="M1616" s="3588"/>
      <c r="N1616" s="3566"/>
    </row>
    <row r="1617" spans="13:14">
      <c r="M1617" s="3588"/>
      <c r="N1617" s="3566"/>
    </row>
    <row r="1618" spans="13:14">
      <c r="M1618" s="3588"/>
      <c r="N1618" s="3566"/>
    </row>
    <row r="1619" spans="13:14">
      <c r="M1619" s="3588"/>
      <c r="N1619" s="3566"/>
    </row>
    <row r="1620" spans="13:14">
      <c r="M1620" s="3588"/>
      <c r="N1620" s="3566"/>
    </row>
    <row r="1621" spans="13:14">
      <c r="M1621" s="3588"/>
      <c r="N1621" s="3566"/>
    </row>
    <row r="1622" spans="13:14">
      <c r="M1622" s="3588"/>
      <c r="N1622" s="3566"/>
    </row>
    <row r="1623" spans="13:14">
      <c r="M1623" s="3588"/>
      <c r="N1623" s="3566"/>
    </row>
    <row r="1624" spans="13:14">
      <c r="M1624" s="3588"/>
      <c r="N1624" s="3566"/>
    </row>
    <row r="1625" spans="13:14">
      <c r="M1625" s="3588"/>
      <c r="N1625" s="3566"/>
    </row>
    <row r="1626" spans="13:14">
      <c r="M1626" s="3588"/>
      <c r="N1626" s="3566"/>
    </row>
    <row r="1627" spans="13:14">
      <c r="M1627" s="3588"/>
      <c r="N1627" s="3566"/>
    </row>
    <row r="1628" spans="13:14">
      <c r="M1628" s="3588"/>
      <c r="N1628" s="3566"/>
    </row>
    <row r="1629" spans="13:14">
      <c r="M1629" s="3588"/>
      <c r="N1629" s="3566"/>
    </row>
    <row r="1630" spans="13:14">
      <c r="M1630" s="3588"/>
      <c r="N1630" s="3566"/>
    </row>
    <row r="1631" spans="13:14">
      <c r="M1631" s="3588"/>
      <c r="N1631" s="3566"/>
    </row>
    <row r="1632" spans="13:14">
      <c r="M1632" s="3588"/>
      <c r="N1632" s="3566"/>
    </row>
    <row r="1633" spans="13:14">
      <c r="M1633" s="3588"/>
      <c r="N1633" s="3566"/>
    </row>
    <row r="1634" spans="13:14">
      <c r="M1634" s="3588"/>
      <c r="N1634" s="3566"/>
    </row>
    <row r="1635" spans="13:14">
      <c r="M1635" s="3588"/>
      <c r="N1635" s="3566"/>
    </row>
    <row r="1636" spans="13:14">
      <c r="M1636" s="3588"/>
      <c r="N1636" s="3566"/>
    </row>
    <row r="1637" spans="13:14">
      <c r="M1637" s="3588"/>
      <c r="N1637" s="3566"/>
    </row>
    <row r="1638" spans="13:14">
      <c r="M1638" s="3588"/>
      <c r="N1638" s="3566"/>
    </row>
    <row r="1639" spans="13:14">
      <c r="M1639" s="3588"/>
      <c r="N1639" s="3566"/>
    </row>
    <row r="1640" spans="13:14">
      <c r="M1640" s="3588"/>
      <c r="N1640" s="3566"/>
    </row>
    <row r="1641" spans="13:14">
      <c r="M1641" s="3588"/>
      <c r="N1641" s="3566"/>
    </row>
    <row r="1642" spans="13:14">
      <c r="M1642" s="3588"/>
      <c r="N1642" s="3566"/>
    </row>
    <row r="1643" spans="13:14">
      <c r="M1643" s="3588"/>
      <c r="N1643" s="3566"/>
    </row>
    <row r="1644" spans="13:14">
      <c r="M1644" s="3588"/>
      <c r="N1644" s="3566"/>
    </row>
    <row r="1645" spans="13:14">
      <c r="M1645" s="3588"/>
      <c r="N1645" s="3566"/>
    </row>
    <row r="1646" spans="13:14">
      <c r="M1646" s="3588"/>
      <c r="N1646" s="3566"/>
    </row>
    <row r="1647" spans="13:14">
      <c r="M1647" s="3588"/>
      <c r="N1647" s="3566"/>
    </row>
    <row r="1648" spans="13:14">
      <c r="M1648" s="3588"/>
      <c r="N1648" s="3566"/>
    </row>
    <row r="1649" spans="13:14">
      <c r="M1649" s="3588"/>
      <c r="N1649" s="3566"/>
    </row>
    <row r="1650" spans="13:14">
      <c r="M1650" s="3588"/>
      <c r="N1650" s="3566"/>
    </row>
    <row r="1651" spans="13:14">
      <c r="M1651" s="3588"/>
      <c r="N1651" s="3566"/>
    </row>
    <row r="1652" spans="13:14">
      <c r="M1652" s="3588"/>
      <c r="N1652" s="3566"/>
    </row>
    <row r="1653" spans="13:14">
      <c r="M1653" s="3588"/>
      <c r="N1653" s="3566"/>
    </row>
    <row r="1654" spans="13:14">
      <c r="M1654" s="3588"/>
      <c r="N1654" s="3566"/>
    </row>
    <row r="1655" spans="13:14">
      <c r="M1655" s="3588"/>
      <c r="N1655" s="3566"/>
    </row>
    <row r="1656" spans="13:14">
      <c r="M1656" s="3588"/>
      <c r="N1656" s="3566"/>
    </row>
    <row r="1657" spans="13:14">
      <c r="M1657" s="3588"/>
      <c r="N1657" s="3566"/>
    </row>
    <row r="1658" spans="13:14">
      <c r="M1658" s="3588"/>
      <c r="N1658" s="3566"/>
    </row>
    <row r="1659" spans="13:14">
      <c r="M1659" s="3588"/>
      <c r="N1659" s="3566"/>
    </row>
    <row r="1660" spans="13:14">
      <c r="M1660" s="3588"/>
      <c r="N1660" s="3566"/>
    </row>
    <row r="1661" spans="13:14">
      <c r="M1661" s="3588"/>
      <c r="N1661" s="3566"/>
    </row>
    <row r="1662" spans="13:14">
      <c r="M1662" s="3588"/>
      <c r="N1662" s="3566"/>
    </row>
    <row r="1663" spans="13:14">
      <c r="M1663" s="3588"/>
      <c r="N1663" s="3566"/>
    </row>
    <row r="1664" spans="13:14">
      <c r="M1664" s="3588"/>
      <c r="N1664" s="3566"/>
    </row>
    <row r="1665" spans="13:14">
      <c r="M1665" s="3588"/>
      <c r="N1665" s="3566"/>
    </row>
    <row r="1666" spans="13:14">
      <c r="M1666" s="3588"/>
      <c r="N1666" s="3566"/>
    </row>
    <row r="1667" spans="13:14">
      <c r="M1667" s="3588"/>
      <c r="N1667" s="3566"/>
    </row>
    <row r="1668" spans="13:14">
      <c r="M1668" s="3588"/>
      <c r="N1668" s="3566"/>
    </row>
    <row r="1669" spans="13:14">
      <c r="M1669" s="3588"/>
      <c r="N1669" s="3566"/>
    </row>
    <row r="1670" spans="13:14">
      <c r="M1670" s="3588"/>
      <c r="N1670" s="3566"/>
    </row>
    <row r="1671" spans="13:14">
      <c r="M1671" s="3588"/>
      <c r="N1671" s="3566"/>
    </row>
    <row r="1672" spans="13:14">
      <c r="M1672" s="3588"/>
      <c r="N1672" s="3566"/>
    </row>
    <row r="1673" spans="13:14">
      <c r="M1673" s="3588"/>
      <c r="N1673" s="3566"/>
    </row>
    <row r="1674" spans="13:14">
      <c r="M1674" s="3588"/>
      <c r="N1674" s="3566"/>
    </row>
    <row r="1675" spans="13:14">
      <c r="M1675" s="3588"/>
      <c r="N1675" s="3566"/>
    </row>
    <row r="1676" spans="13:14">
      <c r="M1676" s="3588"/>
      <c r="N1676" s="3566"/>
    </row>
    <row r="1677" spans="13:14">
      <c r="M1677" s="3588"/>
      <c r="N1677" s="3566"/>
    </row>
    <row r="1678" spans="13:14">
      <c r="M1678" s="3588"/>
      <c r="N1678" s="3566"/>
    </row>
    <row r="1679" spans="13:14">
      <c r="M1679" s="3588"/>
      <c r="N1679" s="3566"/>
    </row>
    <row r="1680" spans="13:14">
      <c r="M1680" s="3588"/>
      <c r="N1680" s="3566"/>
    </row>
    <row r="1681" spans="13:14">
      <c r="M1681" s="3588"/>
      <c r="N1681" s="3566"/>
    </row>
    <row r="1682" spans="13:14">
      <c r="M1682" s="3588"/>
      <c r="N1682" s="3566"/>
    </row>
    <row r="1683" spans="13:14">
      <c r="M1683" s="3588"/>
      <c r="N1683" s="3566"/>
    </row>
    <row r="1684" spans="13:14">
      <c r="M1684" s="3588"/>
      <c r="N1684" s="3566"/>
    </row>
    <row r="1685" spans="13:14">
      <c r="M1685" s="3588"/>
      <c r="N1685" s="3566"/>
    </row>
    <row r="1686" spans="13:14">
      <c r="M1686" s="3588"/>
      <c r="N1686" s="3566"/>
    </row>
    <row r="1687" spans="13:14">
      <c r="M1687" s="3588"/>
      <c r="N1687" s="3566"/>
    </row>
    <row r="1688" spans="13:14">
      <c r="M1688" s="3588"/>
      <c r="N1688" s="3566"/>
    </row>
    <row r="1689" spans="13:14">
      <c r="M1689" s="3588"/>
      <c r="N1689" s="3566"/>
    </row>
    <row r="1690" spans="13:14">
      <c r="M1690" s="3588"/>
      <c r="N1690" s="3566"/>
    </row>
    <row r="1691" spans="13:14">
      <c r="M1691" s="3588"/>
      <c r="N1691" s="3566"/>
    </row>
    <row r="1692" spans="13:14">
      <c r="M1692" s="3588"/>
      <c r="N1692" s="3566"/>
    </row>
    <row r="1693" spans="13:14">
      <c r="M1693" s="3588"/>
      <c r="N1693" s="3566"/>
    </row>
    <row r="1694" spans="13:14">
      <c r="M1694" s="3588"/>
      <c r="N1694" s="3566"/>
    </row>
    <row r="1695" spans="13:14">
      <c r="M1695" s="3588"/>
      <c r="N1695" s="3566"/>
    </row>
    <row r="1696" spans="13:14">
      <c r="M1696" s="3588"/>
      <c r="N1696" s="3566"/>
    </row>
    <row r="1697" spans="13:14">
      <c r="M1697" s="3588"/>
      <c r="N1697" s="3566"/>
    </row>
    <row r="1698" spans="13:14">
      <c r="M1698" s="3588"/>
      <c r="N1698" s="3566"/>
    </row>
    <row r="1699" spans="13:14">
      <c r="M1699" s="3588"/>
      <c r="N1699" s="3566"/>
    </row>
    <row r="1700" spans="13:14">
      <c r="M1700" s="3588"/>
      <c r="N1700" s="3566"/>
    </row>
    <row r="1701" spans="13:14">
      <c r="M1701" s="3588"/>
      <c r="N1701" s="3566"/>
    </row>
    <row r="1702" spans="13:14">
      <c r="M1702" s="3588"/>
      <c r="N1702" s="3566"/>
    </row>
    <row r="1703" spans="13:14">
      <c r="M1703" s="3588"/>
      <c r="N1703" s="3566"/>
    </row>
    <row r="1704" spans="13:14">
      <c r="M1704" s="3588"/>
      <c r="N1704" s="3566"/>
    </row>
    <row r="1705" spans="13:14">
      <c r="M1705" s="3588"/>
      <c r="N1705" s="3566"/>
    </row>
    <row r="1706" spans="13:14">
      <c r="M1706" s="3588"/>
      <c r="N1706" s="3566"/>
    </row>
    <row r="1707" spans="13:14">
      <c r="M1707" s="3588"/>
      <c r="N1707" s="3566"/>
    </row>
    <row r="1708" spans="13:14">
      <c r="M1708" s="3588"/>
      <c r="N1708" s="3566"/>
    </row>
    <row r="1709" spans="13:14">
      <c r="M1709" s="3588"/>
      <c r="N1709" s="3566"/>
    </row>
    <row r="1710" spans="13:14">
      <c r="M1710" s="3588"/>
      <c r="N1710" s="3566"/>
    </row>
    <row r="1711" spans="13:14">
      <c r="M1711" s="3588"/>
      <c r="N1711" s="3566"/>
    </row>
    <row r="1712" spans="13:14">
      <c r="M1712" s="3588"/>
      <c r="N1712" s="3566"/>
    </row>
    <row r="1713" spans="13:14">
      <c r="M1713" s="3588"/>
      <c r="N1713" s="3566"/>
    </row>
    <row r="1714" spans="13:14">
      <c r="M1714" s="3588"/>
      <c r="N1714" s="3566"/>
    </row>
    <row r="1715" spans="13:14">
      <c r="M1715" s="3588"/>
      <c r="N1715" s="3566"/>
    </row>
    <row r="1716" spans="13:14">
      <c r="M1716" s="3588"/>
      <c r="N1716" s="3566"/>
    </row>
    <row r="1717" spans="13:14">
      <c r="M1717" s="3588"/>
      <c r="N1717" s="3566"/>
    </row>
    <row r="1718" spans="13:14">
      <c r="M1718" s="3588"/>
      <c r="N1718" s="3566"/>
    </row>
    <row r="1719" spans="13:14">
      <c r="M1719" s="3588"/>
      <c r="N1719" s="3566"/>
    </row>
    <row r="1720" spans="13:14">
      <c r="M1720" s="3588"/>
      <c r="N1720" s="3566"/>
    </row>
    <row r="1721" spans="13:14">
      <c r="M1721" s="3588"/>
      <c r="N1721" s="3566"/>
    </row>
    <row r="1722" spans="13:14">
      <c r="M1722" s="3588"/>
      <c r="N1722" s="3566"/>
    </row>
    <row r="1723" spans="13:14">
      <c r="M1723" s="3588"/>
      <c r="N1723" s="3566"/>
    </row>
    <row r="1724" spans="13:14">
      <c r="M1724" s="3588"/>
      <c r="N1724" s="3566"/>
    </row>
    <row r="1725" spans="13:14">
      <c r="M1725" s="3588"/>
      <c r="N1725" s="3566"/>
    </row>
    <row r="1726" spans="13:14">
      <c r="M1726" s="3588"/>
      <c r="N1726" s="3566"/>
    </row>
    <row r="1727" spans="13:14">
      <c r="M1727" s="3588"/>
      <c r="N1727" s="3566"/>
    </row>
    <row r="1728" spans="13:14">
      <c r="M1728" s="3588"/>
      <c r="N1728" s="3566"/>
    </row>
    <row r="1729" spans="13:14">
      <c r="M1729" s="3588"/>
      <c r="N1729" s="3566"/>
    </row>
    <row r="1730" spans="13:14">
      <c r="M1730" s="3588"/>
      <c r="N1730" s="3566"/>
    </row>
    <row r="1731" spans="13:14">
      <c r="M1731" s="3588"/>
      <c r="N1731" s="3566"/>
    </row>
    <row r="1732" spans="13:14">
      <c r="M1732" s="3588"/>
      <c r="N1732" s="3566"/>
    </row>
    <row r="1733" spans="13:14">
      <c r="M1733" s="3588"/>
      <c r="N1733" s="3566"/>
    </row>
    <row r="1734" spans="13:14">
      <c r="M1734" s="3588"/>
      <c r="N1734" s="3566"/>
    </row>
    <row r="1735" spans="13:14">
      <c r="M1735" s="3588"/>
      <c r="N1735" s="3566"/>
    </row>
    <row r="1736" spans="13:14">
      <c r="M1736" s="3588"/>
      <c r="N1736" s="3566"/>
    </row>
    <row r="1737" spans="13:14">
      <c r="M1737" s="3588"/>
      <c r="N1737" s="3566"/>
    </row>
    <row r="1738" spans="13:14">
      <c r="M1738" s="3588"/>
      <c r="N1738" s="3566"/>
    </row>
    <row r="1739" spans="13:14">
      <c r="M1739" s="3588"/>
      <c r="N1739" s="3566"/>
    </row>
    <row r="1740" spans="13:14">
      <c r="M1740" s="3588"/>
      <c r="N1740" s="3566"/>
    </row>
    <row r="1741" spans="13:14">
      <c r="M1741" s="3588"/>
      <c r="N1741" s="3566"/>
    </row>
    <row r="1742" spans="13:14">
      <c r="M1742" s="3588"/>
      <c r="N1742" s="3566"/>
    </row>
    <row r="1743" spans="13:14">
      <c r="M1743" s="3588"/>
      <c r="N1743" s="3566"/>
    </row>
    <row r="1744" spans="13:14">
      <c r="M1744" s="3588"/>
      <c r="N1744" s="3566"/>
    </row>
    <row r="1745" spans="13:14">
      <c r="M1745" s="3588"/>
      <c r="N1745" s="3566"/>
    </row>
    <row r="1746" spans="13:14">
      <c r="M1746" s="3588"/>
      <c r="N1746" s="3566"/>
    </row>
    <row r="1747" spans="13:14">
      <c r="M1747" s="3588"/>
      <c r="N1747" s="3566"/>
    </row>
    <row r="1748" spans="13:14">
      <c r="M1748" s="3588"/>
      <c r="N1748" s="3566"/>
    </row>
    <row r="1749" spans="13:14">
      <c r="M1749" s="3588"/>
      <c r="N1749" s="3566"/>
    </row>
    <row r="1750" spans="13:14">
      <c r="M1750" s="3588"/>
      <c r="N1750" s="3566"/>
    </row>
    <row r="1751" spans="13:14">
      <c r="M1751" s="3588"/>
      <c r="N1751" s="3566"/>
    </row>
    <row r="1752" spans="13:14">
      <c r="M1752" s="3588"/>
      <c r="N1752" s="3566"/>
    </row>
    <row r="1753" spans="13:14">
      <c r="M1753" s="3588"/>
      <c r="N1753" s="3566"/>
    </row>
    <row r="1754" spans="13:14">
      <c r="M1754" s="3588"/>
      <c r="N1754" s="3566"/>
    </row>
    <row r="1755" spans="13:14">
      <c r="M1755" s="3588"/>
      <c r="N1755" s="3566"/>
    </row>
    <row r="1756" spans="13:14">
      <c r="M1756" s="3588"/>
      <c r="N1756" s="3566"/>
    </row>
    <row r="1757" spans="13:14">
      <c r="M1757" s="3588"/>
      <c r="N1757" s="3566"/>
    </row>
    <row r="1758" spans="13:14">
      <c r="M1758" s="3588"/>
      <c r="N1758" s="3566"/>
    </row>
    <row r="1759" spans="13:14">
      <c r="M1759" s="3588"/>
      <c r="N1759" s="3566"/>
    </row>
    <row r="1760" spans="13:14">
      <c r="M1760" s="3588"/>
      <c r="N1760" s="3566"/>
    </row>
    <row r="1761" spans="13:14">
      <c r="M1761" s="3588"/>
      <c r="N1761" s="3566"/>
    </row>
    <row r="1762" spans="13:14">
      <c r="M1762" s="3588"/>
      <c r="N1762" s="3566"/>
    </row>
    <row r="1763" spans="13:14">
      <c r="M1763" s="3588"/>
      <c r="N1763" s="3566"/>
    </row>
    <row r="1764" spans="13:14">
      <c r="M1764" s="3588"/>
      <c r="N1764" s="3566"/>
    </row>
    <row r="1765" spans="13:14">
      <c r="M1765" s="3588"/>
      <c r="N1765" s="3566"/>
    </row>
    <row r="1766" spans="13:14">
      <c r="M1766" s="3588"/>
      <c r="N1766" s="3566"/>
    </row>
    <row r="1767" spans="13:14">
      <c r="M1767" s="3588"/>
      <c r="N1767" s="3566"/>
    </row>
    <row r="1768" spans="13:14">
      <c r="M1768" s="3588"/>
      <c r="N1768" s="3566"/>
    </row>
    <row r="1769" spans="13:14">
      <c r="M1769" s="3588"/>
      <c r="N1769" s="3566"/>
    </row>
    <row r="1770" spans="13:14">
      <c r="M1770" s="3588"/>
      <c r="N1770" s="3566"/>
    </row>
    <row r="1771" spans="13:14">
      <c r="M1771" s="3588"/>
      <c r="N1771" s="3566"/>
    </row>
    <row r="1772" spans="13:14">
      <c r="M1772" s="3588"/>
      <c r="N1772" s="3566"/>
    </row>
    <row r="1773" spans="13:14">
      <c r="M1773" s="3588"/>
      <c r="N1773" s="3566"/>
    </row>
    <row r="1774" spans="13:14">
      <c r="M1774" s="3588"/>
      <c r="N1774" s="3566"/>
    </row>
    <row r="1775" spans="13:14">
      <c r="M1775" s="3588"/>
      <c r="N1775" s="3566"/>
    </row>
    <row r="1776" spans="13:14">
      <c r="M1776" s="3588"/>
      <c r="N1776" s="3566"/>
    </row>
    <row r="1777" spans="13:14">
      <c r="M1777" s="3588"/>
      <c r="N1777" s="3566"/>
    </row>
    <row r="1778" spans="13:14">
      <c r="M1778" s="3588"/>
      <c r="N1778" s="3566"/>
    </row>
    <row r="1779" spans="13:14">
      <c r="M1779" s="3588"/>
      <c r="N1779" s="3566"/>
    </row>
    <row r="1780" spans="13:14">
      <c r="M1780" s="3588"/>
      <c r="N1780" s="3566"/>
    </row>
    <row r="1781" spans="13:14">
      <c r="M1781" s="3588"/>
      <c r="N1781" s="3566"/>
    </row>
    <row r="1782" spans="13:14">
      <c r="M1782" s="3588"/>
      <c r="N1782" s="3566"/>
    </row>
    <row r="1783" spans="13:14">
      <c r="M1783" s="3588"/>
      <c r="N1783" s="3566"/>
    </row>
    <row r="1784" spans="13:14">
      <c r="M1784" s="3588"/>
      <c r="N1784" s="3566"/>
    </row>
    <row r="1785" spans="13:14">
      <c r="M1785" s="3588"/>
      <c r="N1785" s="3566"/>
    </row>
    <row r="1786" spans="13:14">
      <c r="M1786" s="3588"/>
      <c r="N1786" s="3566"/>
    </row>
    <row r="1787" spans="13:14">
      <c r="M1787" s="3588"/>
      <c r="N1787" s="3566"/>
    </row>
    <row r="1788" spans="13:14">
      <c r="M1788" s="3588"/>
      <c r="N1788" s="3566"/>
    </row>
    <row r="1789" spans="13:14">
      <c r="M1789" s="3588"/>
      <c r="N1789" s="3566"/>
    </row>
    <row r="1790" spans="13:14">
      <c r="M1790" s="3588"/>
      <c r="N1790" s="3566"/>
    </row>
    <row r="1791" spans="13:14">
      <c r="M1791" s="3588"/>
      <c r="N1791" s="3566"/>
    </row>
    <row r="1792" spans="13:14">
      <c r="M1792" s="3588"/>
      <c r="N1792" s="3566"/>
    </row>
    <row r="1793" spans="13:14">
      <c r="M1793" s="3588"/>
      <c r="N1793" s="3566"/>
    </row>
    <row r="1794" spans="13:14">
      <c r="M1794" s="3588"/>
      <c r="N1794" s="3566"/>
    </row>
    <row r="1795" spans="13:14">
      <c r="M1795" s="3588"/>
      <c r="N1795" s="3566"/>
    </row>
    <row r="1796" spans="13:14">
      <c r="M1796" s="3588"/>
      <c r="N1796" s="3566"/>
    </row>
    <row r="1797" spans="13:14">
      <c r="M1797" s="3588"/>
      <c r="N1797" s="3566"/>
    </row>
    <row r="1798" spans="13:14">
      <c r="M1798" s="3588"/>
      <c r="N1798" s="3566"/>
    </row>
    <row r="1799" spans="13:14">
      <c r="M1799" s="3588"/>
      <c r="N1799" s="3566"/>
    </row>
    <row r="1800" spans="13:14">
      <c r="M1800" s="3588"/>
      <c r="N1800" s="3566"/>
    </row>
    <row r="1801" spans="13:14">
      <c r="M1801" s="3588"/>
      <c r="N1801" s="3566"/>
    </row>
    <row r="1802" spans="13:14">
      <c r="M1802" s="3588"/>
      <c r="N1802" s="3566"/>
    </row>
    <row r="1803" spans="13:14">
      <c r="M1803" s="3588"/>
      <c r="N1803" s="3566"/>
    </row>
    <row r="1804" spans="13:14">
      <c r="M1804" s="3588"/>
      <c r="N1804" s="3566"/>
    </row>
    <row r="1805" spans="13:14">
      <c r="M1805" s="3588"/>
      <c r="N1805" s="3566"/>
    </row>
    <row r="1806" spans="13:14">
      <c r="M1806" s="3588"/>
      <c r="N1806" s="3566"/>
    </row>
    <row r="1807" spans="13:14">
      <c r="M1807" s="3588"/>
      <c r="N1807" s="3566"/>
    </row>
    <row r="1808" spans="13:14">
      <c r="M1808" s="3588"/>
      <c r="N1808" s="3566"/>
    </row>
    <row r="1809" spans="13:14">
      <c r="M1809" s="3588"/>
      <c r="N1809" s="3566"/>
    </row>
    <row r="1810" spans="13:14">
      <c r="M1810" s="3588"/>
      <c r="N1810" s="3566"/>
    </row>
    <row r="1811" spans="13:14">
      <c r="M1811" s="3588"/>
      <c r="N1811" s="3566"/>
    </row>
    <row r="1812" spans="13:14">
      <c r="M1812" s="3588"/>
      <c r="N1812" s="3566"/>
    </row>
    <row r="1813" spans="13:14">
      <c r="M1813" s="3588"/>
      <c r="N1813" s="3566"/>
    </row>
    <row r="1814" spans="13:14">
      <c r="M1814" s="3588"/>
      <c r="N1814" s="3566"/>
    </row>
    <row r="1815" spans="13:14">
      <c r="M1815" s="3588"/>
      <c r="N1815" s="3566"/>
    </row>
    <row r="1816" spans="13:14">
      <c r="M1816" s="3588"/>
      <c r="N1816" s="3566"/>
    </row>
    <row r="1817" spans="13:14">
      <c r="M1817" s="3588"/>
      <c r="N1817" s="3566"/>
    </row>
    <row r="1818" spans="13:14">
      <c r="M1818" s="3588"/>
      <c r="N1818" s="3566"/>
    </row>
    <row r="1819" spans="13:14">
      <c r="M1819" s="3588"/>
      <c r="N1819" s="3566"/>
    </row>
    <row r="1820" spans="13:14">
      <c r="M1820" s="3588"/>
      <c r="N1820" s="3566"/>
    </row>
    <row r="1821" spans="13:14">
      <c r="M1821" s="3588"/>
      <c r="N1821" s="3566"/>
    </row>
    <row r="1822" spans="13:14">
      <c r="M1822" s="3588"/>
      <c r="N1822" s="3566"/>
    </row>
    <row r="1823" spans="13:14">
      <c r="M1823" s="3588"/>
      <c r="N1823" s="3566"/>
    </row>
    <row r="1824" spans="13:14">
      <c r="M1824" s="3588"/>
      <c r="N1824" s="3566"/>
    </row>
    <row r="1825" spans="13:14">
      <c r="M1825" s="3588"/>
      <c r="N1825" s="3566"/>
    </row>
    <row r="1826" spans="13:14">
      <c r="M1826" s="3588"/>
      <c r="N1826" s="3566"/>
    </row>
    <row r="1827" spans="13:14">
      <c r="M1827" s="3588"/>
      <c r="N1827" s="3566"/>
    </row>
    <row r="1828" spans="13:14">
      <c r="M1828" s="3588"/>
      <c r="N1828" s="3566"/>
    </row>
    <row r="1829" spans="13:14">
      <c r="M1829" s="3588"/>
      <c r="N1829" s="3566"/>
    </row>
    <row r="1830" spans="13:14">
      <c r="M1830" s="3588"/>
      <c r="N1830" s="3566"/>
    </row>
    <row r="1831" spans="13:14">
      <c r="M1831" s="3588"/>
      <c r="N1831" s="3566"/>
    </row>
    <row r="1832" spans="13:14">
      <c r="M1832" s="3588"/>
      <c r="N1832" s="3566"/>
    </row>
    <row r="1833" spans="13:14">
      <c r="M1833" s="3588"/>
      <c r="N1833" s="3566"/>
    </row>
    <row r="1834" spans="13:14">
      <c r="M1834" s="3588"/>
      <c r="N1834" s="3566"/>
    </row>
    <row r="1835" spans="13:14">
      <c r="M1835" s="3588"/>
      <c r="N1835" s="3566"/>
    </row>
    <row r="1836" spans="13:14">
      <c r="M1836" s="3588"/>
      <c r="N1836" s="3566"/>
    </row>
    <row r="1837" spans="13:14">
      <c r="M1837" s="3588"/>
      <c r="N1837" s="3566"/>
    </row>
    <row r="1838" spans="13:14">
      <c r="M1838" s="3588"/>
      <c r="N1838" s="3566"/>
    </row>
    <row r="1839" spans="13:14">
      <c r="M1839" s="3588"/>
      <c r="N1839" s="3566"/>
    </row>
    <row r="1840" spans="13:14">
      <c r="M1840" s="3588"/>
      <c r="N1840" s="3566"/>
    </row>
    <row r="1841" spans="13:14">
      <c r="M1841" s="3588"/>
      <c r="N1841" s="3566"/>
    </row>
    <row r="1842" spans="13:14">
      <c r="M1842" s="3588"/>
      <c r="N1842" s="3566"/>
    </row>
    <row r="1843" spans="13:14">
      <c r="M1843" s="3588"/>
      <c r="N1843" s="3566"/>
    </row>
    <row r="1844" spans="13:14">
      <c r="M1844" s="3588"/>
      <c r="N1844" s="3566"/>
    </row>
    <row r="1845" spans="13:14">
      <c r="M1845" s="3588"/>
      <c r="N1845" s="3566"/>
    </row>
    <row r="1846" spans="13:14">
      <c r="M1846" s="3588"/>
      <c r="N1846" s="3566"/>
    </row>
    <row r="1847" spans="13:14">
      <c r="M1847" s="3588"/>
      <c r="N1847" s="3566"/>
    </row>
    <row r="1848" spans="13:14">
      <c r="M1848" s="3588"/>
      <c r="N1848" s="3566"/>
    </row>
    <row r="1849" spans="13:14">
      <c r="M1849" s="3588"/>
      <c r="N1849" s="3566"/>
    </row>
    <row r="1850" spans="13:14">
      <c r="M1850" s="3588"/>
      <c r="N1850" s="3566"/>
    </row>
    <row r="1851" spans="13:14">
      <c r="M1851" s="3588"/>
      <c r="N1851" s="3566"/>
    </row>
    <row r="1852" spans="13:14">
      <c r="M1852" s="3588"/>
      <c r="N1852" s="3566"/>
    </row>
    <row r="1853" spans="13:14">
      <c r="M1853" s="3588"/>
      <c r="N1853" s="3566"/>
    </row>
    <row r="1854" spans="13:14">
      <c r="M1854" s="3588"/>
      <c r="N1854" s="3566"/>
    </row>
    <row r="1855" spans="13:14">
      <c r="M1855" s="3588"/>
      <c r="N1855" s="3566"/>
    </row>
    <row r="1856" spans="13:14">
      <c r="M1856" s="3588"/>
      <c r="N1856" s="3566"/>
    </row>
    <row r="1857" spans="13:14">
      <c r="M1857" s="3588"/>
      <c r="N1857" s="3566"/>
    </row>
    <row r="1858" spans="13:14">
      <c r="M1858" s="3588"/>
      <c r="N1858" s="3566"/>
    </row>
    <row r="1859" spans="13:14">
      <c r="M1859" s="3588"/>
      <c r="N1859" s="3566"/>
    </row>
    <row r="1860" spans="13:14">
      <c r="M1860" s="3588"/>
      <c r="N1860" s="3566"/>
    </row>
    <row r="1861" spans="13:14">
      <c r="M1861" s="3588"/>
      <c r="N1861" s="3566"/>
    </row>
    <row r="1862" spans="13:14">
      <c r="M1862" s="3588"/>
      <c r="N1862" s="3566"/>
    </row>
    <row r="1863" spans="13:14">
      <c r="M1863" s="3588"/>
      <c r="N1863" s="3566"/>
    </row>
    <row r="1864" spans="13:14">
      <c r="M1864" s="3588"/>
      <c r="N1864" s="3566"/>
    </row>
    <row r="1865" spans="13:14">
      <c r="M1865" s="3588"/>
      <c r="N1865" s="3566"/>
    </row>
    <row r="1866" spans="13:14">
      <c r="M1866" s="3588"/>
      <c r="N1866" s="3566"/>
    </row>
    <row r="1867" spans="13:14">
      <c r="M1867" s="3588"/>
      <c r="N1867" s="3566"/>
    </row>
    <row r="1868" spans="13:14">
      <c r="M1868" s="3588"/>
      <c r="N1868" s="3566"/>
    </row>
    <row r="1869" spans="13:14">
      <c r="M1869" s="3588"/>
      <c r="N1869" s="3566"/>
    </row>
    <row r="1870" spans="13:14">
      <c r="M1870" s="3588"/>
      <c r="N1870" s="3566"/>
    </row>
    <row r="1871" spans="13:14">
      <c r="M1871" s="3588"/>
      <c r="N1871" s="3566"/>
    </row>
    <row r="1872" spans="13:14">
      <c r="M1872" s="3588"/>
      <c r="N1872" s="3566"/>
    </row>
    <row r="1873" spans="13:14">
      <c r="M1873" s="3588"/>
      <c r="N1873" s="3566"/>
    </row>
    <row r="1874" spans="13:14">
      <c r="M1874" s="3588"/>
      <c r="N1874" s="3566"/>
    </row>
    <row r="1875" spans="13:14">
      <c r="M1875" s="3588"/>
      <c r="N1875" s="3566"/>
    </row>
    <row r="1876" spans="13:14">
      <c r="M1876" s="3588"/>
      <c r="N1876" s="3566"/>
    </row>
    <row r="1877" spans="13:14">
      <c r="M1877" s="3588"/>
      <c r="N1877" s="3566"/>
    </row>
    <row r="1878" spans="13:14">
      <c r="M1878" s="3588"/>
      <c r="N1878" s="3566"/>
    </row>
    <row r="1879" spans="13:14">
      <c r="M1879" s="3588"/>
      <c r="N1879" s="3566"/>
    </row>
    <row r="1880" spans="13:14">
      <c r="M1880" s="3588"/>
      <c r="N1880" s="3566"/>
    </row>
    <row r="1881" spans="13:14">
      <c r="M1881" s="3588"/>
      <c r="N1881" s="3566"/>
    </row>
    <row r="1882" spans="13:14">
      <c r="M1882" s="3588"/>
      <c r="N1882" s="3566"/>
    </row>
    <row r="1883" spans="13:14">
      <c r="M1883" s="3588"/>
      <c r="N1883" s="3566"/>
    </row>
    <row r="1884" spans="13:14">
      <c r="M1884" s="3588"/>
      <c r="N1884" s="3566"/>
    </row>
    <row r="1885" spans="13:14">
      <c r="M1885" s="3588"/>
      <c r="N1885" s="3566"/>
    </row>
    <row r="1886" spans="13:14">
      <c r="M1886" s="3588"/>
      <c r="N1886" s="3566"/>
    </row>
    <row r="1887" spans="13:14">
      <c r="M1887" s="3588"/>
      <c r="N1887" s="3566"/>
    </row>
    <row r="1888" spans="13:14">
      <c r="M1888" s="3588"/>
      <c r="N1888" s="3566"/>
    </row>
    <row r="1889" spans="13:14">
      <c r="M1889" s="3588"/>
      <c r="N1889" s="3566"/>
    </row>
    <row r="1890" spans="13:14">
      <c r="M1890" s="3588"/>
      <c r="N1890" s="3566"/>
    </row>
    <row r="1891" spans="13:14">
      <c r="M1891" s="3588"/>
      <c r="N1891" s="3566"/>
    </row>
    <row r="1892" spans="13:14">
      <c r="M1892" s="3588"/>
      <c r="N1892" s="3566"/>
    </row>
    <row r="1893" spans="13:14">
      <c r="M1893" s="3588"/>
      <c r="N1893" s="3566"/>
    </row>
    <row r="1894" spans="13:14">
      <c r="M1894" s="3588"/>
      <c r="N1894" s="3566"/>
    </row>
    <row r="1895" spans="13:14">
      <c r="M1895" s="3588"/>
      <c r="N1895" s="3566"/>
    </row>
    <row r="1896" spans="13:14">
      <c r="M1896" s="3588"/>
      <c r="N1896" s="3566"/>
    </row>
    <row r="1897" spans="13:14">
      <c r="M1897" s="3588"/>
      <c r="N1897" s="3566"/>
    </row>
    <row r="1898" spans="13:14">
      <c r="M1898" s="3588"/>
      <c r="N1898" s="3566"/>
    </row>
    <row r="1899" spans="13:14">
      <c r="M1899" s="3588"/>
      <c r="N1899" s="3566"/>
    </row>
    <row r="1900" spans="13:14">
      <c r="M1900" s="3588"/>
      <c r="N1900" s="3566"/>
    </row>
    <row r="1901" spans="13:14">
      <c r="M1901" s="3588"/>
      <c r="N1901" s="3566"/>
    </row>
    <row r="1902" spans="13:14">
      <c r="M1902" s="3588"/>
      <c r="N1902" s="3566"/>
    </row>
    <row r="1903" spans="13:14">
      <c r="M1903" s="3588"/>
      <c r="N1903" s="3566"/>
    </row>
    <row r="1904" spans="13:14">
      <c r="M1904" s="3588"/>
      <c r="N1904" s="3566"/>
    </row>
    <row r="1905" spans="13:14">
      <c r="M1905" s="3588"/>
      <c r="N1905" s="3566"/>
    </row>
    <row r="1906" spans="13:14">
      <c r="M1906" s="3588"/>
      <c r="N1906" s="3566"/>
    </row>
    <row r="1907" spans="13:14">
      <c r="M1907" s="3588"/>
      <c r="N1907" s="3566"/>
    </row>
    <row r="1908" spans="13:14">
      <c r="M1908" s="3588"/>
      <c r="N1908" s="3566"/>
    </row>
    <row r="1909" spans="13:14">
      <c r="M1909" s="3588"/>
      <c r="N1909" s="3566"/>
    </row>
    <row r="1910" spans="13:14">
      <c r="M1910" s="3588"/>
      <c r="N1910" s="3566"/>
    </row>
    <row r="1911" spans="13:14">
      <c r="M1911" s="3588"/>
      <c r="N1911" s="3566"/>
    </row>
    <row r="1912" spans="13:14">
      <c r="M1912" s="3588"/>
      <c r="N1912" s="3566"/>
    </row>
    <row r="1913" spans="13:14">
      <c r="M1913" s="3588"/>
      <c r="N1913" s="3566"/>
    </row>
    <row r="1914" spans="13:14">
      <c r="M1914" s="3588"/>
      <c r="N1914" s="3566"/>
    </row>
    <row r="1915" spans="13:14">
      <c r="M1915" s="3588"/>
      <c r="N1915" s="3566"/>
    </row>
    <row r="1916" spans="13:14">
      <c r="M1916" s="3588"/>
      <c r="N1916" s="3566"/>
    </row>
    <row r="1917" spans="13:14">
      <c r="M1917" s="3588"/>
      <c r="N1917" s="3566"/>
    </row>
    <row r="1918" spans="13:14">
      <c r="M1918" s="3588"/>
      <c r="N1918" s="3566"/>
    </row>
    <row r="1919" spans="13:14">
      <c r="M1919" s="3588"/>
      <c r="N1919" s="3566"/>
    </row>
    <row r="1920" spans="13:14">
      <c r="M1920" s="3588"/>
      <c r="N1920" s="3566"/>
    </row>
    <row r="1921" spans="13:14">
      <c r="M1921" s="3588"/>
      <c r="N1921" s="3566"/>
    </row>
    <row r="1922" spans="13:14">
      <c r="M1922" s="3588"/>
      <c r="N1922" s="3566"/>
    </row>
    <row r="1923" spans="13:14">
      <c r="M1923" s="3588"/>
      <c r="N1923" s="3566"/>
    </row>
    <row r="1924" spans="13:14">
      <c r="M1924" s="3588"/>
      <c r="N1924" s="3566"/>
    </row>
    <row r="1925" spans="13:14">
      <c r="M1925" s="3588"/>
      <c r="N1925" s="3566"/>
    </row>
    <row r="1926" spans="13:14">
      <c r="M1926" s="3588"/>
      <c r="N1926" s="3566"/>
    </row>
    <row r="1927" spans="13:14">
      <c r="M1927" s="3588"/>
      <c r="N1927" s="3566"/>
    </row>
    <row r="1928" spans="13:14">
      <c r="M1928" s="3588"/>
      <c r="N1928" s="3566"/>
    </row>
    <row r="1929" spans="13:14">
      <c r="M1929" s="3588"/>
      <c r="N1929" s="3566"/>
    </row>
    <row r="1930" spans="13:14">
      <c r="M1930" s="3588"/>
      <c r="N1930" s="3566"/>
    </row>
    <row r="1931" spans="13:14">
      <c r="M1931" s="3588"/>
      <c r="N1931" s="3566"/>
    </row>
    <row r="1932" spans="13:14">
      <c r="M1932" s="3588"/>
      <c r="N1932" s="3566"/>
    </row>
    <row r="1933" spans="13:14">
      <c r="M1933" s="3588"/>
      <c r="N1933" s="3566"/>
    </row>
    <row r="1934" spans="13:14">
      <c r="M1934" s="3588"/>
      <c r="N1934" s="3566"/>
    </row>
    <row r="1935" spans="13:14">
      <c r="M1935" s="3588"/>
      <c r="N1935" s="3566"/>
    </row>
    <row r="1936" spans="13:14">
      <c r="M1936" s="3588"/>
      <c r="N1936" s="3566"/>
    </row>
    <row r="1937" spans="13:14">
      <c r="M1937" s="3588"/>
      <c r="N1937" s="3566"/>
    </row>
    <row r="1938" spans="13:14">
      <c r="M1938" s="3588"/>
      <c r="N1938" s="3566"/>
    </row>
    <row r="1939" spans="13:14">
      <c r="M1939" s="3588"/>
      <c r="N1939" s="3566"/>
    </row>
    <row r="1940" spans="13:14">
      <c r="M1940" s="3588"/>
      <c r="N1940" s="3566"/>
    </row>
    <row r="1941" spans="13:14">
      <c r="M1941" s="3588"/>
      <c r="N1941" s="3566"/>
    </row>
    <row r="1942" spans="13:14">
      <c r="M1942" s="3588"/>
      <c r="N1942" s="3566"/>
    </row>
    <row r="1943" spans="13:14">
      <c r="M1943" s="3588"/>
      <c r="N1943" s="3566"/>
    </row>
    <row r="1944" spans="13:14">
      <c r="M1944" s="3588"/>
      <c r="N1944" s="3566"/>
    </row>
    <row r="1945" spans="13:14">
      <c r="M1945" s="3588"/>
      <c r="N1945" s="3566"/>
    </row>
    <row r="1946" spans="13:14">
      <c r="M1946" s="3588"/>
      <c r="N1946" s="3566"/>
    </row>
    <row r="1947" spans="13:14">
      <c r="M1947" s="3588"/>
      <c r="N1947" s="3566"/>
    </row>
    <row r="1948" spans="13:14">
      <c r="M1948" s="3588"/>
      <c r="N1948" s="3566"/>
    </row>
    <row r="1949" spans="13:14">
      <c r="M1949" s="3588"/>
      <c r="N1949" s="3566"/>
    </row>
    <row r="1950" spans="13:14">
      <c r="M1950" s="3588"/>
      <c r="N1950" s="3566"/>
    </row>
    <row r="1951" spans="13:14">
      <c r="M1951" s="3588"/>
      <c r="N1951" s="3566"/>
    </row>
    <row r="1952" spans="13:14">
      <c r="M1952" s="3588"/>
      <c r="N1952" s="3566"/>
    </row>
    <row r="1953" spans="13:14">
      <c r="M1953" s="3588"/>
      <c r="N1953" s="3566"/>
    </row>
    <row r="1954" spans="13:14">
      <c r="M1954" s="3588"/>
      <c r="N1954" s="3566"/>
    </row>
    <row r="1955" spans="13:14">
      <c r="M1955" s="3588"/>
      <c r="N1955" s="3566"/>
    </row>
    <row r="1956" spans="13:14">
      <c r="M1956" s="3588"/>
      <c r="N1956" s="3566"/>
    </row>
    <row r="1957" spans="13:14">
      <c r="M1957" s="3588"/>
      <c r="N1957" s="3566"/>
    </row>
    <row r="1958" spans="13:14">
      <c r="M1958" s="3588"/>
      <c r="N1958" s="3566"/>
    </row>
    <row r="1959" spans="13:14">
      <c r="M1959" s="3588"/>
      <c r="N1959" s="3566"/>
    </row>
    <row r="1960" spans="13:14">
      <c r="M1960" s="3588"/>
      <c r="N1960" s="3566"/>
    </row>
    <row r="1961" spans="13:14">
      <c r="M1961" s="3588"/>
      <c r="N1961" s="3566"/>
    </row>
    <row r="1962" spans="13:14">
      <c r="M1962" s="3588"/>
      <c r="N1962" s="3566"/>
    </row>
    <row r="1963" spans="13:14">
      <c r="M1963" s="3588"/>
      <c r="N1963" s="3566"/>
    </row>
    <row r="1964" spans="13:14">
      <c r="M1964" s="3588"/>
      <c r="N1964" s="3566"/>
    </row>
    <row r="1965" spans="13:14">
      <c r="M1965" s="3588"/>
      <c r="N1965" s="3566"/>
    </row>
    <row r="1966" spans="13:14">
      <c r="M1966" s="3588"/>
      <c r="N1966" s="3566"/>
    </row>
    <row r="1967" spans="13:14">
      <c r="M1967" s="3588"/>
      <c r="N1967" s="3566"/>
    </row>
    <row r="1968" spans="13:14">
      <c r="M1968" s="3588"/>
      <c r="N1968" s="3566"/>
    </row>
    <row r="1969" spans="13:14">
      <c r="M1969" s="3588"/>
      <c r="N1969" s="3566"/>
    </row>
    <row r="1970" spans="13:14">
      <c r="M1970" s="3588"/>
      <c r="N1970" s="3566"/>
    </row>
    <row r="1971" spans="13:14">
      <c r="M1971" s="3588"/>
      <c r="N1971" s="3566"/>
    </row>
    <row r="1972" spans="13:14">
      <c r="M1972" s="3588"/>
      <c r="N1972" s="3566"/>
    </row>
    <row r="1973" spans="13:14">
      <c r="M1973" s="3588"/>
      <c r="N1973" s="3566"/>
    </row>
    <row r="1974" spans="13:14">
      <c r="M1974" s="3588"/>
      <c r="N1974" s="3566"/>
    </row>
    <row r="1975" spans="13:14">
      <c r="M1975" s="3588"/>
      <c r="N1975" s="3566"/>
    </row>
    <row r="1976" spans="13:14">
      <c r="M1976" s="3588"/>
      <c r="N1976" s="3566"/>
    </row>
    <row r="1977" spans="13:14">
      <c r="M1977" s="3588"/>
      <c r="N1977" s="3566"/>
    </row>
    <row r="1978" spans="13:14">
      <c r="M1978" s="3588"/>
      <c r="N1978" s="3566"/>
    </row>
    <row r="1979" spans="13:14">
      <c r="M1979" s="3588"/>
      <c r="N1979" s="3566"/>
    </row>
    <row r="1980" spans="13:14">
      <c r="M1980" s="3588"/>
      <c r="N1980" s="3566"/>
    </row>
    <row r="1981" spans="13:14">
      <c r="M1981" s="3588"/>
      <c r="N1981" s="3566"/>
    </row>
    <row r="1982" spans="13:14">
      <c r="M1982" s="3588"/>
      <c r="N1982" s="3566"/>
    </row>
    <row r="1983" spans="13:14">
      <c r="M1983" s="3588"/>
      <c r="N1983" s="3566"/>
    </row>
    <row r="1984" spans="13:14">
      <c r="M1984" s="3588"/>
      <c r="N1984" s="3566"/>
    </row>
    <row r="1985" spans="13:14">
      <c r="M1985" s="3588"/>
      <c r="N1985" s="3566"/>
    </row>
    <row r="1986" spans="13:14">
      <c r="M1986" s="3588"/>
      <c r="N1986" s="3566"/>
    </row>
    <row r="1987" spans="13:14">
      <c r="M1987" s="3588"/>
      <c r="N1987" s="3566"/>
    </row>
    <row r="1988" spans="13:14">
      <c r="M1988" s="3588"/>
      <c r="N1988" s="3566"/>
    </row>
    <row r="1989" spans="13:14">
      <c r="M1989" s="3588"/>
      <c r="N1989" s="3566"/>
    </row>
    <row r="1990" spans="13:14">
      <c r="M1990" s="3588"/>
      <c r="N1990" s="3566"/>
    </row>
    <row r="1991" spans="13:14">
      <c r="M1991" s="3588"/>
      <c r="N1991" s="3566"/>
    </row>
    <row r="1992" spans="13:14">
      <c r="M1992" s="3588"/>
      <c r="N1992" s="3566"/>
    </row>
    <row r="1993" spans="13:14">
      <c r="M1993" s="3588"/>
      <c r="N1993" s="3566"/>
    </row>
    <row r="1994" spans="13:14">
      <c r="M1994" s="3588"/>
      <c r="N1994" s="3566"/>
    </row>
    <row r="1995" spans="13:14">
      <c r="M1995" s="3588"/>
      <c r="N1995" s="3566"/>
    </row>
    <row r="1996" spans="13:14">
      <c r="M1996" s="3588"/>
      <c r="N1996" s="3566"/>
    </row>
    <row r="1997" spans="13:14">
      <c r="M1997" s="3588"/>
      <c r="N1997" s="3566"/>
    </row>
    <row r="1998" spans="13:14">
      <c r="M1998" s="3588"/>
      <c r="N1998" s="3566"/>
    </row>
    <row r="1999" spans="13:14">
      <c r="M1999" s="3588"/>
      <c r="N1999" s="3566"/>
    </row>
    <row r="2000" spans="13:14">
      <c r="M2000" s="3588"/>
      <c r="N2000" s="3566"/>
    </row>
    <row r="2001" spans="13:14">
      <c r="M2001" s="3588"/>
      <c r="N2001" s="3566"/>
    </row>
    <row r="2002" spans="13:14">
      <c r="M2002" s="3588"/>
      <c r="N2002" s="3566"/>
    </row>
    <row r="2003" spans="13:14">
      <c r="M2003" s="3588"/>
      <c r="N2003" s="3566"/>
    </row>
    <row r="2004" spans="13:14">
      <c r="M2004" s="3588"/>
      <c r="N2004" s="3566"/>
    </row>
    <row r="2005" spans="13:14">
      <c r="M2005" s="3588"/>
      <c r="N2005" s="3566"/>
    </row>
    <row r="2006" spans="13:14">
      <c r="M2006" s="3588"/>
      <c r="N2006" s="3566"/>
    </row>
    <row r="2007" spans="13:14">
      <c r="M2007" s="3588"/>
      <c r="N2007" s="3566"/>
    </row>
    <row r="2008" spans="13:14">
      <c r="M2008" s="3588"/>
      <c r="N2008" s="3566"/>
    </row>
    <row r="2009" spans="13:14">
      <c r="M2009" s="3588"/>
      <c r="N2009" s="3566"/>
    </row>
    <row r="2010" spans="13:14">
      <c r="M2010" s="3588"/>
      <c r="N2010" s="3566"/>
    </row>
    <row r="2011" spans="13:14">
      <c r="M2011" s="3588"/>
      <c r="N2011" s="3566"/>
    </row>
    <row r="2012" spans="13:14">
      <c r="M2012" s="3588"/>
      <c r="N2012" s="3566"/>
    </row>
    <row r="2013" spans="13:14">
      <c r="M2013" s="3588"/>
      <c r="N2013" s="3566"/>
    </row>
    <row r="2014" spans="13:14">
      <c r="M2014" s="3588"/>
      <c r="N2014" s="3566"/>
    </row>
    <row r="2015" spans="13:14">
      <c r="M2015" s="3588"/>
      <c r="N2015" s="3566"/>
    </row>
    <row r="2016" spans="13:14">
      <c r="M2016" s="3588"/>
      <c r="N2016" s="3566"/>
    </row>
    <row r="2017" spans="13:14">
      <c r="M2017" s="3588"/>
      <c r="N2017" s="3566"/>
    </row>
    <row r="2018" spans="13:14">
      <c r="M2018" s="3588"/>
      <c r="N2018" s="3566"/>
    </row>
    <row r="2019" spans="13:14">
      <c r="M2019" s="3588"/>
      <c r="N2019" s="3566"/>
    </row>
    <row r="2020" spans="13:14">
      <c r="M2020" s="3588"/>
      <c r="N2020" s="3566"/>
    </row>
    <row r="2021" spans="13:14">
      <c r="M2021" s="3588"/>
      <c r="N2021" s="3566"/>
    </row>
    <row r="2022" spans="13:14">
      <c r="M2022" s="3588"/>
      <c r="N2022" s="3566"/>
    </row>
    <row r="2023" spans="13:14">
      <c r="M2023" s="3588"/>
      <c r="N2023" s="3566"/>
    </row>
    <row r="2024" spans="13:14">
      <c r="M2024" s="3588"/>
      <c r="N2024" s="3566"/>
    </row>
    <row r="2025" spans="13:14">
      <c r="M2025" s="3588"/>
      <c r="N2025" s="3566"/>
    </row>
    <row r="2026" spans="13:14">
      <c r="M2026" s="3588"/>
      <c r="N2026" s="3566"/>
    </row>
    <row r="2027" spans="13:14">
      <c r="M2027" s="3588"/>
      <c r="N2027" s="3566"/>
    </row>
    <row r="2028" spans="13:14">
      <c r="M2028" s="3588"/>
      <c r="N2028" s="3566"/>
    </row>
    <row r="2029" spans="13:14">
      <c r="M2029" s="3588"/>
      <c r="N2029" s="3566"/>
    </row>
    <row r="2030" spans="13:14">
      <c r="M2030" s="3588"/>
      <c r="N2030" s="3566"/>
    </row>
    <row r="2031" spans="13:14">
      <c r="M2031" s="3588"/>
      <c r="N2031" s="3566"/>
    </row>
    <row r="2032" spans="13:14">
      <c r="M2032" s="3588"/>
      <c r="N2032" s="3566"/>
    </row>
    <row r="2033" spans="13:14">
      <c r="M2033" s="3588"/>
      <c r="N2033" s="3566"/>
    </row>
    <row r="2034" spans="13:14">
      <c r="M2034" s="3588"/>
      <c r="N2034" s="3566"/>
    </row>
    <row r="2035" spans="13:14">
      <c r="M2035" s="3588"/>
      <c r="N2035" s="3566"/>
    </row>
    <row r="2036" spans="13:14">
      <c r="M2036" s="3588"/>
      <c r="N2036" s="3566"/>
    </row>
    <row r="2037" spans="13:14">
      <c r="M2037" s="3588"/>
      <c r="N2037" s="3566"/>
    </row>
    <row r="2038" spans="13:14">
      <c r="M2038" s="3588"/>
      <c r="N2038" s="3566"/>
    </row>
    <row r="2039" spans="13:14">
      <c r="M2039" s="3588"/>
      <c r="N2039" s="3566"/>
    </row>
    <row r="2040" spans="13:14">
      <c r="M2040" s="3588"/>
      <c r="N2040" s="3566"/>
    </row>
    <row r="2041" spans="13:14">
      <c r="M2041" s="3588"/>
      <c r="N2041" s="3566"/>
    </row>
    <row r="2042" spans="13:14">
      <c r="M2042" s="3588"/>
      <c r="N2042" s="3566"/>
    </row>
    <row r="2043" spans="13:14">
      <c r="M2043" s="3588"/>
      <c r="N2043" s="3566"/>
    </row>
    <row r="2044" spans="13:14">
      <c r="M2044" s="3588"/>
      <c r="N2044" s="3566"/>
    </row>
    <row r="2045" spans="13:14">
      <c r="M2045" s="3588"/>
      <c r="N2045" s="3566"/>
    </row>
    <row r="2046" spans="13:14">
      <c r="M2046" s="3588"/>
      <c r="N2046" s="3566"/>
    </row>
    <row r="2047" spans="13:14">
      <c r="M2047" s="3588"/>
      <c r="N2047" s="3566"/>
    </row>
    <row r="2048" spans="13:14">
      <c r="M2048" s="3588"/>
      <c r="N2048" s="3566"/>
    </row>
    <row r="2049" spans="13:14">
      <c r="M2049" s="3588"/>
      <c r="N2049" s="3566"/>
    </row>
    <row r="2050" spans="13:14">
      <c r="M2050" s="3588"/>
      <c r="N2050" s="3566"/>
    </row>
    <row r="2051" spans="13:14">
      <c r="M2051" s="3588"/>
      <c r="N2051" s="3566"/>
    </row>
    <row r="2052" spans="13:14">
      <c r="M2052" s="3588"/>
      <c r="N2052" s="3566"/>
    </row>
    <row r="2053" spans="13:14">
      <c r="M2053" s="3588"/>
      <c r="N2053" s="3566"/>
    </row>
    <row r="2054" spans="13:14">
      <c r="M2054" s="3588"/>
      <c r="N2054" s="3566"/>
    </row>
    <row r="2055" spans="13:14">
      <c r="M2055" s="3588"/>
      <c r="N2055" s="3566"/>
    </row>
    <row r="2056" spans="13:14">
      <c r="M2056" s="3588"/>
      <c r="N2056" s="3566"/>
    </row>
    <row r="2057" spans="13:14">
      <c r="M2057" s="3588"/>
      <c r="N2057" s="3566"/>
    </row>
    <row r="2058" spans="13:14">
      <c r="M2058" s="3588"/>
      <c r="N2058" s="3566"/>
    </row>
    <row r="2059" spans="13:14">
      <c r="M2059" s="3588"/>
      <c r="N2059" s="3566"/>
    </row>
    <row r="2060" spans="13:14">
      <c r="M2060" s="3588"/>
      <c r="N2060" s="3566"/>
    </row>
    <row r="2061" spans="13:14">
      <c r="M2061" s="3588"/>
      <c r="N2061" s="3566"/>
    </row>
    <row r="2062" spans="13:14">
      <c r="M2062" s="3588"/>
      <c r="N2062" s="3566"/>
    </row>
    <row r="2063" spans="13:14">
      <c r="M2063" s="3588"/>
      <c r="N2063" s="3566"/>
    </row>
    <row r="2064" spans="13:14">
      <c r="M2064" s="3588"/>
      <c r="N2064" s="3566"/>
    </row>
    <row r="2065" spans="13:14">
      <c r="M2065" s="3588"/>
      <c r="N2065" s="3566"/>
    </row>
    <row r="2066" spans="13:14">
      <c r="M2066" s="3588"/>
      <c r="N2066" s="3566"/>
    </row>
    <row r="2067" spans="13:14">
      <c r="M2067" s="3588"/>
      <c r="N2067" s="3566"/>
    </row>
    <row r="2068" spans="13:14">
      <c r="M2068" s="3588"/>
      <c r="N2068" s="3566"/>
    </row>
    <row r="2069" spans="13:14">
      <c r="M2069" s="3588"/>
      <c r="N2069" s="3566"/>
    </row>
    <row r="2070" spans="13:14">
      <c r="M2070" s="3588"/>
      <c r="N2070" s="3566"/>
    </row>
    <row r="2071" spans="13:14">
      <c r="M2071" s="3588"/>
      <c r="N2071" s="3566"/>
    </row>
    <row r="2072" spans="13:14">
      <c r="M2072" s="3588"/>
      <c r="N2072" s="3566"/>
    </row>
    <row r="2073" spans="13:14">
      <c r="M2073" s="3588"/>
      <c r="N2073" s="3566"/>
    </row>
    <row r="2074" spans="13:14">
      <c r="M2074" s="3588"/>
      <c r="N2074" s="3566"/>
    </row>
    <row r="2075" spans="13:14">
      <c r="M2075" s="3588"/>
      <c r="N2075" s="3566"/>
    </row>
    <row r="2076" spans="13:14">
      <c r="M2076" s="3588"/>
      <c r="N2076" s="3566"/>
    </row>
    <row r="2077" spans="13:14">
      <c r="M2077" s="3588"/>
      <c r="N2077" s="3566"/>
    </row>
    <row r="2078" spans="13:14">
      <c r="M2078" s="3588"/>
      <c r="N2078" s="3566"/>
    </row>
    <row r="2079" spans="13:14">
      <c r="M2079" s="3588"/>
      <c r="N2079" s="3566"/>
    </row>
    <row r="2080" spans="13:14">
      <c r="M2080" s="3588"/>
      <c r="N2080" s="3566"/>
    </row>
    <row r="2081" spans="13:14">
      <c r="M2081" s="3588"/>
      <c r="N2081" s="3566"/>
    </row>
    <row r="2082" spans="13:14">
      <c r="M2082" s="3588"/>
      <c r="N2082" s="3566"/>
    </row>
    <row r="2083" spans="13:14">
      <c r="M2083" s="3588"/>
      <c r="N2083" s="3566"/>
    </row>
    <row r="2084" spans="13:14">
      <c r="M2084" s="3588"/>
      <c r="N2084" s="3566"/>
    </row>
    <row r="2085" spans="13:14">
      <c r="M2085" s="3588"/>
      <c r="N2085" s="3566"/>
    </row>
    <row r="2086" spans="13:14">
      <c r="M2086" s="3588"/>
      <c r="N2086" s="3566"/>
    </row>
    <row r="2087" spans="13:14">
      <c r="M2087" s="3588"/>
      <c r="N2087" s="3566"/>
    </row>
    <row r="2088" spans="13:14">
      <c r="M2088" s="3588"/>
      <c r="N2088" s="3566"/>
    </row>
    <row r="2089" spans="13:14">
      <c r="M2089" s="3588"/>
      <c r="N2089" s="3566"/>
    </row>
    <row r="2090" spans="13:14">
      <c r="M2090" s="3588"/>
      <c r="N2090" s="3566"/>
    </row>
    <row r="2091" spans="13:14">
      <c r="M2091" s="3588"/>
      <c r="N2091" s="3566"/>
    </row>
    <row r="2092" spans="13:14">
      <c r="M2092" s="3588"/>
      <c r="N2092" s="3566"/>
    </row>
    <row r="2093" spans="13:14">
      <c r="M2093" s="3588"/>
      <c r="N2093" s="3566"/>
    </row>
    <row r="2094" spans="13:14">
      <c r="M2094" s="3588"/>
      <c r="N2094" s="3566"/>
    </row>
    <row r="2095" spans="13:14">
      <c r="M2095" s="3588"/>
      <c r="N2095" s="3566"/>
    </row>
    <row r="2096" spans="13:14">
      <c r="M2096" s="3588"/>
      <c r="N2096" s="3566"/>
    </row>
    <row r="2097" spans="13:14">
      <c r="M2097" s="3588"/>
      <c r="N2097" s="3566"/>
    </row>
    <row r="2098" spans="13:14">
      <c r="M2098" s="3588"/>
      <c r="N2098" s="3566"/>
    </row>
    <row r="2099" spans="13:14">
      <c r="M2099" s="3588"/>
      <c r="N2099" s="3566"/>
    </row>
    <row r="2100" spans="13:14">
      <c r="M2100" s="3588"/>
      <c r="N2100" s="3566"/>
    </row>
    <row r="2101" spans="13:14">
      <c r="M2101" s="3588"/>
      <c r="N2101" s="3566"/>
    </row>
    <row r="2102" spans="13:14">
      <c r="M2102" s="3588"/>
      <c r="N2102" s="3566"/>
    </row>
    <row r="2103" spans="13:14">
      <c r="M2103" s="3588"/>
      <c r="N2103" s="3566"/>
    </row>
    <row r="2104" spans="13:14">
      <c r="M2104" s="3588"/>
      <c r="N2104" s="3566"/>
    </row>
    <row r="2105" spans="13:14">
      <c r="M2105" s="3588"/>
      <c r="N2105" s="3566"/>
    </row>
    <row r="2106" spans="13:14">
      <c r="M2106" s="3588"/>
      <c r="N2106" s="3566"/>
    </row>
    <row r="2107" spans="13:14">
      <c r="M2107" s="3588"/>
      <c r="N2107" s="3566"/>
    </row>
    <row r="2108" spans="13:14">
      <c r="M2108" s="3588"/>
      <c r="N2108" s="3566"/>
    </row>
    <row r="2109" spans="13:14">
      <c r="M2109" s="3588"/>
      <c r="N2109" s="3566"/>
    </row>
    <row r="2110" spans="13:14">
      <c r="M2110" s="3588"/>
      <c r="N2110" s="3566"/>
    </row>
    <row r="2111" spans="13:14">
      <c r="M2111" s="3588"/>
      <c r="N2111" s="3566"/>
    </row>
    <row r="2112" spans="13:14">
      <c r="M2112" s="3588"/>
      <c r="N2112" s="3566"/>
    </row>
    <row r="2113" spans="13:14">
      <c r="M2113" s="3588"/>
      <c r="N2113" s="3566"/>
    </row>
    <row r="2114" spans="13:14">
      <c r="M2114" s="3588"/>
      <c r="N2114" s="3566"/>
    </row>
    <row r="2115" spans="13:14">
      <c r="M2115" s="3588"/>
      <c r="N2115" s="3566"/>
    </row>
    <row r="2116" spans="13:14">
      <c r="M2116" s="3588"/>
      <c r="N2116" s="3566"/>
    </row>
    <row r="2117" spans="13:14">
      <c r="M2117" s="3588"/>
      <c r="N2117" s="3566"/>
    </row>
    <row r="2118" spans="13:14">
      <c r="M2118" s="3588"/>
      <c r="N2118" s="3566"/>
    </row>
    <row r="2119" spans="13:14">
      <c r="M2119" s="3588"/>
      <c r="N2119" s="3566"/>
    </row>
    <row r="2120" spans="13:14">
      <c r="M2120" s="3588"/>
      <c r="N2120" s="3566"/>
    </row>
    <row r="2121" spans="13:14">
      <c r="M2121" s="3588"/>
      <c r="N2121" s="3566"/>
    </row>
    <row r="2122" spans="13:14">
      <c r="M2122" s="3588"/>
      <c r="N2122" s="3566"/>
    </row>
    <row r="2123" spans="13:14">
      <c r="M2123" s="3588"/>
      <c r="N2123" s="3566"/>
    </row>
    <row r="2124" spans="13:14">
      <c r="M2124" s="3588"/>
      <c r="N2124" s="3566"/>
    </row>
    <row r="2125" spans="13:14">
      <c r="M2125" s="3588"/>
      <c r="N2125" s="3566"/>
    </row>
    <row r="2126" spans="13:14">
      <c r="M2126" s="3588"/>
      <c r="N2126" s="3566"/>
    </row>
    <row r="2127" spans="13:14">
      <c r="M2127" s="3588"/>
      <c r="N2127" s="3566"/>
    </row>
    <row r="2128" spans="13:14">
      <c r="M2128" s="3588"/>
      <c r="N2128" s="3566"/>
    </row>
    <row r="2129" spans="13:14">
      <c r="M2129" s="3588"/>
      <c r="N2129" s="3566"/>
    </row>
    <row r="2130" spans="13:14">
      <c r="M2130" s="3588"/>
      <c r="N2130" s="3566"/>
    </row>
    <row r="2131" spans="13:14">
      <c r="M2131" s="3588"/>
      <c r="N2131" s="3566"/>
    </row>
    <row r="2132" spans="13:14">
      <c r="M2132" s="3588"/>
      <c r="N2132" s="3566"/>
    </row>
    <row r="2133" spans="13:14">
      <c r="M2133" s="3588"/>
      <c r="N2133" s="3566"/>
    </row>
    <row r="2134" spans="13:14">
      <c r="M2134" s="3588"/>
      <c r="N2134" s="3566"/>
    </row>
    <row r="2135" spans="13:14">
      <c r="M2135" s="3588"/>
      <c r="N2135" s="3566"/>
    </row>
    <row r="2136" spans="13:14">
      <c r="M2136" s="3588"/>
      <c r="N2136" s="3566"/>
    </row>
    <row r="2137" spans="13:14">
      <c r="M2137" s="3588"/>
      <c r="N2137" s="3566"/>
    </row>
    <row r="2138" spans="13:14">
      <c r="M2138" s="3588"/>
      <c r="N2138" s="3566"/>
    </row>
    <row r="2139" spans="13:14">
      <c r="M2139" s="3588"/>
      <c r="N2139" s="3566"/>
    </row>
    <row r="2140" spans="13:14">
      <c r="M2140" s="3588"/>
      <c r="N2140" s="3566"/>
    </row>
    <row r="2141" spans="13:14">
      <c r="M2141" s="3588"/>
      <c r="N2141" s="3566"/>
    </row>
    <row r="2142" spans="13:14">
      <c r="M2142" s="3588"/>
      <c r="N2142" s="3566"/>
    </row>
    <row r="2143" spans="13:14">
      <c r="M2143" s="3588"/>
      <c r="N2143" s="3566"/>
    </row>
    <row r="2144" spans="13:14">
      <c r="M2144" s="3588"/>
      <c r="N2144" s="3566"/>
    </row>
    <row r="2145" spans="13:14">
      <c r="M2145" s="3588"/>
      <c r="N2145" s="3566"/>
    </row>
    <row r="2146" spans="13:14">
      <c r="M2146" s="3588"/>
      <c r="N2146" s="3566"/>
    </row>
    <row r="2147" spans="13:14">
      <c r="M2147" s="3588"/>
      <c r="N2147" s="3566"/>
    </row>
    <row r="2148" spans="13:14">
      <c r="M2148" s="3588"/>
      <c r="N2148" s="3566"/>
    </row>
    <row r="2149" spans="13:14">
      <c r="M2149" s="3588"/>
      <c r="N2149" s="3566"/>
    </row>
    <row r="2150" spans="13:14">
      <c r="M2150" s="3588"/>
      <c r="N2150" s="3566"/>
    </row>
    <row r="2151" spans="13:14">
      <c r="M2151" s="3588"/>
      <c r="N2151" s="3566"/>
    </row>
    <row r="2152" spans="13:14">
      <c r="M2152" s="3588"/>
      <c r="N2152" s="3566"/>
    </row>
    <row r="2153" spans="13:14">
      <c r="M2153" s="3588"/>
      <c r="N2153" s="3566"/>
    </row>
    <row r="2154" spans="13:14">
      <c r="M2154" s="3588"/>
      <c r="N2154" s="3566"/>
    </row>
    <row r="2155" spans="13:14">
      <c r="M2155" s="3588"/>
      <c r="N2155" s="3566"/>
    </row>
    <row r="2156" spans="13:14">
      <c r="M2156" s="3588"/>
      <c r="N2156" s="3566"/>
    </row>
    <row r="2157" spans="13:14">
      <c r="M2157" s="3588"/>
      <c r="N2157" s="3566"/>
    </row>
    <row r="2158" spans="13:14">
      <c r="M2158" s="3588"/>
      <c r="N2158" s="3566"/>
    </row>
    <row r="2159" spans="13:14">
      <c r="M2159" s="3588"/>
      <c r="N2159" s="3566"/>
    </row>
    <row r="2160" spans="13:14">
      <c r="M2160" s="3588"/>
      <c r="N2160" s="3566"/>
    </row>
    <row r="2161" spans="13:14">
      <c r="M2161" s="3588"/>
      <c r="N2161" s="3566"/>
    </row>
    <row r="2162" spans="13:14">
      <c r="M2162" s="3588"/>
      <c r="N2162" s="3566"/>
    </row>
    <row r="2163" spans="13:14">
      <c r="M2163" s="3588"/>
      <c r="N2163" s="3566"/>
    </row>
    <row r="2164" spans="13:14">
      <c r="M2164" s="3588"/>
      <c r="N2164" s="3566"/>
    </row>
    <row r="2165" spans="13:14">
      <c r="M2165" s="3588"/>
      <c r="N2165" s="3566"/>
    </row>
    <row r="2166" spans="13:14">
      <c r="M2166" s="3588"/>
      <c r="N2166" s="3566"/>
    </row>
    <row r="2167" spans="13:14">
      <c r="M2167" s="3588"/>
      <c r="N2167" s="3566"/>
    </row>
    <row r="2168" spans="13:14">
      <c r="M2168" s="3588"/>
      <c r="N2168" s="3566"/>
    </row>
    <row r="2169" spans="13:14">
      <c r="M2169" s="3588"/>
      <c r="N2169" s="3566"/>
    </row>
    <row r="2170" spans="13:14">
      <c r="M2170" s="3588"/>
      <c r="N2170" s="3566"/>
    </row>
    <row r="2171" spans="13:14">
      <c r="M2171" s="3588"/>
      <c r="N2171" s="3566"/>
    </row>
    <row r="2172" spans="13:14">
      <c r="M2172" s="3588"/>
      <c r="N2172" s="3566"/>
    </row>
    <row r="2173" spans="13:14">
      <c r="M2173" s="3588"/>
      <c r="N2173" s="3566"/>
    </row>
    <row r="2174" spans="13:14">
      <c r="M2174" s="3588"/>
      <c r="N2174" s="3566"/>
    </row>
    <row r="2175" spans="13:14">
      <c r="M2175" s="3588"/>
      <c r="N2175" s="3566"/>
    </row>
    <row r="2176" spans="13:14">
      <c r="M2176" s="3588"/>
      <c r="N2176" s="3566"/>
    </row>
    <row r="2177" spans="13:14">
      <c r="M2177" s="3588"/>
      <c r="N2177" s="3566"/>
    </row>
    <row r="2178" spans="13:14">
      <c r="M2178" s="3588"/>
      <c r="N2178" s="3566"/>
    </row>
    <row r="2179" spans="13:14">
      <c r="M2179" s="3588"/>
      <c r="N2179" s="3566"/>
    </row>
    <row r="2180" spans="13:14">
      <c r="M2180" s="3588"/>
      <c r="N2180" s="3566"/>
    </row>
    <row r="2181" spans="13:14">
      <c r="M2181" s="3588"/>
      <c r="N2181" s="3566"/>
    </row>
    <row r="2182" spans="13:14">
      <c r="M2182" s="3588"/>
      <c r="N2182" s="3566"/>
    </row>
    <row r="2183" spans="13:14">
      <c r="M2183" s="3588"/>
      <c r="N2183" s="3566"/>
    </row>
    <row r="2184" spans="13:14">
      <c r="M2184" s="3588"/>
      <c r="N2184" s="3566"/>
    </row>
    <row r="2185" spans="13:14">
      <c r="M2185" s="3588"/>
      <c r="N2185" s="3566"/>
    </row>
    <row r="2186" spans="13:14">
      <c r="M2186" s="3588"/>
      <c r="N2186" s="3566"/>
    </row>
    <row r="2187" spans="13:14">
      <c r="M2187" s="3588"/>
      <c r="N2187" s="3566"/>
    </row>
    <row r="2188" spans="13:14">
      <c r="M2188" s="3588"/>
      <c r="N2188" s="3566"/>
    </row>
    <row r="2189" spans="13:14">
      <c r="M2189" s="3588"/>
      <c r="N2189" s="3566"/>
    </row>
    <row r="2190" spans="13:14">
      <c r="M2190" s="3588"/>
      <c r="N2190" s="3566"/>
    </row>
    <row r="2191" spans="13:14">
      <c r="M2191" s="3588"/>
      <c r="N2191" s="3566"/>
    </row>
    <row r="2192" spans="13:14">
      <c r="M2192" s="3588"/>
      <c r="N2192" s="3566"/>
    </row>
    <row r="2193" spans="13:14">
      <c r="M2193" s="3588"/>
      <c r="N2193" s="3566"/>
    </row>
    <row r="2194" spans="13:14">
      <c r="M2194" s="3588"/>
      <c r="N2194" s="3566"/>
    </row>
    <row r="2195" spans="13:14">
      <c r="M2195" s="3588"/>
      <c r="N2195" s="3566"/>
    </row>
    <row r="2196" spans="13:14">
      <c r="M2196" s="3588"/>
      <c r="N2196" s="3566"/>
    </row>
    <row r="2197" spans="13:14">
      <c r="M2197" s="3588"/>
      <c r="N2197" s="3566"/>
    </row>
    <row r="2198" spans="13:14">
      <c r="M2198" s="3588"/>
      <c r="N2198" s="3566"/>
    </row>
    <row r="2199" spans="13:14">
      <c r="M2199" s="3588"/>
      <c r="N2199" s="3566"/>
    </row>
    <row r="2200" spans="13:14">
      <c r="M2200" s="3588"/>
      <c r="N2200" s="3566"/>
    </row>
    <row r="2201" spans="13:14">
      <c r="M2201" s="3588"/>
      <c r="N2201" s="3566"/>
    </row>
    <row r="2202" spans="13:14">
      <c r="M2202" s="3588"/>
      <c r="N2202" s="3566"/>
    </row>
    <row r="2203" spans="13:14">
      <c r="M2203" s="3588"/>
      <c r="N2203" s="3566"/>
    </row>
    <row r="2204" spans="13:14">
      <c r="M2204" s="3588"/>
      <c r="N2204" s="3566"/>
    </row>
    <row r="2205" spans="13:14">
      <c r="M2205" s="3588"/>
      <c r="N2205" s="3566"/>
    </row>
    <row r="2206" spans="13:14">
      <c r="M2206" s="3588"/>
      <c r="N2206" s="3566"/>
    </row>
    <row r="2207" spans="13:14">
      <c r="M2207" s="3588"/>
      <c r="N2207" s="3566"/>
    </row>
    <row r="2208" spans="13:14">
      <c r="M2208" s="3588"/>
      <c r="N2208" s="3566"/>
    </row>
    <row r="2209" spans="13:14">
      <c r="M2209" s="3588"/>
      <c r="N2209" s="3566"/>
    </row>
    <row r="2210" spans="13:14">
      <c r="M2210" s="3588"/>
      <c r="N2210" s="3566"/>
    </row>
    <row r="2211" spans="13:14">
      <c r="M2211" s="3588"/>
      <c r="N2211" s="3566"/>
    </row>
    <row r="2212" spans="13:14">
      <c r="M2212" s="3588"/>
      <c r="N2212" s="3566"/>
    </row>
    <row r="2213" spans="13:14">
      <c r="M2213" s="3588"/>
      <c r="N2213" s="3566"/>
    </row>
    <row r="2214" spans="13:14">
      <c r="M2214" s="3588"/>
      <c r="N2214" s="3566"/>
    </row>
    <row r="2215" spans="13:14">
      <c r="M2215" s="3588"/>
      <c r="N2215" s="3566"/>
    </row>
    <row r="2216" spans="13:14">
      <c r="M2216" s="3588"/>
      <c r="N2216" s="3566"/>
    </row>
    <row r="2217" spans="13:14">
      <c r="M2217" s="3588"/>
      <c r="N2217" s="3566"/>
    </row>
    <row r="2218" spans="13:14">
      <c r="M2218" s="3588"/>
      <c r="N2218" s="3566"/>
    </row>
    <row r="2219" spans="13:14">
      <c r="M2219" s="3588"/>
      <c r="N2219" s="3566"/>
    </row>
    <row r="2220" spans="13:14">
      <c r="M2220" s="3588"/>
      <c r="N2220" s="3566"/>
    </row>
    <row r="2221" spans="13:14">
      <c r="M2221" s="3588"/>
      <c r="N2221" s="3566"/>
    </row>
    <row r="2222" spans="13:14">
      <c r="M2222" s="3588"/>
      <c r="N2222" s="3566"/>
    </row>
    <row r="2223" spans="13:14">
      <c r="M2223" s="3588"/>
      <c r="N2223" s="3566"/>
    </row>
    <row r="2224" spans="13:14">
      <c r="M2224" s="3588"/>
      <c r="N2224" s="3566"/>
    </row>
    <row r="2225" spans="13:14">
      <c r="M2225" s="3588"/>
      <c r="N2225" s="3566"/>
    </row>
    <row r="2226" spans="13:14">
      <c r="M2226" s="3588"/>
      <c r="N2226" s="3566"/>
    </row>
    <row r="2227" spans="13:14">
      <c r="M2227" s="3588"/>
      <c r="N2227" s="3566"/>
    </row>
    <row r="2228" spans="13:14">
      <c r="M2228" s="3588"/>
      <c r="N2228" s="3566"/>
    </row>
    <row r="2229" spans="13:14">
      <c r="M2229" s="3588"/>
      <c r="N2229" s="3566"/>
    </row>
    <row r="2230" spans="13:14">
      <c r="M2230" s="3588"/>
      <c r="N2230" s="3566"/>
    </row>
    <row r="2231" spans="13:14">
      <c r="M2231" s="3588"/>
      <c r="N2231" s="3566"/>
    </row>
    <row r="2232" spans="13:14">
      <c r="M2232" s="3588"/>
      <c r="N2232" s="3566"/>
    </row>
    <row r="2233" spans="13:14">
      <c r="M2233" s="3588"/>
      <c r="N2233" s="3566"/>
    </row>
    <row r="2234" spans="13:14">
      <c r="M2234" s="3588"/>
      <c r="N2234" s="3566"/>
    </row>
    <row r="2235" spans="13:14">
      <c r="M2235" s="3588"/>
      <c r="N2235" s="3566"/>
    </row>
    <row r="2236" spans="13:14">
      <c r="M2236" s="3588"/>
      <c r="N2236" s="3566"/>
    </row>
    <row r="2237" spans="13:14">
      <c r="M2237" s="3588"/>
      <c r="N2237" s="3566"/>
    </row>
    <row r="2238" spans="13:14">
      <c r="M2238" s="3588"/>
      <c r="N2238" s="3566"/>
    </row>
    <row r="2239" spans="13:14">
      <c r="M2239" s="3588"/>
      <c r="N2239" s="3566"/>
    </row>
    <row r="2240" spans="13:14">
      <c r="M2240" s="3588"/>
      <c r="N2240" s="3566"/>
    </row>
    <row r="2241" spans="13:14">
      <c r="M2241" s="3588"/>
      <c r="N2241" s="3566"/>
    </row>
    <row r="2242" spans="13:14">
      <c r="M2242" s="3588"/>
      <c r="N2242" s="3566"/>
    </row>
    <row r="2243" spans="13:14">
      <c r="M2243" s="3588"/>
      <c r="N2243" s="3566"/>
    </row>
    <row r="2244" spans="13:14">
      <c r="M2244" s="3588"/>
      <c r="N2244" s="3566"/>
    </row>
    <row r="2245" spans="13:14">
      <c r="M2245" s="3588"/>
      <c r="N2245" s="3566"/>
    </row>
    <row r="2246" spans="13:14">
      <c r="M2246" s="3588"/>
      <c r="N2246" s="3566"/>
    </row>
    <row r="2247" spans="13:14">
      <c r="M2247" s="3588"/>
      <c r="N2247" s="3566"/>
    </row>
    <row r="2248" spans="13:14">
      <c r="M2248" s="3588"/>
      <c r="N2248" s="3566"/>
    </row>
    <row r="2249" spans="13:14">
      <c r="M2249" s="3588"/>
      <c r="N2249" s="3566"/>
    </row>
    <row r="2250" spans="13:14">
      <c r="M2250" s="3588"/>
      <c r="N2250" s="3566"/>
    </row>
    <row r="2251" spans="13:14">
      <c r="M2251" s="3588"/>
      <c r="N2251" s="3566"/>
    </row>
    <row r="2252" spans="13:14">
      <c r="M2252" s="3588"/>
      <c r="N2252" s="3566"/>
    </row>
    <row r="2253" spans="13:14">
      <c r="M2253" s="3588"/>
      <c r="N2253" s="3566"/>
    </row>
    <row r="2254" spans="13:14">
      <c r="M2254" s="3588"/>
      <c r="N2254" s="3566"/>
    </row>
    <row r="2255" spans="13:14">
      <c r="M2255" s="3588"/>
      <c r="N2255" s="3566"/>
    </row>
    <row r="2256" spans="13:14">
      <c r="M2256" s="3588"/>
      <c r="N2256" s="3566"/>
    </row>
    <row r="2257" spans="13:14">
      <c r="M2257" s="3588"/>
      <c r="N2257" s="3566"/>
    </row>
    <row r="2258" spans="13:14">
      <c r="M2258" s="3588"/>
      <c r="N2258" s="3566"/>
    </row>
    <row r="2259" spans="13:14">
      <c r="M2259" s="3588"/>
      <c r="N2259" s="3566"/>
    </row>
    <row r="2260" spans="13:14">
      <c r="M2260" s="3588"/>
      <c r="N2260" s="3566"/>
    </row>
    <row r="2261" spans="13:14">
      <c r="M2261" s="3588"/>
      <c r="N2261" s="3566"/>
    </row>
    <row r="2262" spans="13:14">
      <c r="M2262" s="3588"/>
      <c r="N2262" s="3566"/>
    </row>
    <row r="2263" spans="13:14">
      <c r="M2263" s="3588"/>
      <c r="N2263" s="3566"/>
    </row>
    <row r="2264" spans="13:14">
      <c r="M2264" s="3588"/>
      <c r="N2264" s="3566"/>
    </row>
    <row r="2265" spans="13:14">
      <c r="M2265" s="3588"/>
      <c r="N2265" s="3566"/>
    </row>
    <row r="2266" spans="13:14">
      <c r="M2266" s="3588"/>
      <c r="N2266" s="3566"/>
    </row>
    <row r="2267" spans="13:14">
      <c r="M2267" s="3588"/>
      <c r="N2267" s="3566"/>
    </row>
    <row r="2268" spans="13:14">
      <c r="M2268" s="3588"/>
      <c r="N2268" s="3566"/>
    </row>
    <row r="2269" spans="13:14">
      <c r="M2269" s="3588"/>
      <c r="N2269" s="3566"/>
    </row>
    <row r="2270" spans="13:14">
      <c r="M2270" s="3588"/>
      <c r="N2270" s="3566"/>
    </row>
    <row r="2271" spans="13:14">
      <c r="M2271" s="3588"/>
      <c r="N2271" s="3566"/>
    </row>
    <row r="2272" spans="13:14">
      <c r="M2272" s="3588"/>
      <c r="N2272" s="3566"/>
    </row>
    <row r="2273" spans="13:14">
      <c r="M2273" s="3588"/>
      <c r="N2273" s="3566"/>
    </row>
    <row r="2274" spans="13:14">
      <c r="M2274" s="3588"/>
      <c r="N2274" s="3566"/>
    </row>
    <row r="2275" spans="13:14">
      <c r="M2275" s="3588"/>
      <c r="N2275" s="3566"/>
    </row>
    <row r="2276" spans="13:14">
      <c r="M2276" s="3588"/>
      <c r="N2276" s="3566"/>
    </row>
    <row r="2277" spans="13:14">
      <c r="M2277" s="3588"/>
      <c r="N2277" s="3566"/>
    </row>
    <row r="2278" spans="13:14">
      <c r="M2278" s="3588"/>
      <c r="N2278" s="3566"/>
    </row>
    <row r="2279" spans="13:14">
      <c r="M2279" s="3588"/>
      <c r="N2279" s="3566"/>
    </row>
    <row r="2280" spans="13:14">
      <c r="M2280" s="3588"/>
      <c r="N2280" s="3566"/>
    </row>
    <row r="2281" spans="13:14">
      <c r="M2281" s="3588"/>
      <c r="N2281" s="3566"/>
    </row>
    <row r="2282" spans="13:14">
      <c r="M2282" s="3588"/>
      <c r="N2282" s="3566"/>
    </row>
    <row r="2283" spans="13:14">
      <c r="M2283" s="3588"/>
      <c r="N2283" s="3566"/>
    </row>
    <row r="2284" spans="13:14">
      <c r="M2284" s="3588"/>
      <c r="N2284" s="3566"/>
    </row>
    <row r="2285" spans="13:14">
      <c r="M2285" s="3588"/>
      <c r="N2285" s="3566"/>
    </row>
    <row r="2286" spans="13:14">
      <c r="M2286" s="3588"/>
      <c r="N2286" s="3566"/>
    </row>
    <row r="2287" spans="13:14">
      <c r="M2287" s="3588"/>
      <c r="N2287" s="3566"/>
    </row>
    <row r="2288" spans="13:14">
      <c r="M2288" s="3588"/>
      <c r="N2288" s="3566"/>
    </row>
    <row r="2289" spans="13:14">
      <c r="M2289" s="3588"/>
      <c r="N2289" s="3566"/>
    </row>
    <row r="2290" spans="13:14">
      <c r="M2290" s="3588"/>
      <c r="N2290" s="3566"/>
    </row>
    <row r="2291" spans="13:14">
      <c r="M2291" s="3588"/>
      <c r="N2291" s="3566"/>
    </row>
    <row r="2292" spans="13:14">
      <c r="M2292" s="3588"/>
      <c r="N2292" s="3566"/>
    </row>
    <row r="2293" spans="13:14">
      <c r="M2293" s="3588"/>
      <c r="N2293" s="3566"/>
    </row>
    <row r="2294" spans="13:14">
      <c r="M2294" s="3588"/>
      <c r="N2294" s="3566"/>
    </row>
    <row r="2295" spans="13:14">
      <c r="M2295" s="3588"/>
      <c r="N2295" s="3566"/>
    </row>
    <row r="2296" spans="13:14">
      <c r="M2296" s="3588"/>
      <c r="N2296" s="3566"/>
    </row>
    <row r="2297" spans="13:14">
      <c r="M2297" s="3588"/>
      <c r="N2297" s="3566"/>
    </row>
    <row r="2298" spans="13:14">
      <c r="M2298" s="3588"/>
      <c r="N2298" s="3566"/>
    </row>
    <row r="2299" spans="13:14">
      <c r="M2299" s="3588"/>
      <c r="N2299" s="3566"/>
    </row>
    <row r="2300" spans="13:14">
      <c r="M2300" s="3588"/>
      <c r="N2300" s="3566"/>
    </row>
    <row r="2301" spans="13:14">
      <c r="M2301" s="3588"/>
      <c r="N2301" s="3566"/>
    </row>
    <row r="2302" spans="13:14">
      <c r="M2302" s="3588"/>
      <c r="N2302" s="3566"/>
    </row>
    <row r="2303" spans="13:14">
      <c r="M2303" s="3588"/>
      <c r="N2303" s="3566"/>
    </row>
    <row r="2304" spans="13:14">
      <c r="M2304" s="3588"/>
      <c r="N2304" s="3566"/>
    </row>
    <row r="2305" spans="13:14">
      <c r="M2305" s="3588"/>
      <c r="N2305" s="3566"/>
    </row>
    <row r="2306" spans="13:14">
      <c r="M2306" s="3588"/>
      <c r="N2306" s="3566"/>
    </row>
    <row r="2307" spans="13:14">
      <c r="M2307" s="3588"/>
      <c r="N2307" s="3566"/>
    </row>
    <row r="2308" spans="13:14">
      <c r="M2308" s="3588"/>
      <c r="N2308" s="3566"/>
    </row>
    <row r="2309" spans="13:14">
      <c r="M2309" s="3588"/>
      <c r="N2309" s="3566"/>
    </row>
    <row r="2310" spans="13:14">
      <c r="M2310" s="3588"/>
      <c r="N2310" s="3566"/>
    </row>
    <row r="2311" spans="13:14">
      <c r="M2311" s="3588"/>
      <c r="N2311" s="3566"/>
    </row>
    <row r="2312" spans="13:14">
      <c r="M2312" s="3588"/>
      <c r="N2312" s="3566"/>
    </row>
    <row r="2313" spans="13:14">
      <c r="M2313" s="3588"/>
      <c r="N2313" s="3566"/>
    </row>
    <row r="2314" spans="13:14">
      <c r="M2314" s="3588"/>
      <c r="N2314" s="3566"/>
    </row>
    <row r="2315" spans="13:14">
      <c r="M2315" s="3588"/>
      <c r="N2315" s="3566"/>
    </row>
    <row r="2316" spans="13:14">
      <c r="M2316" s="3588"/>
      <c r="N2316" s="3566"/>
    </row>
    <row r="2317" spans="13:14">
      <c r="M2317" s="3588"/>
      <c r="N2317" s="3566"/>
    </row>
    <row r="2318" spans="13:14">
      <c r="M2318" s="3588"/>
      <c r="N2318" s="3566"/>
    </row>
    <row r="2319" spans="13:14">
      <c r="M2319" s="3588"/>
      <c r="N2319" s="3566"/>
    </row>
    <row r="2320" spans="13:14">
      <c r="M2320" s="3588"/>
      <c r="N2320" s="3566"/>
    </row>
    <row r="2321" spans="13:14">
      <c r="M2321" s="3588"/>
      <c r="N2321" s="3566"/>
    </row>
    <row r="2322" spans="13:14">
      <c r="M2322" s="3588"/>
      <c r="N2322" s="3566"/>
    </row>
    <row r="2323" spans="13:14">
      <c r="M2323" s="3588"/>
      <c r="N2323" s="3566"/>
    </row>
    <row r="2324" spans="13:14">
      <c r="M2324" s="3588"/>
      <c r="N2324" s="3566"/>
    </row>
    <row r="2325" spans="13:14">
      <c r="M2325" s="3588"/>
      <c r="N2325" s="3566"/>
    </row>
    <row r="2326" spans="13:14">
      <c r="M2326" s="3588"/>
      <c r="N2326" s="3566"/>
    </row>
    <row r="2327" spans="13:14">
      <c r="M2327" s="3588"/>
      <c r="N2327" s="3566"/>
    </row>
    <row r="2328" spans="13:14">
      <c r="M2328" s="3588"/>
      <c r="N2328" s="3566"/>
    </row>
    <row r="2329" spans="13:14">
      <c r="M2329" s="3588"/>
      <c r="N2329" s="3566"/>
    </row>
    <row r="2330" spans="13:14">
      <c r="M2330" s="3588"/>
      <c r="N2330" s="3566"/>
    </row>
    <row r="2331" spans="13:14">
      <c r="M2331" s="3588"/>
      <c r="N2331" s="3566"/>
    </row>
    <row r="2332" spans="13:14">
      <c r="M2332" s="3588"/>
      <c r="N2332" s="3566"/>
    </row>
    <row r="2333" spans="13:14">
      <c r="M2333" s="3588"/>
      <c r="N2333" s="3566"/>
    </row>
    <row r="2334" spans="13:14">
      <c r="M2334" s="3588"/>
      <c r="N2334" s="3566"/>
    </row>
    <row r="2335" spans="13:14">
      <c r="M2335" s="3588"/>
      <c r="N2335" s="3566"/>
    </row>
    <row r="2336" spans="13:14">
      <c r="M2336" s="3588"/>
      <c r="N2336" s="3566"/>
    </row>
    <row r="2337" spans="13:14">
      <c r="M2337" s="3588"/>
      <c r="N2337" s="3566"/>
    </row>
    <row r="2338" spans="13:14">
      <c r="M2338" s="3588"/>
      <c r="N2338" s="3566"/>
    </row>
    <row r="2339" spans="13:14">
      <c r="M2339" s="3588"/>
      <c r="N2339" s="3566"/>
    </row>
    <row r="2340" spans="13:14">
      <c r="M2340" s="3588"/>
      <c r="N2340" s="3566"/>
    </row>
    <row r="2341" spans="13:14">
      <c r="M2341" s="3588"/>
      <c r="N2341" s="3566"/>
    </row>
    <row r="2342" spans="13:14">
      <c r="M2342" s="3588"/>
      <c r="N2342" s="3566"/>
    </row>
    <row r="2343" spans="13:14">
      <c r="M2343" s="3588"/>
      <c r="N2343" s="3566"/>
    </row>
    <row r="2344" spans="13:14">
      <c r="M2344" s="3588"/>
      <c r="N2344" s="3566"/>
    </row>
    <row r="2345" spans="13:14">
      <c r="M2345" s="3588"/>
      <c r="N2345" s="3566"/>
    </row>
    <row r="2346" spans="13:14">
      <c r="M2346" s="3588"/>
      <c r="N2346" s="3566"/>
    </row>
    <row r="2347" spans="13:14">
      <c r="M2347" s="3588"/>
      <c r="N2347" s="3566"/>
    </row>
    <row r="2348" spans="13:14">
      <c r="M2348" s="3588"/>
      <c r="N2348" s="3566"/>
    </row>
    <row r="2349" spans="13:14">
      <c r="M2349" s="3588"/>
      <c r="N2349" s="3566"/>
    </row>
    <row r="2350" spans="13:14">
      <c r="M2350" s="3588"/>
      <c r="N2350" s="3566"/>
    </row>
    <row r="2351" spans="13:14">
      <c r="M2351" s="3588"/>
      <c r="N2351" s="3566"/>
    </row>
    <row r="2352" spans="13:14">
      <c r="M2352" s="3588"/>
      <c r="N2352" s="3566"/>
    </row>
    <row r="2353" spans="13:14">
      <c r="M2353" s="3588"/>
      <c r="N2353" s="3566"/>
    </row>
    <row r="2354" spans="13:14">
      <c r="M2354" s="3588"/>
      <c r="N2354" s="3566"/>
    </row>
    <row r="2355" spans="13:14">
      <c r="M2355" s="3588"/>
      <c r="N2355" s="3566"/>
    </row>
    <row r="2356" spans="13:14">
      <c r="M2356" s="3588"/>
      <c r="N2356" s="3566"/>
    </row>
    <row r="2357" spans="13:14">
      <c r="M2357" s="3588"/>
      <c r="N2357" s="3566"/>
    </row>
    <row r="2358" spans="13:14">
      <c r="M2358" s="3588"/>
      <c r="N2358" s="3566"/>
    </row>
    <row r="2359" spans="13:14">
      <c r="M2359" s="3588"/>
      <c r="N2359" s="3566"/>
    </row>
    <row r="2360" spans="13:14">
      <c r="M2360" s="3588"/>
      <c r="N2360" s="3566"/>
    </row>
    <row r="2361" spans="13:14">
      <c r="M2361" s="3588"/>
      <c r="N2361" s="3566"/>
    </row>
    <row r="2362" spans="13:14">
      <c r="M2362" s="3588"/>
      <c r="N2362" s="3566"/>
    </row>
    <row r="2363" spans="13:14">
      <c r="M2363" s="3588"/>
      <c r="N2363" s="3566"/>
    </row>
    <row r="2364" spans="13:14">
      <c r="M2364" s="3588"/>
      <c r="N2364" s="3566"/>
    </row>
    <row r="2365" spans="13:14">
      <c r="M2365" s="3588"/>
      <c r="N2365" s="3566"/>
    </row>
    <row r="2366" spans="13:14">
      <c r="M2366" s="3588"/>
      <c r="N2366" s="3566"/>
    </row>
    <row r="2367" spans="13:14">
      <c r="M2367" s="3588"/>
      <c r="N2367" s="3566"/>
    </row>
    <row r="2368" spans="13:14">
      <c r="M2368" s="3588"/>
      <c r="N2368" s="3566"/>
    </row>
    <row r="2369" spans="13:14">
      <c r="M2369" s="3588"/>
      <c r="N2369" s="3566"/>
    </row>
    <row r="2370" spans="13:14">
      <c r="M2370" s="3588"/>
      <c r="N2370" s="3566"/>
    </row>
    <row r="2371" spans="13:14">
      <c r="M2371" s="3588"/>
      <c r="N2371" s="3566"/>
    </row>
    <row r="2372" spans="13:14">
      <c r="M2372" s="3588"/>
      <c r="N2372" s="3566"/>
    </row>
    <row r="2373" spans="13:14">
      <c r="M2373" s="3588"/>
      <c r="N2373" s="3566"/>
    </row>
    <row r="2374" spans="13:14">
      <c r="M2374" s="3588"/>
      <c r="N2374" s="3566"/>
    </row>
    <row r="2375" spans="13:14">
      <c r="M2375" s="3588"/>
      <c r="N2375" s="3566"/>
    </row>
    <row r="2376" spans="13:14">
      <c r="M2376" s="3588"/>
      <c r="N2376" s="3566"/>
    </row>
    <row r="2377" spans="13:14">
      <c r="M2377" s="3588"/>
      <c r="N2377" s="3566"/>
    </row>
    <row r="2378" spans="13:14">
      <c r="M2378" s="3588"/>
      <c r="N2378" s="3566"/>
    </row>
    <row r="2379" spans="13:14">
      <c r="M2379" s="3588"/>
      <c r="N2379" s="3566"/>
    </row>
    <row r="2380" spans="13:14">
      <c r="M2380" s="3588"/>
      <c r="N2380" s="3566"/>
    </row>
    <row r="2381" spans="13:14">
      <c r="M2381" s="3588"/>
      <c r="N2381" s="3566"/>
    </row>
    <row r="2382" spans="13:14">
      <c r="M2382" s="3588"/>
      <c r="N2382" s="3566"/>
    </row>
    <row r="2383" spans="13:14">
      <c r="M2383" s="3588"/>
      <c r="N2383" s="3566"/>
    </row>
    <row r="2384" spans="13:14">
      <c r="M2384" s="3588"/>
      <c r="N2384" s="3566"/>
    </row>
    <row r="2385" spans="13:14">
      <c r="M2385" s="3588"/>
      <c r="N2385" s="3566"/>
    </row>
    <row r="2386" spans="13:14">
      <c r="M2386" s="3588"/>
      <c r="N2386" s="3566"/>
    </row>
    <row r="2387" spans="13:14">
      <c r="M2387" s="3588"/>
      <c r="N2387" s="3566"/>
    </row>
    <row r="2388" spans="13:14">
      <c r="M2388" s="3588"/>
      <c r="N2388" s="3566"/>
    </row>
    <row r="2389" spans="13:14">
      <c r="M2389" s="3588"/>
      <c r="N2389" s="3566"/>
    </row>
    <row r="2390" spans="13:14">
      <c r="M2390" s="3588"/>
      <c r="N2390" s="3566"/>
    </row>
    <row r="2391" spans="13:14">
      <c r="M2391" s="3588"/>
      <c r="N2391" s="3566"/>
    </row>
    <row r="2392" spans="13:14">
      <c r="M2392" s="3588"/>
      <c r="N2392" s="3566"/>
    </row>
    <row r="2393" spans="13:14">
      <c r="M2393" s="3588"/>
      <c r="N2393" s="3566"/>
    </row>
    <row r="2394" spans="13:14">
      <c r="M2394" s="3588"/>
      <c r="N2394" s="3566"/>
    </row>
    <row r="2395" spans="13:14">
      <c r="M2395" s="3588"/>
      <c r="N2395" s="3566"/>
    </row>
    <row r="2396" spans="13:14">
      <c r="M2396" s="3588"/>
      <c r="N2396" s="3566"/>
    </row>
    <row r="2397" spans="13:14">
      <c r="M2397" s="3588"/>
      <c r="N2397" s="3566"/>
    </row>
    <row r="2398" spans="13:14">
      <c r="M2398" s="3588"/>
      <c r="N2398" s="3566"/>
    </row>
    <row r="2399" spans="13:14">
      <c r="M2399" s="3588"/>
      <c r="N2399" s="3566"/>
    </row>
    <row r="2400" spans="13:14">
      <c r="M2400" s="3588"/>
      <c r="N2400" s="3566"/>
    </row>
    <row r="2401" spans="13:14">
      <c r="M2401" s="3588"/>
      <c r="N2401" s="3566"/>
    </row>
    <row r="2402" spans="13:14">
      <c r="M2402" s="3588"/>
      <c r="N2402" s="3566"/>
    </row>
    <row r="2403" spans="13:14">
      <c r="M2403" s="3588"/>
      <c r="N2403" s="3566"/>
    </row>
    <row r="2404" spans="13:14">
      <c r="M2404" s="3588"/>
      <c r="N2404" s="3566"/>
    </row>
    <row r="2405" spans="13:14">
      <c r="M2405" s="3588"/>
      <c r="N2405" s="3566"/>
    </row>
    <row r="2406" spans="13:14">
      <c r="M2406" s="3588"/>
      <c r="N2406" s="3566"/>
    </row>
    <row r="2407" spans="13:14">
      <c r="M2407" s="3588"/>
      <c r="N2407" s="3566"/>
    </row>
    <row r="2408" spans="13:14">
      <c r="M2408" s="3588"/>
      <c r="N2408" s="3566"/>
    </row>
    <row r="2409" spans="13:14">
      <c r="M2409" s="3588"/>
      <c r="N2409" s="3566"/>
    </row>
    <row r="2410" spans="13:14">
      <c r="M2410" s="3588"/>
      <c r="N2410" s="3566"/>
    </row>
    <row r="2411" spans="13:14">
      <c r="M2411" s="3588"/>
      <c r="N2411" s="3566"/>
    </row>
    <row r="2412" spans="13:14">
      <c r="M2412" s="3588"/>
      <c r="N2412" s="3566"/>
    </row>
    <row r="2413" spans="13:14">
      <c r="M2413" s="3588"/>
      <c r="N2413" s="3566"/>
    </row>
    <row r="2414" spans="13:14">
      <c r="M2414" s="3588"/>
      <c r="N2414" s="3566"/>
    </row>
    <row r="2415" spans="13:14">
      <c r="M2415" s="3588"/>
      <c r="N2415" s="3566"/>
    </row>
    <row r="2416" spans="13:14">
      <c r="M2416" s="3588"/>
      <c r="N2416" s="3566"/>
    </row>
    <row r="2417" spans="13:14">
      <c r="M2417" s="3588"/>
      <c r="N2417" s="3566"/>
    </row>
    <row r="2418" spans="13:14">
      <c r="M2418" s="3588"/>
      <c r="N2418" s="3566"/>
    </row>
    <row r="2419" spans="13:14">
      <c r="M2419" s="3588"/>
      <c r="N2419" s="3566"/>
    </row>
    <row r="2420" spans="13:14">
      <c r="M2420" s="3588"/>
      <c r="N2420" s="3566"/>
    </row>
    <row r="2421" spans="13:14">
      <c r="M2421" s="3588"/>
      <c r="N2421" s="3566"/>
    </row>
    <row r="2422" spans="13:14">
      <c r="M2422" s="3588"/>
      <c r="N2422" s="3566"/>
    </row>
    <row r="2423" spans="13:14">
      <c r="M2423" s="3588"/>
      <c r="N2423" s="3566"/>
    </row>
    <row r="2424" spans="13:14">
      <c r="M2424" s="3588"/>
      <c r="N2424" s="3566"/>
    </row>
    <row r="2425" spans="13:14">
      <c r="M2425" s="3588"/>
      <c r="N2425" s="3566"/>
    </row>
    <row r="2426" spans="13:14">
      <c r="M2426" s="3588"/>
      <c r="N2426" s="3566"/>
    </row>
    <row r="2427" spans="13:14">
      <c r="M2427" s="3588"/>
      <c r="N2427" s="3566"/>
    </row>
    <row r="2428" spans="13:14">
      <c r="M2428" s="3588"/>
      <c r="N2428" s="3566"/>
    </row>
    <row r="2429" spans="13:14">
      <c r="M2429" s="3588"/>
      <c r="N2429" s="3566"/>
    </row>
    <row r="2430" spans="13:14">
      <c r="M2430" s="3588"/>
      <c r="N2430" s="3566"/>
    </row>
    <row r="2431" spans="13:14">
      <c r="M2431" s="3588"/>
      <c r="N2431" s="3566"/>
    </row>
    <row r="2432" spans="13:14">
      <c r="M2432" s="3588"/>
      <c r="N2432" s="3566"/>
    </row>
    <row r="2433" spans="13:14">
      <c r="M2433" s="3588"/>
      <c r="N2433" s="3566"/>
    </row>
    <row r="2434" spans="13:14">
      <c r="M2434" s="3588"/>
      <c r="N2434" s="3566"/>
    </row>
    <row r="2435" spans="13:14">
      <c r="M2435" s="3588"/>
      <c r="N2435" s="3566"/>
    </row>
    <row r="2436" spans="13:14">
      <c r="M2436" s="3588"/>
      <c r="N2436" s="3566"/>
    </row>
    <row r="2437" spans="13:14">
      <c r="M2437" s="3588"/>
      <c r="N2437" s="3566"/>
    </row>
    <row r="2438" spans="13:14">
      <c r="M2438" s="3588"/>
      <c r="N2438" s="3566"/>
    </row>
    <row r="2439" spans="13:14">
      <c r="M2439" s="3588"/>
      <c r="N2439" s="3566"/>
    </row>
    <row r="2440" spans="13:14">
      <c r="M2440" s="3588"/>
      <c r="N2440" s="3566"/>
    </row>
    <row r="2441" spans="13:14">
      <c r="M2441" s="3588"/>
      <c r="N2441" s="3566"/>
    </row>
    <row r="2442" spans="13:14">
      <c r="M2442" s="3588"/>
      <c r="N2442" s="3566"/>
    </row>
    <row r="2443" spans="13:14">
      <c r="M2443" s="3588"/>
      <c r="N2443" s="3566"/>
    </row>
    <row r="2444" spans="13:14">
      <c r="M2444" s="3588"/>
      <c r="N2444" s="3566"/>
    </row>
    <row r="2445" spans="13:14">
      <c r="M2445" s="3588"/>
      <c r="N2445" s="3566"/>
    </row>
    <row r="2446" spans="13:14">
      <c r="M2446" s="3588"/>
      <c r="N2446" s="3566"/>
    </row>
    <row r="2447" spans="13:14">
      <c r="M2447" s="3588"/>
      <c r="N2447" s="3566"/>
    </row>
    <row r="2448" spans="13:14">
      <c r="M2448" s="3588"/>
      <c r="N2448" s="3566"/>
    </row>
    <row r="2449" spans="13:14">
      <c r="M2449" s="3588"/>
      <c r="N2449" s="3566"/>
    </row>
    <row r="2450" spans="13:14">
      <c r="M2450" s="3588"/>
      <c r="N2450" s="3566"/>
    </row>
    <row r="2451" spans="13:14">
      <c r="M2451" s="3588"/>
      <c r="N2451" s="3566"/>
    </row>
    <row r="2452" spans="13:14">
      <c r="M2452" s="3588"/>
      <c r="N2452" s="3566"/>
    </row>
    <row r="2453" spans="13:14">
      <c r="M2453" s="3588"/>
      <c r="N2453" s="3566"/>
    </row>
    <row r="2454" spans="13:14">
      <c r="M2454" s="3588"/>
      <c r="N2454" s="3566"/>
    </row>
    <row r="2455" spans="13:14">
      <c r="M2455" s="3588"/>
      <c r="N2455" s="3566"/>
    </row>
    <row r="2456" spans="13:14">
      <c r="M2456" s="3588"/>
      <c r="N2456" s="3566"/>
    </row>
    <row r="2457" spans="13:14">
      <c r="M2457" s="3588"/>
      <c r="N2457" s="3566"/>
    </row>
    <row r="2458" spans="13:14">
      <c r="M2458" s="3588"/>
      <c r="N2458" s="3566"/>
    </row>
    <row r="2459" spans="13:14">
      <c r="M2459" s="3588"/>
      <c r="N2459" s="3566"/>
    </row>
    <row r="2460" spans="13:14">
      <c r="M2460" s="3588"/>
      <c r="N2460" s="3566"/>
    </row>
    <row r="2461" spans="13:14">
      <c r="M2461" s="3588"/>
      <c r="N2461" s="3566"/>
    </row>
    <row r="2462" spans="13:14">
      <c r="M2462" s="3588"/>
      <c r="N2462" s="3566"/>
    </row>
    <row r="2463" spans="13:14">
      <c r="M2463" s="3588"/>
      <c r="N2463" s="3566"/>
    </row>
    <row r="2464" spans="13:14">
      <c r="M2464" s="3588"/>
      <c r="N2464" s="3566"/>
    </row>
    <row r="2465" spans="13:14">
      <c r="M2465" s="3588"/>
      <c r="N2465" s="3566"/>
    </row>
    <row r="2466" spans="13:14">
      <c r="M2466" s="3588"/>
      <c r="N2466" s="3566"/>
    </row>
    <row r="2467" spans="13:14">
      <c r="M2467" s="3588"/>
      <c r="N2467" s="3566"/>
    </row>
    <row r="2468" spans="13:14">
      <c r="M2468" s="3588"/>
      <c r="N2468" s="3566"/>
    </row>
    <row r="2469" spans="13:14">
      <c r="M2469" s="3588"/>
      <c r="N2469" s="3566"/>
    </row>
    <row r="2470" spans="13:14">
      <c r="M2470" s="3588"/>
      <c r="N2470" s="3566"/>
    </row>
    <row r="2471" spans="13:14">
      <c r="M2471" s="3588"/>
      <c r="N2471" s="3566"/>
    </row>
    <row r="2472" spans="13:14">
      <c r="M2472" s="3588"/>
      <c r="N2472" s="3566"/>
    </row>
    <row r="2473" spans="13:14">
      <c r="M2473" s="3588"/>
      <c r="N2473" s="3566"/>
    </row>
    <row r="2474" spans="13:14">
      <c r="M2474" s="3588"/>
      <c r="N2474" s="3566"/>
    </row>
    <row r="2475" spans="13:14">
      <c r="M2475" s="3588"/>
      <c r="N2475" s="3566"/>
    </row>
    <row r="2476" spans="13:14">
      <c r="M2476" s="3588"/>
      <c r="N2476" s="3566"/>
    </row>
    <row r="2477" spans="13:14">
      <c r="M2477" s="3588"/>
      <c r="N2477" s="3566"/>
    </row>
    <row r="2478" spans="13:14">
      <c r="M2478" s="3588"/>
      <c r="N2478" s="3566"/>
    </row>
    <row r="2479" spans="13:14">
      <c r="M2479" s="3588"/>
      <c r="N2479" s="3566"/>
    </row>
    <row r="2480" spans="13:14">
      <c r="M2480" s="3588"/>
      <c r="N2480" s="3566"/>
    </row>
    <row r="2481" spans="13:14">
      <c r="M2481" s="3588"/>
      <c r="N2481" s="3566"/>
    </row>
    <row r="2482" spans="13:14">
      <c r="M2482" s="3588"/>
      <c r="N2482" s="3566"/>
    </row>
    <row r="2483" spans="13:14">
      <c r="M2483" s="3588"/>
      <c r="N2483" s="3566"/>
    </row>
    <row r="2484" spans="13:14">
      <c r="M2484" s="3588"/>
      <c r="N2484" s="3566"/>
    </row>
    <row r="2485" spans="13:14">
      <c r="M2485" s="3588"/>
      <c r="N2485" s="3566"/>
    </row>
    <row r="2486" spans="13:14">
      <c r="M2486" s="3588"/>
      <c r="N2486" s="3566"/>
    </row>
    <row r="2487" spans="13:14">
      <c r="M2487" s="3588"/>
      <c r="N2487" s="3566"/>
    </row>
    <row r="2488" spans="13:14">
      <c r="M2488" s="3588"/>
      <c r="N2488" s="3566"/>
    </row>
    <row r="2489" spans="13:14">
      <c r="M2489" s="3588"/>
      <c r="N2489" s="3566"/>
    </row>
    <row r="2490" spans="13:14">
      <c r="M2490" s="3588"/>
      <c r="N2490" s="3566"/>
    </row>
    <row r="2491" spans="13:14">
      <c r="M2491" s="3588"/>
      <c r="N2491" s="3566"/>
    </row>
    <row r="2492" spans="13:14">
      <c r="M2492" s="3588"/>
      <c r="N2492" s="3566"/>
    </row>
    <row r="2493" spans="13:14">
      <c r="M2493" s="3588"/>
      <c r="N2493" s="3566"/>
    </row>
    <row r="2494" spans="13:14">
      <c r="M2494" s="3588"/>
      <c r="N2494" s="3566"/>
    </row>
    <row r="2495" spans="13:14">
      <c r="M2495" s="3588"/>
      <c r="N2495" s="3566"/>
    </row>
    <row r="2496" spans="13:14">
      <c r="M2496" s="3588"/>
      <c r="N2496" s="3566"/>
    </row>
    <row r="2497" spans="13:14">
      <c r="M2497" s="3588"/>
      <c r="N2497" s="3566"/>
    </row>
    <row r="2498" spans="13:14">
      <c r="M2498" s="3588"/>
      <c r="N2498" s="3566"/>
    </row>
    <row r="2499" spans="13:14">
      <c r="M2499" s="3588"/>
      <c r="N2499" s="3566"/>
    </row>
    <row r="2500" spans="13:14">
      <c r="M2500" s="3588"/>
      <c r="N2500" s="3566"/>
    </row>
    <row r="2501" spans="13:14">
      <c r="M2501" s="3588"/>
      <c r="N2501" s="3566"/>
    </row>
    <row r="2502" spans="13:14">
      <c r="M2502" s="3588"/>
      <c r="N2502" s="3566"/>
    </row>
    <row r="2503" spans="13:14">
      <c r="M2503" s="3588"/>
      <c r="N2503" s="3566"/>
    </row>
    <row r="2504" spans="13:14">
      <c r="M2504" s="3588"/>
      <c r="N2504" s="3566"/>
    </row>
    <row r="2505" spans="13:14">
      <c r="M2505" s="3588"/>
      <c r="N2505" s="3566"/>
    </row>
    <row r="2506" spans="13:14">
      <c r="M2506" s="3588"/>
      <c r="N2506" s="3566"/>
    </row>
    <row r="2507" spans="13:14">
      <c r="M2507" s="3588"/>
      <c r="N2507" s="3566"/>
    </row>
    <row r="2508" spans="13:14">
      <c r="M2508" s="3588"/>
      <c r="N2508" s="3566"/>
    </row>
    <row r="2509" spans="13:14">
      <c r="M2509" s="3588"/>
      <c r="N2509" s="3566"/>
    </row>
    <row r="2510" spans="13:14">
      <c r="M2510" s="3588"/>
      <c r="N2510" s="3566"/>
    </row>
    <row r="2511" spans="13:14">
      <c r="M2511" s="3588"/>
      <c r="N2511" s="3566"/>
    </row>
    <row r="2512" spans="13:14">
      <c r="M2512" s="3588"/>
      <c r="N2512" s="3566"/>
    </row>
    <row r="2513" spans="13:14">
      <c r="M2513" s="3588"/>
      <c r="N2513" s="3566"/>
    </row>
    <row r="2514" spans="13:14">
      <c r="M2514" s="3588"/>
      <c r="N2514" s="3566"/>
    </row>
    <row r="2515" spans="13:14">
      <c r="M2515" s="3588"/>
      <c r="N2515" s="3566"/>
    </row>
    <row r="2516" spans="13:14">
      <c r="M2516" s="3588"/>
      <c r="N2516" s="3566"/>
    </row>
    <row r="2517" spans="13:14">
      <c r="M2517" s="3588"/>
      <c r="N2517" s="3566"/>
    </row>
    <row r="2518" spans="13:14">
      <c r="M2518" s="3588"/>
      <c r="N2518" s="3566"/>
    </row>
    <row r="2519" spans="13:14">
      <c r="M2519" s="3588"/>
      <c r="N2519" s="3566"/>
    </row>
    <row r="2520" spans="13:14">
      <c r="M2520" s="3588"/>
      <c r="N2520" s="3566"/>
    </row>
    <row r="2521" spans="13:14">
      <c r="M2521" s="3588"/>
      <c r="N2521" s="3566"/>
    </row>
    <row r="2522" spans="13:14">
      <c r="M2522" s="3588"/>
      <c r="N2522" s="3566"/>
    </row>
    <row r="2523" spans="13:14">
      <c r="M2523" s="3588"/>
      <c r="N2523" s="3566"/>
    </row>
    <row r="2524" spans="13:14">
      <c r="M2524" s="3588"/>
      <c r="N2524" s="3566"/>
    </row>
    <row r="2525" spans="13:14">
      <c r="M2525" s="3588"/>
      <c r="N2525" s="3566"/>
    </row>
    <row r="2526" spans="13:14">
      <c r="M2526" s="3588"/>
      <c r="N2526" s="3566"/>
    </row>
    <row r="2527" spans="13:14">
      <c r="M2527" s="3588"/>
      <c r="N2527" s="3566"/>
    </row>
    <row r="2528" spans="13:14">
      <c r="M2528" s="3588"/>
      <c r="N2528" s="3566"/>
    </row>
    <row r="2529" spans="13:14">
      <c r="M2529" s="3588"/>
      <c r="N2529" s="3566"/>
    </row>
    <row r="2530" spans="13:14">
      <c r="M2530" s="3588"/>
      <c r="N2530" s="3566"/>
    </row>
    <row r="2531" spans="13:14">
      <c r="M2531" s="3588"/>
      <c r="N2531" s="3566"/>
    </row>
    <row r="2532" spans="13:14">
      <c r="M2532" s="3588"/>
      <c r="N2532" s="3566"/>
    </row>
    <row r="2533" spans="13:14">
      <c r="M2533" s="3588"/>
      <c r="N2533" s="3566"/>
    </row>
    <row r="2534" spans="13:14">
      <c r="M2534" s="3588"/>
      <c r="N2534" s="3566"/>
    </row>
    <row r="2535" spans="13:14">
      <c r="M2535" s="3588"/>
      <c r="N2535" s="3566"/>
    </row>
    <row r="2536" spans="13:14">
      <c r="M2536" s="3588"/>
      <c r="N2536" s="3566"/>
    </row>
    <row r="2537" spans="13:14">
      <c r="M2537" s="3588"/>
      <c r="N2537" s="3566"/>
    </row>
    <row r="2538" spans="13:14">
      <c r="M2538" s="3588"/>
      <c r="N2538" s="3566"/>
    </row>
    <row r="2539" spans="13:14">
      <c r="M2539" s="3588"/>
      <c r="N2539" s="3566"/>
    </row>
    <row r="2540" spans="13:14">
      <c r="M2540" s="3588"/>
      <c r="N2540" s="3566"/>
    </row>
    <row r="2541" spans="13:14">
      <c r="M2541" s="3588"/>
      <c r="N2541" s="3566"/>
    </row>
    <row r="2542" spans="13:14">
      <c r="M2542" s="3588"/>
      <c r="N2542" s="3566"/>
    </row>
    <row r="2543" spans="13:14">
      <c r="M2543" s="3588"/>
      <c r="N2543" s="3566"/>
    </row>
    <row r="2544" spans="13:14">
      <c r="M2544" s="3588"/>
      <c r="N2544" s="3566"/>
    </row>
    <row r="2545" spans="13:14">
      <c r="M2545" s="3588"/>
      <c r="N2545" s="3566"/>
    </row>
    <row r="2546" spans="13:14">
      <c r="M2546" s="3588"/>
      <c r="N2546" s="3566"/>
    </row>
    <row r="2547" spans="13:14">
      <c r="M2547" s="3588"/>
      <c r="N2547" s="3566"/>
    </row>
    <row r="2548" spans="13:14">
      <c r="M2548" s="3588"/>
      <c r="N2548" s="3566"/>
    </row>
    <row r="2549" spans="13:14">
      <c r="M2549" s="3588"/>
      <c r="N2549" s="3566"/>
    </row>
    <row r="2550" spans="13:14">
      <c r="M2550" s="3588"/>
      <c r="N2550" s="3566"/>
    </row>
    <row r="2551" spans="13:14">
      <c r="M2551" s="3588"/>
      <c r="N2551" s="3566"/>
    </row>
    <row r="2552" spans="13:14">
      <c r="M2552" s="3588"/>
      <c r="N2552" s="3566"/>
    </row>
    <row r="2553" spans="13:14">
      <c r="M2553" s="3588"/>
      <c r="N2553" s="3566"/>
    </row>
    <row r="2554" spans="13:14">
      <c r="M2554" s="3588"/>
      <c r="N2554" s="3566"/>
    </row>
    <row r="2555" spans="13:14">
      <c r="M2555" s="3588"/>
      <c r="N2555" s="3566"/>
    </row>
    <row r="2556" spans="13:14">
      <c r="M2556" s="3588"/>
      <c r="N2556" s="3566"/>
    </row>
    <row r="2557" spans="13:14">
      <c r="M2557" s="3588"/>
      <c r="N2557" s="3566"/>
    </row>
    <row r="2558" spans="13:14">
      <c r="M2558" s="3588"/>
      <c r="N2558" s="3566"/>
    </row>
    <row r="2559" spans="13:14">
      <c r="M2559" s="3588"/>
      <c r="N2559" s="3566"/>
    </row>
    <row r="2560" spans="13:14">
      <c r="M2560" s="3588"/>
      <c r="N2560" s="3566"/>
    </row>
    <row r="2561" spans="13:14">
      <c r="M2561" s="3588"/>
      <c r="N2561" s="3566"/>
    </row>
    <row r="2562" spans="13:14">
      <c r="M2562" s="3588"/>
      <c r="N2562" s="3566"/>
    </row>
    <row r="2563" spans="13:14">
      <c r="M2563" s="3588"/>
      <c r="N2563" s="3566"/>
    </row>
    <row r="2564" spans="13:14">
      <c r="M2564" s="3588"/>
      <c r="N2564" s="3566"/>
    </row>
    <row r="2565" spans="13:14">
      <c r="M2565" s="3588"/>
      <c r="N2565" s="3566"/>
    </row>
    <row r="2566" spans="13:14">
      <c r="M2566" s="3588"/>
      <c r="N2566" s="3566"/>
    </row>
    <row r="2567" spans="13:14">
      <c r="M2567" s="3588"/>
      <c r="N2567" s="3566"/>
    </row>
    <row r="2568" spans="13:14">
      <c r="M2568" s="3588"/>
      <c r="N2568" s="3566"/>
    </row>
    <row r="2569" spans="13:14">
      <c r="M2569" s="3588"/>
      <c r="N2569" s="3566"/>
    </row>
    <row r="2570" spans="13:14">
      <c r="M2570" s="3588"/>
      <c r="N2570" s="3566"/>
    </row>
    <row r="2571" spans="13:14">
      <c r="M2571" s="3588"/>
      <c r="N2571" s="3566"/>
    </row>
    <row r="2572" spans="13:14">
      <c r="M2572" s="3588"/>
      <c r="N2572" s="3566"/>
    </row>
    <row r="2573" spans="13:14">
      <c r="M2573" s="3588"/>
      <c r="N2573" s="3566"/>
    </row>
    <row r="2574" spans="13:14">
      <c r="M2574" s="3588"/>
      <c r="N2574" s="3566"/>
    </row>
    <row r="2575" spans="13:14">
      <c r="M2575" s="3588"/>
      <c r="N2575" s="3566"/>
    </row>
    <row r="2576" spans="13:14">
      <c r="M2576" s="3588"/>
      <c r="N2576" s="3566"/>
    </row>
    <row r="2577" spans="13:14">
      <c r="M2577" s="3588"/>
      <c r="N2577" s="3566"/>
    </row>
    <row r="2578" spans="13:14">
      <c r="M2578" s="3588"/>
      <c r="N2578" s="3566"/>
    </row>
    <row r="2579" spans="13:14">
      <c r="M2579" s="3588"/>
      <c r="N2579" s="3566"/>
    </row>
    <row r="2580" spans="13:14">
      <c r="M2580" s="3588"/>
      <c r="N2580" s="3566"/>
    </row>
    <row r="2581" spans="13:14">
      <c r="M2581" s="3588"/>
      <c r="N2581" s="3566"/>
    </row>
    <row r="2582" spans="13:14">
      <c r="M2582" s="3588"/>
      <c r="N2582" s="3566"/>
    </row>
    <row r="2583" spans="13:14">
      <c r="M2583" s="3588"/>
      <c r="N2583" s="3566"/>
    </row>
    <row r="2584" spans="13:14">
      <c r="M2584" s="3588"/>
      <c r="N2584" s="3566"/>
    </row>
    <row r="2585" spans="13:14">
      <c r="M2585" s="3588"/>
      <c r="N2585" s="3566"/>
    </row>
    <row r="2586" spans="13:14">
      <c r="M2586" s="3588"/>
      <c r="N2586" s="3566"/>
    </row>
    <row r="2587" spans="13:14">
      <c r="M2587" s="3588"/>
      <c r="N2587" s="3566"/>
    </row>
    <row r="2588" spans="13:14">
      <c r="M2588" s="3588"/>
      <c r="N2588" s="3566"/>
    </row>
    <row r="2589" spans="13:14">
      <c r="M2589" s="3588"/>
      <c r="N2589" s="3566"/>
    </row>
    <row r="2590" spans="13:14">
      <c r="M2590" s="3588"/>
      <c r="N2590" s="3566"/>
    </row>
    <row r="2591" spans="13:14">
      <c r="M2591" s="3588"/>
      <c r="N2591" s="3566"/>
    </row>
    <row r="2592" spans="13:14">
      <c r="M2592" s="3588"/>
      <c r="N2592" s="3566"/>
    </row>
    <row r="2593" spans="13:14">
      <c r="M2593" s="3588"/>
      <c r="N2593" s="3566"/>
    </row>
    <row r="2594" spans="13:14">
      <c r="M2594" s="3588"/>
      <c r="N2594" s="3566"/>
    </row>
    <row r="2595" spans="13:14">
      <c r="M2595" s="3588"/>
      <c r="N2595" s="3566"/>
    </row>
    <row r="2596" spans="13:14">
      <c r="M2596" s="3588"/>
      <c r="N2596" s="3566"/>
    </row>
    <row r="2597" spans="13:14">
      <c r="M2597" s="3588"/>
      <c r="N2597" s="3566"/>
    </row>
    <row r="2598" spans="13:14">
      <c r="M2598" s="3588"/>
      <c r="N2598" s="3566"/>
    </row>
    <row r="2599" spans="13:14">
      <c r="M2599" s="3588"/>
      <c r="N2599" s="3566"/>
    </row>
    <row r="2600" spans="13:14">
      <c r="M2600" s="3588"/>
      <c r="N2600" s="3566"/>
    </row>
    <row r="2601" spans="13:14">
      <c r="M2601" s="3588"/>
      <c r="N2601" s="3566"/>
    </row>
    <row r="2602" spans="13:14">
      <c r="M2602" s="3588"/>
      <c r="N2602" s="3566"/>
    </row>
    <row r="2603" spans="13:14">
      <c r="M2603" s="3588"/>
      <c r="N2603" s="3566"/>
    </row>
    <row r="2604" spans="13:14">
      <c r="M2604" s="3588"/>
      <c r="N2604" s="3566"/>
    </row>
    <row r="2605" spans="13:14">
      <c r="M2605" s="3588"/>
      <c r="N2605" s="3566"/>
    </row>
    <row r="2606" spans="13:14">
      <c r="M2606" s="3588"/>
      <c r="N2606" s="3566"/>
    </row>
    <row r="2607" spans="13:14">
      <c r="M2607" s="3588"/>
      <c r="N2607" s="3566"/>
    </row>
    <row r="2608" spans="13:14">
      <c r="M2608" s="3588"/>
      <c r="N2608" s="3566"/>
    </row>
    <row r="2609" spans="13:14">
      <c r="M2609" s="3588"/>
      <c r="N2609" s="3566"/>
    </row>
    <row r="2610" spans="13:14">
      <c r="M2610" s="3588"/>
      <c r="N2610" s="3566"/>
    </row>
    <row r="2611" spans="13:14">
      <c r="M2611" s="3588"/>
      <c r="N2611" s="3566"/>
    </row>
    <row r="2612" spans="13:14">
      <c r="M2612" s="3588"/>
      <c r="N2612" s="3566"/>
    </row>
    <row r="2613" spans="13:14">
      <c r="M2613" s="3588"/>
      <c r="N2613" s="3566"/>
    </row>
    <row r="2614" spans="13:14">
      <c r="M2614" s="3588"/>
      <c r="N2614" s="3566"/>
    </row>
    <row r="2615" spans="13:14">
      <c r="M2615" s="3588"/>
      <c r="N2615" s="3566"/>
    </row>
    <row r="2616" spans="13:14">
      <c r="M2616" s="3588"/>
      <c r="N2616" s="3566"/>
    </row>
    <row r="2617" spans="13:14">
      <c r="M2617" s="3588"/>
      <c r="N2617" s="3566"/>
    </row>
    <row r="2618" spans="13:14">
      <c r="M2618" s="3588"/>
      <c r="N2618" s="3566"/>
    </row>
    <row r="2619" spans="13:14">
      <c r="M2619" s="3588"/>
      <c r="N2619" s="3566"/>
    </row>
    <row r="2620" spans="13:14">
      <c r="M2620" s="3588"/>
      <c r="N2620" s="3566"/>
    </row>
    <row r="2621" spans="13:14">
      <c r="M2621" s="3588"/>
      <c r="N2621" s="3566"/>
    </row>
    <row r="2622" spans="13:14">
      <c r="M2622" s="3588"/>
      <c r="N2622" s="3566"/>
    </row>
    <row r="2623" spans="13:14">
      <c r="M2623" s="3588"/>
      <c r="N2623" s="3566"/>
    </row>
    <row r="2624" spans="13:14">
      <c r="M2624" s="3588"/>
      <c r="N2624" s="3566"/>
    </row>
    <row r="2625" spans="13:14">
      <c r="M2625" s="3588"/>
      <c r="N2625" s="3566"/>
    </row>
    <row r="2626" spans="13:14">
      <c r="M2626" s="3588"/>
      <c r="N2626" s="3566"/>
    </row>
    <row r="2627" spans="13:14">
      <c r="M2627" s="3588"/>
      <c r="N2627" s="3566"/>
    </row>
    <row r="2628" spans="13:14">
      <c r="M2628" s="3588"/>
      <c r="N2628" s="3566"/>
    </row>
    <row r="2629" spans="13:14">
      <c r="M2629" s="3588"/>
      <c r="N2629" s="3566"/>
    </row>
    <row r="2630" spans="13:14">
      <c r="M2630" s="3588"/>
      <c r="N2630" s="3566"/>
    </row>
    <row r="2631" spans="13:14">
      <c r="M2631" s="3588"/>
      <c r="N2631" s="3566"/>
    </row>
    <row r="2632" spans="13:14">
      <c r="M2632" s="3588"/>
      <c r="N2632" s="3566"/>
    </row>
    <row r="2633" spans="13:14">
      <c r="M2633" s="3588"/>
      <c r="N2633" s="3566"/>
    </row>
    <row r="2634" spans="13:14">
      <c r="M2634" s="3588"/>
      <c r="N2634" s="3566"/>
    </row>
    <row r="2635" spans="13:14">
      <c r="M2635" s="3588"/>
      <c r="N2635" s="3566"/>
    </row>
    <row r="2636" spans="13:14">
      <c r="M2636" s="3588"/>
      <c r="N2636" s="3566"/>
    </row>
    <row r="2637" spans="13:14">
      <c r="M2637" s="3588"/>
      <c r="N2637" s="3566"/>
    </row>
    <row r="2638" spans="13:14">
      <c r="M2638" s="3588"/>
      <c r="N2638" s="3566"/>
    </row>
    <row r="2639" spans="13:14">
      <c r="M2639" s="3588"/>
      <c r="N2639" s="3566"/>
    </row>
    <row r="2640" spans="13:14">
      <c r="M2640" s="3588"/>
      <c r="N2640" s="3566"/>
    </row>
    <row r="2641" spans="13:14">
      <c r="M2641" s="3588"/>
      <c r="N2641" s="3566"/>
    </row>
    <row r="2642" spans="13:14">
      <c r="M2642" s="3588"/>
      <c r="N2642" s="3566"/>
    </row>
    <row r="2643" spans="13:14">
      <c r="M2643" s="3588"/>
      <c r="N2643" s="3566"/>
    </row>
    <row r="2644" spans="13:14">
      <c r="M2644" s="3588"/>
      <c r="N2644" s="3566"/>
    </row>
    <row r="2645" spans="13:14">
      <c r="M2645" s="3588"/>
      <c r="N2645" s="3566"/>
    </row>
    <row r="2646" spans="13:14">
      <c r="M2646" s="3588"/>
      <c r="N2646" s="3566"/>
    </row>
    <row r="2647" spans="13:14">
      <c r="M2647" s="3588"/>
      <c r="N2647" s="3566"/>
    </row>
    <row r="2648" spans="13:14">
      <c r="M2648" s="3588"/>
      <c r="N2648" s="3566"/>
    </row>
    <row r="2649" spans="13:14">
      <c r="M2649" s="3588"/>
      <c r="N2649" s="3566"/>
    </row>
    <row r="2650" spans="13:14">
      <c r="M2650" s="3588"/>
      <c r="N2650" s="3566"/>
    </row>
    <row r="2651" spans="13:14">
      <c r="M2651" s="3588"/>
      <c r="N2651" s="3566"/>
    </row>
    <row r="2652" spans="13:14">
      <c r="M2652" s="3588"/>
      <c r="N2652" s="3566"/>
    </row>
    <row r="2653" spans="13:14">
      <c r="M2653" s="3588"/>
      <c r="N2653" s="3566"/>
    </row>
    <row r="2654" spans="13:14">
      <c r="M2654" s="3588"/>
      <c r="N2654" s="3566"/>
    </row>
    <row r="2655" spans="13:14">
      <c r="M2655" s="3588"/>
      <c r="N2655" s="3566"/>
    </row>
    <row r="2656" spans="13:14">
      <c r="M2656" s="3588"/>
      <c r="N2656" s="3566"/>
    </row>
    <row r="2657" spans="13:14">
      <c r="M2657" s="3588"/>
      <c r="N2657" s="3566"/>
    </row>
    <row r="2658" spans="13:14">
      <c r="M2658" s="3588"/>
      <c r="N2658" s="3566"/>
    </row>
    <row r="2659" spans="13:14">
      <c r="M2659" s="3588"/>
      <c r="N2659" s="3566"/>
    </row>
    <row r="2660" spans="13:14">
      <c r="M2660" s="3588"/>
      <c r="N2660" s="3566"/>
    </row>
    <row r="2661" spans="13:14">
      <c r="M2661" s="3588"/>
      <c r="N2661" s="3566"/>
    </row>
    <row r="2662" spans="13:14">
      <c r="M2662" s="3588"/>
      <c r="N2662" s="3566"/>
    </row>
    <row r="2663" spans="13:14">
      <c r="M2663" s="3588"/>
      <c r="N2663" s="3566"/>
    </row>
    <row r="2664" spans="13:14">
      <c r="M2664" s="3588"/>
      <c r="N2664" s="3566"/>
    </row>
    <row r="2665" spans="13:14">
      <c r="M2665" s="3588"/>
      <c r="N2665" s="3566"/>
    </row>
    <row r="2666" spans="13:14">
      <c r="M2666" s="3588"/>
      <c r="N2666" s="3566"/>
    </row>
    <row r="2667" spans="13:14">
      <c r="M2667" s="3588"/>
      <c r="N2667" s="3566"/>
    </row>
    <row r="2668" spans="13:14">
      <c r="M2668" s="3588"/>
      <c r="N2668" s="3566"/>
    </row>
    <row r="2669" spans="13:14">
      <c r="M2669" s="3588"/>
      <c r="N2669" s="3566"/>
    </row>
    <row r="2670" spans="13:14">
      <c r="M2670" s="3588"/>
      <c r="N2670" s="3566"/>
    </row>
    <row r="2671" spans="13:14">
      <c r="M2671" s="3588"/>
      <c r="N2671" s="3566"/>
    </row>
    <row r="2672" spans="13:14">
      <c r="M2672" s="3588"/>
      <c r="N2672" s="3566"/>
    </row>
    <row r="2673" spans="13:14">
      <c r="M2673" s="3588"/>
      <c r="N2673" s="3566"/>
    </row>
    <row r="2674" spans="13:14">
      <c r="M2674" s="3588"/>
      <c r="N2674" s="3566"/>
    </row>
    <row r="2675" spans="13:14">
      <c r="M2675" s="3588"/>
      <c r="N2675" s="3566"/>
    </row>
    <row r="2676" spans="13:14">
      <c r="M2676" s="3588"/>
      <c r="N2676" s="3566"/>
    </row>
    <row r="2677" spans="13:14">
      <c r="M2677" s="3588"/>
      <c r="N2677" s="3566"/>
    </row>
    <row r="2678" spans="13:14">
      <c r="M2678" s="3588"/>
      <c r="N2678" s="3566"/>
    </row>
    <row r="2679" spans="13:14">
      <c r="M2679" s="3588"/>
      <c r="N2679" s="3566"/>
    </row>
    <row r="2680" spans="13:14">
      <c r="M2680" s="3588"/>
      <c r="N2680" s="3566"/>
    </row>
    <row r="2681" spans="13:14">
      <c r="M2681" s="3588"/>
      <c r="N2681" s="3566"/>
    </row>
    <row r="2682" spans="13:14">
      <c r="M2682" s="3588"/>
      <c r="N2682" s="3566"/>
    </row>
    <row r="2683" spans="13:14">
      <c r="M2683" s="3588"/>
      <c r="N2683" s="3566"/>
    </row>
    <row r="2684" spans="13:14">
      <c r="M2684" s="3588"/>
      <c r="N2684" s="3566"/>
    </row>
    <row r="2685" spans="13:14">
      <c r="M2685" s="3588"/>
      <c r="N2685" s="3566"/>
    </row>
    <row r="2686" spans="13:14">
      <c r="M2686" s="3588"/>
      <c r="N2686" s="3566"/>
    </row>
    <row r="2687" spans="13:14">
      <c r="M2687" s="3588"/>
      <c r="N2687" s="3566"/>
    </row>
    <row r="2688" spans="13:14">
      <c r="M2688" s="3588"/>
      <c r="N2688" s="3566"/>
    </row>
    <row r="2689" spans="13:14">
      <c r="M2689" s="3588"/>
      <c r="N2689" s="3566"/>
    </row>
    <row r="2690" spans="13:14">
      <c r="M2690" s="3588"/>
      <c r="N2690" s="3566"/>
    </row>
    <row r="2691" spans="13:14">
      <c r="M2691" s="3588"/>
      <c r="N2691" s="3566"/>
    </row>
    <row r="2692" spans="13:14">
      <c r="M2692" s="3588"/>
      <c r="N2692" s="3566"/>
    </row>
    <row r="2693" spans="13:14">
      <c r="M2693" s="3588"/>
      <c r="N2693" s="3566"/>
    </row>
    <row r="2694" spans="13:14">
      <c r="M2694" s="3588"/>
      <c r="N2694" s="3566"/>
    </row>
    <row r="2695" spans="13:14">
      <c r="M2695" s="3588"/>
      <c r="N2695" s="3566"/>
    </row>
    <row r="2696" spans="13:14">
      <c r="M2696" s="3588"/>
      <c r="N2696" s="3566"/>
    </row>
    <row r="2697" spans="13:14">
      <c r="M2697" s="3588"/>
      <c r="N2697" s="3566"/>
    </row>
    <row r="2698" spans="13:14">
      <c r="M2698" s="3588"/>
      <c r="N2698" s="3566"/>
    </row>
    <row r="2699" spans="13:14">
      <c r="M2699" s="3588"/>
      <c r="N2699" s="3566"/>
    </row>
    <row r="2700" spans="13:14">
      <c r="M2700" s="3588"/>
      <c r="N2700" s="3566"/>
    </row>
    <row r="2701" spans="13:14">
      <c r="M2701" s="3588"/>
      <c r="N2701" s="3566"/>
    </row>
    <row r="2702" spans="13:14">
      <c r="M2702" s="3588"/>
      <c r="N2702" s="3566"/>
    </row>
    <row r="2703" spans="13:14">
      <c r="M2703" s="3588"/>
      <c r="N2703" s="3566"/>
    </row>
    <row r="2704" spans="13:14">
      <c r="M2704" s="3588"/>
      <c r="N2704" s="3566"/>
    </row>
    <row r="2705" spans="13:14">
      <c r="M2705" s="3588"/>
      <c r="N2705" s="3566"/>
    </row>
    <row r="2706" spans="13:14">
      <c r="M2706" s="3588"/>
      <c r="N2706" s="3566"/>
    </row>
    <row r="2707" spans="13:14">
      <c r="M2707" s="3588"/>
      <c r="N2707" s="3566"/>
    </row>
    <row r="2708" spans="13:14">
      <c r="M2708" s="3588"/>
      <c r="N2708" s="3566"/>
    </row>
    <row r="2709" spans="13:14">
      <c r="M2709" s="3588"/>
      <c r="N2709" s="3566"/>
    </row>
    <row r="2710" spans="13:14">
      <c r="M2710" s="3588"/>
      <c r="N2710" s="3566"/>
    </row>
    <row r="2711" spans="13:14">
      <c r="M2711" s="3588"/>
      <c r="N2711" s="3566"/>
    </row>
    <row r="2712" spans="13:14">
      <c r="M2712" s="3588"/>
      <c r="N2712" s="3566"/>
    </row>
    <row r="2713" spans="13:14">
      <c r="M2713" s="3588"/>
      <c r="N2713" s="3566"/>
    </row>
    <row r="2714" spans="13:14">
      <c r="M2714" s="3588"/>
      <c r="N2714" s="3566"/>
    </row>
    <row r="2715" spans="13:14">
      <c r="M2715" s="3588"/>
      <c r="N2715" s="3566"/>
    </row>
    <row r="2716" spans="13:14">
      <c r="M2716" s="3588"/>
      <c r="N2716" s="3566"/>
    </row>
    <row r="2717" spans="13:14">
      <c r="M2717" s="3588"/>
      <c r="N2717" s="3566"/>
    </row>
    <row r="2718" spans="13:14">
      <c r="M2718" s="3588"/>
      <c r="N2718" s="3566"/>
    </row>
    <row r="2719" spans="13:14">
      <c r="M2719" s="3588"/>
      <c r="N2719" s="3566"/>
    </row>
    <row r="2720" spans="13:14">
      <c r="M2720" s="3588"/>
      <c r="N2720" s="3566"/>
    </row>
    <row r="2721" spans="13:14">
      <c r="M2721" s="3588"/>
      <c r="N2721" s="3566"/>
    </row>
    <row r="2722" spans="13:14">
      <c r="M2722" s="3588"/>
      <c r="N2722" s="3566"/>
    </row>
    <row r="2723" spans="13:14">
      <c r="M2723" s="3588"/>
      <c r="N2723" s="3566"/>
    </row>
    <row r="2724" spans="13:14">
      <c r="M2724" s="3588"/>
      <c r="N2724" s="3566"/>
    </row>
    <row r="2725" spans="13:14">
      <c r="M2725" s="3588"/>
      <c r="N2725" s="3566"/>
    </row>
    <row r="2726" spans="13:14">
      <c r="M2726" s="3588"/>
      <c r="N2726" s="3566"/>
    </row>
    <row r="2727" spans="13:14">
      <c r="M2727" s="3588"/>
      <c r="N2727" s="3566"/>
    </row>
    <row r="2728" spans="13:14">
      <c r="M2728" s="3588"/>
      <c r="N2728" s="3566"/>
    </row>
    <row r="2729" spans="13:14">
      <c r="M2729" s="3588"/>
      <c r="N2729" s="3566"/>
    </row>
    <row r="2730" spans="13:14">
      <c r="M2730" s="3588"/>
      <c r="N2730" s="3566"/>
    </row>
    <row r="2731" spans="13:14">
      <c r="M2731" s="3588"/>
      <c r="N2731" s="3566"/>
    </row>
    <row r="2732" spans="13:14">
      <c r="M2732" s="3588"/>
      <c r="N2732" s="3566"/>
    </row>
    <row r="2733" spans="13:14">
      <c r="M2733" s="3588"/>
      <c r="N2733" s="3566"/>
    </row>
    <row r="2734" spans="13:14">
      <c r="M2734" s="3588"/>
      <c r="N2734" s="3566"/>
    </row>
    <row r="2735" spans="13:14">
      <c r="M2735" s="3588"/>
      <c r="N2735" s="3566"/>
    </row>
    <row r="2736" spans="13:14">
      <c r="M2736" s="3588"/>
      <c r="N2736" s="3566"/>
    </row>
    <row r="2737" spans="13:14">
      <c r="M2737" s="3588"/>
      <c r="N2737" s="3566"/>
    </row>
    <row r="2738" spans="13:14">
      <c r="M2738" s="3588"/>
      <c r="N2738" s="3566"/>
    </row>
    <row r="2739" spans="13:14">
      <c r="M2739" s="3588"/>
      <c r="N2739" s="3566"/>
    </row>
    <row r="2740" spans="13:14">
      <c r="M2740" s="3588"/>
      <c r="N2740" s="3566"/>
    </row>
    <row r="2741" spans="13:14">
      <c r="M2741" s="3588"/>
      <c r="N2741" s="3566"/>
    </row>
    <row r="2742" spans="13:14">
      <c r="M2742" s="3588"/>
      <c r="N2742" s="3566"/>
    </row>
    <row r="2743" spans="13:14">
      <c r="M2743" s="3588"/>
      <c r="N2743" s="3566"/>
    </row>
    <row r="2744" spans="13:14">
      <c r="M2744" s="3588"/>
      <c r="N2744" s="3566"/>
    </row>
    <row r="2745" spans="13:14">
      <c r="M2745" s="3588"/>
      <c r="N2745" s="3566"/>
    </row>
    <row r="2746" spans="13:14">
      <c r="M2746" s="3588"/>
      <c r="N2746" s="3566"/>
    </row>
    <row r="2747" spans="13:14">
      <c r="M2747" s="3588"/>
      <c r="N2747" s="3566"/>
    </row>
    <row r="2748" spans="13:14">
      <c r="M2748" s="3588"/>
      <c r="N2748" s="3566"/>
    </row>
    <row r="2749" spans="13:14">
      <c r="M2749" s="3588"/>
      <c r="N2749" s="3566"/>
    </row>
    <row r="2750" spans="13:14">
      <c r="M2750" s="3588"/>
      <c r="N2750" s="3566"/>
    </row>
    <row r="2751" spans="13:14">
      <c r="M2751" s="3588"/>
      <c r="N2751" s="3566"/>
    </row>
    <row r="2752" spans="13:14">
      <c r="M2752" s="3588"/>
      <c r="N2752" s="3566"/>
    </row>
    <row r="2753" spans="13:14">
      <c r="M2753" s="3588"/>
      <c r="N2753" s="3566"/>
    </row>
    <row r="2754" spans="13:14">
      <c r="M2754" s="3588"/>
      <c r="N2754" s="3566"/>
    </row>
    <row r="2755" spans="13:14">
      <c r="M2755" s="3588"/>
      <c r="N2755" s="3566"/>
    </row>
    <row r="2756" spans="13:14">
      <c r="M2756" s="3588"/>
      <c r="N2756" s="3566"/>
    </row>
    <row r="2757" spans="13:14">
      <c r="M2757" s="3588"/>
      <c r="N2757" s="3566"/>
    </row>
    <row r="2758" spans="13:14">
      <c r="M2758" s="3588"/>
      <c r="N2758" s="3566"/>
    </row>
    <row r="2759" spans="13:14">
      <c r="M2759" s="3588"/>
      <c r="N2759" s="3566"/>
    </row>
    <row r="2760" spans="13:14">
      <c r="M2760" s="3588"/>
      <c r="N2760" s="3566"/>
    </row>
    <row r="2761" spans="13:14">
      <c r="M2761" s="3588"/>
      <c r="N2761" s="3566"/>
    </row>
    <row r="2762" spans="13:14">
      <c r="M2762" s="3588"/>
      <c r="N2762" s="3566"/>
    </row>
    <row r="2763" spans="13:14">
      <c r="M2763" s="3588"/>
      <c r="N2763" s="3566"/>
    </row>
    <row r="2764" spans="13:14">
      <c r="M2764" s="3588"/>
      <c r="N2764" s="3566"/>
    </row>
    <row r="2765" spans="13:14">
      <c r="M2765" s="3588"/>
      <c r="N2765" s="3566"/>
    </row>
    <row r="2766" spans="13:14">
      <c r="M2766" s="3588"/>
      <c r="N2766" s="3566"/>
    </row>
    <row r="2767" spans="13:14">
      <c r="M2767" s="3588"/>
      <c r="N2767" s="3566"/>
    </row>
    <row r="2768" spans="13:14">
      <c r="M2768" s="3588"/>
      <c r="N2768" s="3566"/>
    </row>
    <row r="2769" spans="13:14">
      <c r="M2769" s="3588"/>
      <c r="N2769" s="3566"/>
    </row>
    <row r="2770" spans="13:14">
      <c r="M2770" s="3588"/>
      <c r="N2770" s="3566"/>
    </row>
    <row r="2771" spans="13:14">
      <c r="M2771" s="3588"/>
      <c r="N2771" s="3566"/>
    </row>
    <row r="2772" spans="13:14">
      <c r="M2772" s="3588"/>
      <c r="N2772" s="3566"/>
    </row>
    <row r="2773" spans="13:14">
      <c r="M2773" s="3588"/>
      <c r="N2773" s="3566"/>
    </row>
    <row r="2774" spans="13:14">
      <c r="M2774" s="3588"/>
      <c r="N2774" s="3566"/>
    </row>
    <row r="2775" spans="13:14">
      <c r="M2775" s="3588"/>
      <c r="N2775" s="3566"/>
    </row>
    <row r="2776" spans="13:14">
      <c r="M2776" s="3588"/>
      <c r="N2776" s="3566"/>
    </row>
    <row r="2777" spans="13:14">
      <c r="M2777" s="3588"/>
      <c r="N2777" s="3566"/>
    </row>
    <row r="2778" spans="13:14">
      <c r="M2778" s="3588"/>
      <c r="N2778" s="3566"/>
    </row>
    <row r="2779" spans="13:14">
      <c r="M2779" s="3588"/>
      <c r="N2779" s="3566"/>
    </row>
    <row r="2780" spans="13:14">
      <c r="M2780" s="3588"/>
      <c r="N2780" s="3566"/>
    </row>
    <row r="2781" spans="13:14">
      <c r="M2781" s="3588"/>
      <c r="N2781" s="3566"/>
    </row>
    <row r="2782" spans="13:14">
      <c r="M2782" s="3588"/>
      <c r="N2782" s="3566"/>
    </row>
    <row r="2783" spans="13:14">
      <c r="M2783" s="3588"/>
      <c r="N2783" s="3566"/>
    </row>
    <row r="2784" spans="13:14">
      <c r="M2784" s="3588"/>
      <c r="N2784" s="3566"/>
    </row>
    <row r="2785" spans="13:14">
      <c r="M2785" s="3588"/>
      <c r="N2785" s="3566"/>
    </row>
    <row r="2786" spans="13:14">
      <c r="M2786" s="3588"/>
      <c r="N2786" s="3566"/>
    </row>
    <row r="2787" spans="13:14">
      <c r="M2787" s="3588"/>
      <c r="N2787" s="3566"/>
    </row>
    <row r="2788" spans="13:14">
      <c r="M2788" s="3588"/>
      <c r="N2788" s="3566"/>
    </row>
    <row r="2789" spans="13:14">
      <c r="M2789" s="3588"/>
      <c r="N2789" s="3566"/>
    </row>
    <row r="2790" spans="13:14">
      <c r="M2790" s="3588"/>
      <c r="N2790" s="3566"/>
    </row>
    <row r="2791" spans="13:14">
      <c r="M2791" s="3588"/>
      <c r="N2791" s="3566"/>
    </row>
    <row r="2792" spans="13:14">
      <c r="M2792" s="3588"/>
      <c r="N2792" s="3566"/>
    </row>
    <row r="2793" spans="13:14">
      <c r="M2793" s="3588"/>
      <c r="N2793" s="3566"/>
    </row>
    <row r="2794" spans="13:14">
      <c r="M2794" s="3588"/>
      <c r="N2794" s="3566"/>
    </row>
    <row r="2795" spans="13:14">
      <c r="M2795" s="3588"/>
      <c r="N2795" s="3566"/>
    </row>
    <row r="2796" spans="13:14">
      <c r="M2796" s="3588"/>
      <c r="N2796" s="3566"/>
    </row>
    <row r="2797" spans="13:14">
      <c r="M2797" s="3588"/>
      <c r="N2797" s="3566"/>
    </row>
    <row r="2798" spans="13:14">
      <c r="M2798" s="3588"/>
      <c r="N2798" s="3566"/>
    </row>
    <row r="2799" spans="13:14">
      <c r="M2799" s="3588"/>
      <c r="N2799" s="3566"/>
    </row>
    <row r="2800" spans="13:14">
      <c r="M2800" s="3588"/>
      <c r="N2800" s="3566"/>
    </row>
    <row r="2801" spans="13:14">
      <c r="M2801" s="3588"/>
      <c r="N2801" s="3566"/>
    </row>
    <row r="2802" spans="13:14">
      <c r="M2802" s="3588"/>
      <c r="N2802" s="3566"/>
    </row>
    <row r="2803" spans="13:14">
      <c r="M2803" s="3588"/>
      <c r="N2803" s="3566"/>
    </row>
    <row r="2804" spans="13:14">
      <c r="M2804" s="3588"/>
      <c r="N2804" s="3566"/>
    </row>
    <row r="2805" spans="13:14">
      <c r="M2805" s="3588"/>
      <c r="N2805" s="3566"/>
    </row>
    <row r="2806" spans="13:14">
      <c r="M2806" s="3588"/>
      <c r="N2806" s="3566"/>
    </row>
    <row r="2807" spans="13:14">
      <c r="M2807" s="3588"/>
      <c r="N2807" s="3566"/>
    </row>
    <row r="2808" spans="13:14">
      <c r="M2808" s="3588"/>
      <c r="N2808" s="3566"/>
    </row>
    <row r="2809" spans="13:14">
      <c r="M2809" s="3588"/>
      <c r="N2809" s="3566"/>
    </row>
    <row r="2810" spans="13:14">
      <c r="M2810" s="3588"/>
      <c r="N2810" s="3566"/>
    </row>
    <row r="2811" spans="13:14">
      <c r="M2811" s="3588"/>
      <c r="N2811" s="3566"/>
    </row>
    <row r="2812" spans="13:14">
      <c r="M2812" s="3588"/>
      <c r="N2812" s="3566"/>
    </row>
    <row r="2813" spans="13:14">
      <c r="M2813" s="3588"/>
      <c r="N2813" s="3566"/>
    </row>
    <row r="2814" spans="13:14">
      <c r="M2814" s="3588"/>
      <c r="N2814" s="3566"/>
    </row>
    <row r="2815" spans="13:14">
      <c r="M2815" s="3588"/>
      <c r="N2815" s="3566"/>
    </row>
    <row r="2816" spans="13:14">
      <c r="M2816" s="3588"/>
      <c r="N2816" s="3566"/>
    </row>
    <row r="2817" spans="13:14">
      <c r="M2817" s="3588"/>
      <c r="N2817" s="3566"/>
    </row>
    <row r="2818" spans="13:14">
      <c r="M2818" s="3588"/>
      <c r="N2818" s="3566"/>
    </row>
    <row r="2819" spans="13:14">
      <c r="M2819" s="3588"/>
      <c r="N2819" s="3566"/>
    </row>
    <row r="2820" spans="13:14">
      <c r="M2820" s="3588"/>
      <c r="N2820" s="3566"/>
    </row>
    <row r="2821" spans="13:14">
      <c r="M2821" s="3588"/>
      <c r="N2821" s="3566"/>
    </row>
    <row r="2822" spans="13:14">
      <c r="M2822" s="3588"/>
      <c r="N2822" s="3566"/>
    </row>
    <row r="2823" spans="13:14">
      <c r="M2823" s="3588"/>
      <c r="N2823" s="3566"/>
    </row>
    <row r="2824" spans="13:14">
      <c r="M2824" s="3588"/>
      <c r="N2824" s="3566"/>
    </row>
    <row r="2825" spans="13:14">
      <c r="M2825" s="3588"/>
      <c r="N2825" s="3566"/>
    </row>
    <row r="2826" spans="13:14">
      <c r="M2826" s="3588"/>
      <c r="N2826" s="3566"/>
    </row>
    <row r="2827" spans="13:14">
      <c r="M2827" s="3588"/>
      <c r="N2827" s="3566"/>
    </row>
    <row r="2828" spans="13:14">
      <c r="M2828" s="3588"/>
      <c r="N2828" s="3566"/>
    </row>
    <row r="2829" spans="13:14">
      <c r="M2829" s="3588"/>
      <c r="N2829" s="3566"/>
    </row>
    <row r="2830" spans="13:14">
      <c r="M2830" s="3588"/>
      <c r="N2830" s="3566"/>
    </row>
    <row r="2831" spans="13:14">
      <c r="M2831" s="3588"/>
      <c r="N2831" s="3566"/>
    </row>
    <row r="2832" spans="13:14">
      <c r="M2832" s="3588"/>
      <c r="N2832" s="3566"/>
    </row>
    <row r="2833" spans="13:14">
      <c r="M2833" s="3588"/>
      <c r="N2833" s="3566"/>
    </row>
    <row r="2834" spans="13:14">
      <c r="M2834" s="3588"/>
      <c r="N2834" s="3566"/>
    </row>
    <row r="2835" spans="13:14">
      <c r="M2835" s="3588"/>
      <c r="N2835" s="3566"/>
    </row>
    <row r="2836" spans="13:14">
      <c r="M2836" s="3588"/>
      <c r="N2836" s="3566"/>
    </row>
    <row r="2837" spans="13:14">
      <c r="M2837" s="3588"/>
      <c r="N2837" s="3566"/>
    </row>
    <row r="2838" spans="13:14">
      <c r="M2838" s="3588"/>
      <c r="N2838" s="3566"/>
    </row>
    <row r="2839" spans="13:14">
      <c r="M2839" s="3588"/>
      <c r="N2839" s="3566"/>
    </row>
    <row r="2840" spans="13:14">
      <c r="M2840" s="3588"/>
      <c r="N2840" s="3566"/>
    </row>
    <row r="2841" spans="13:14">
      <c r="M2841" s="3588"/>
      <c r="N2841" s="3566"/>
    </row>
    <row r="2842" spans="13:14">
      <c r="M2842" s="3588"/>
      <c r="N2842" s="3566"/>
    </row>
    <row r="2843" spans="13:14">
      <c r="M2843" s="3588"/>
      <c r="N2843" s="3566"/>
    </row>
    <row r="2844" spans="13:14">
      <c r="M2844" s="3588"/>
      <c r="N2844" s="3566"/>
    </row>
    <row r="2845" spans="13:14">
      <c r="M2845" s="3588"/>
      <c r="N2845" s="3566"/>
    </row>
    <row r="2846" spans="13:14">
      <c r="M2846" s="3588"/>
      <c r="N2846" s="3566"/>
    </row>
    <row r="2847" spans="13:14">
      <c r="M2847" s="3588"/>
      <c r="N2847" s="3566"/>
    </row>
    <row r="2848" spans="13:14">
      <c r="M2848" s="3588"/>
      <c r="N2848" s="3566"/>
    </row>
    <row r="2849" spans="13:14">
      <c r="M2849" s="3588"/>
      <c r="N2849" s="3566"/>
    </row>
    <row r="2850" spans="13:14">
      <c r="M2850" s="3588"/>
      <c r="N2850" s="3566"/>
    </row>
    <row r="2851" spans="13:14">
      <c r="M2851" s="3588"/>
      <c r="N2851" s="3566"/>
    </row>
    <row r="2852" spans="13:14">
      <c r="M2852" s="3588"/>
      <c r="N2852" s="3566"/>
    </row>
    <row r="2853" spans="13:14">
      <c r="M2853" s="3588"/>
      <c r="N2853" s="3566"/>
    </row>
    <row r="2854" spans="13:14">
      <c r="M2854" s="3588"/>
      <c r="N2854" s="3566"/>
    </row>
    <row r="2855" spans="13:14">
      <c r="M2855" s="3588"/>
      <c r="N2855" s="3566"/>
    </row>
    <row r="2856" spans="13:14">
      <c r="M2856" s="3588"/>
      <c r="N2856" s="3566"/>
    </row>
    <row r="2857" spans="13:14">
      <c r="M2857" s="3588"/>
      <c r="N2857" s="3566"/>
    </row>
    <row r="2858" spans="13:14">
      <c r="M2858" s="3588"/>
      <c r="N2858" s="3566"/>
    </row>
    <row r="2859" spans="13:14">
      <c r="M2859" s="3588"/>
      <c r="N2859" s="3566"/>
    </row>
    <row r="2860" spans="13:14">
      <c r="M2860" s="3588"/>
      <c r="N2860" s="3566"/>
    </row>
    <row r="2861" spans="13:14">
      <c r="M2861" s="3588"/>
      <c r="N2861" s="3566"/>
    </row>
    <row r="2862" spans="13:14">
      <c r="M2862" s="3588"/>
      <c r="N2862" s="3566"/>
    </row>
    <row r="2863" spans="13:14">
      <c r="M2863" s="3588"/>
      <c r="N2863" s="3566"/>
    </row>
    <row r="2864" spans="13:14">
      <c r="M2864" s="3588"/>
      <c r="N2864" s="3566"/>
    </row>
    <row r="2865" spans="13:14">
      <c r="M2865" s="3588"/>
      <c r="N2865" s="3566"/>
    </row>
    <row r="2866" spans="13:14">
      <c r="M2866" s="3588"/>
      <c r="N2866" s="3566"/>
    </row>
    <row r="2867" spans="13:14">
      <c r="M2867" s="3588"/>
      <c r="N2867" s="3566"/>
    </row>
    <row r="2868" spans="13:14">
      <c r="M2868" s="3588"/>
      <c r="N2868" s="3566"/>
    </row>
    <row r="2869" spans="13:14">
      <c r="M2869" s="3588"/>
      <c r="N2869" s="3566"/>
    </row>
    <row r="2870" spans="13:14">
      <c r="M2870" s="3588"/>
      <c r="N2870" s="3566"/>
    </row>
    <row r="2871" spans="13:14">
      <c r="M2871" s="3588"/>
      <c r="N2871" s="3566"/>
    </row>
    <row r="2872" spans="13:14">
      <c r="M2872" s="3588"/>
      <c r="N2872" s="3566"/>
    </row>
    <row r="2873" spans="13:14">
      <c r="M2873" s="3588"/>
      <c r="N2873" s="3566"/>
    </row>
    <row r="2874" spans="13:14">
      <c r="M2874" s="3588"/>
      <c r="N2874" s="3566"/>
    </row>
    <row r="2875" spans="13:14">
      <c r="M2875" s="3588"/>
      <c r="N2875" s="3566"/>
    </row>
    <row r="2876" spans="13:14">
      <c r="M2876" s="3588"/>
      <c r="N2876" s="3566"/>
    </row>
    <row r="2877" spans="13:14">
      <c r="M2877" s="3588"/>
      <c r="N2877" s="3566"/>
    </row>
    <row r="2878" spans="13:14">
      <c r="M2878" s="3588"/>
      <c r="N2878" s="3566"/>
    </row>
    <row r="2879" spans="13:14">
      <c r="M2879" s="3588"/>
      <c r="N2879" s="3566"/>
    </row>
    <row r="2880" spans="13:14">
      <c r="M2880" s="3588"/>
      <c r="N2880" s="3566"/>
    </row>
    <row r="2881" spans="13:14">
      <c r="M2881" s="3588"/>
      <c r="N2881" s="3566"/>
    </row>
    <row r="2882" spans="13:14">
      <c r="M2882" s="3588"/>
      <c r="N2882" s="3566"/>
    </row>
    <row r="2883" spans="13:14">
      <c r="M2883" s="3588"/>
      <c r="N2883" s="3566"/>
    </row>
    <row r="2884" spans="13:14">
      <c r="M2884" s="3588"/>
      <c r="N2884" s="3566"/>
    </row>
    <row r="2885" spans="13:14">
      <c r="M2885" s="3588"/>
      <c r="N2885" s="3566"/>
    </row>
    <row r="2886" spans="13:14">
      <c r="M2886" s="3588"/>
      <c r="N2886" s="3566"/>
    </row>
    <row r="2887" spans="13:14">
      <c r="M2887" s="3588"/>
      <c r="N2887" s="3566"/>
    </row>
    <row r="2888" spans="13:14">
      <c r="M2888" s="3588"/>
      <c r="N2888" s="3566"/>
    </row>
    <row r="2889" spans="13:14">
      <c r="M2889" s="3588"/>
      <c r="N2889" s="3566"/>
    </row>
    <row r="2890" spans="13:14">
      <c r="M2890" s="3588"/>
      <c r="N2890" s="3566"/>
    </row>
    <row r="2891" spans="13:14">
      <c r="M2891" s="3588"/>
      <c r="N2891" s="3566"/>
    </row>
    <row r="2892" spans="13:14">
      <c r="M2892" s="3588"/>
      <c r="N2892" s="3566"/>
    </row>
    <row r="2893" spans="13:14">
      <c r="M2893" s="3588"/>
      <c r="N2893" s="3566"/>
    </row>
    <row r="2894" spans="13:14">
      <c r="M2894" s="3588"/>
      <c r="N2894" s="3566"/>
    </row>
    <row r="2895" spans="13:14">
      <c r="M2895" s="3588"/>
      <c r="N2895" s="3566"/>
    </row>
    <row r="2896" spans="13:14">
      <c r="M2896" s="3588"/>
      <c r="N2896" s="3566"/>
    </row>
    <row r="2897" spans="13:14">
      <c r="M2897" s="3588"/>
      <c r="N2897" s="3566"/>
    </row>
    <row r="2898" spans="13:14">
      <c r="M2898" s="3588"/>
      <c r="N2898" s="3566"/>
    </row>
    <row r="2899" spans="13:14">
      <c r="M2899" s="3588"/>
      <c r="N2899" s="3566"/>
    </row>
    <row r="2900" spans="13:14">
      <c r="M2900" s="3588"/>
      <c r="N2900" s="3566"/>
    </row>
    <row r="2901" spans="13:14">
      <c r="M2901" s="3588"/>
      <c r="N2901" s="3566"/>
    </row>
    <row r="2902" spans="13:14">
      <c r="M2902" s="3588"/>
      <c r="N2902" s="3566"/>
    </row>
    <row r="2903" spans="13:14">
      <c r="M2903" s="3588"/>
      <c r="N2903" s="3566"/>
    </row>
    <row r="2904" spans="13:14">
      <c r="M2904" s="3588"/>
      <c r="N2904" s="3566"/>
    </row>
    <row r="2905" spans="13:14">
      <c r="M2905" s="3588"/>
      <c r="N2905" s="3566"/>
    </row>
    <row r="2906" spans="13:14">
      <c r="M2906" s="3588"/>
      <c r="N2906" s="3566"/>
    </row>
    <row r="2907" spans="13:14">
      <c r="M2907" s="3588"/>
      <c r="N2907" s="3566"/>
    </row>
    <row r="2908" spans="13:14">
      <c r="M2908" s="3588"/>
      <c r="N2908" s="3566"/>
    </row>
    <row r="2909" spans="13:14">
      <c r="M2909" s="3588"/>
      <c r="N2909" s="3566"/>
    </row>
    <row r="2910" spans="13:14">
      <c r="M2910" s="3588"/>
      <c r="N2910" s="3566"/>
    </row>
    <row r="2911" spans="13:14">
      <c r="M2911" s="3588"/>
      <c r="N2911" s="3566"/>
    </row>
    <row r="2912" spans="13:14">
      <c r="M2912" s="3588"/>
      <c r="N2912" s="3566"/>
    </row>
    <row r="2913" spans="13:14">
      <c r="M2913" s="3588"/>
      <c r="N2913" s="3566"/>
    </row>
    <row r="2914" spans="13:14">
      <c r="M2914" s="3588"/>
      <c r="N2914" s="3566"/>
    </row>
    <row r="2915" spans="13:14">
      <c r="M2915" s="3588"/>
      <c r="N2915" s="3566"/>
    </row>
    <row r="2916" spans="13:14">
      <c r="M2916" s="3588"/>
      <c r="N2916" s="3566"/>
    </row>
    <row r="2917" spans="13:14">
      <c r="M2917" s="3588"/>
      <c r="N2917" s="3566"/>
    </row>
    <row r="2918" spans="13:14">
      <c r="M2918" s="3588"/>
      <c r="N2918" s="3566"/>
    </row>
    <row r="2919" spans="13:14">
      <c r="M2919" s="3588"/>
      <c r="N2919" s="3566"/>
    </row>
    <row r="2920" spans="13:14">
      <c r="M2920" s="3588"/>
      <c r="N2920" s="3566"/>
    </row>
    <row r="2921" spans="13:14">
      <c r="M2921" s="3588"/>
      <c r="N2921" s="3566"/>
    </row>
    <row r="2922" spans="13:14">
      <c r="M2922" s="3588"/>
      <c r="N2922" s="3566"/>
    </row>
    <row r="2923" spans="13:14">
      <c r="M2923" s="3588"/>
      <c r="N2923" s="3566"/>
    </row>
    <row r="2924" spans="13:14">
      <c r="M2924" s="3588"/>
      <c r="N2924" s="3566"/>
    </row>
    <row r="2925" spans="13:14">
      <c r="M2925" s="3588"/>
      <c r="N2925" s="3566"/>
    </row>
    <row r="2926" spans="13:14">
      <c r="M2926" s="3588"/>
      <c r="N2926" s="3566"/>
    </row>
    <row r="2927" spans="13:14">
      <c r="M2927" s="3588"/>
      <c r="N2927" s="3566"/>
    </row>
    <row r="2928" spans="13:14">
      <c r="M2928" s="3588"/>
      <c r="N2928" s="3566"/>
    </row>
    <row r="2929" spans="13:14">
      <c r="M2929" s="3588"/>
      <c r="N2929" s="3566"/>
    </row>
    <row r="2930" spans="13:14">
      <c r="M2930" s="3588"/>
      <c r="N2930" s="3566"/>
    </row>
    <row r="2931" spans="13:14">
      <c r="M2931" s="3588"/>
      <c r="N2931" s="3566"/>
    </row>
    <row r="2932" spans="13:14">
      <c r="M2932" s="3588"/>
      <c r="N2932" s="3566"/>
    </row>
    <row r="2933" spans="13:14">
      <c r="M2933" s="3588"/>
      <c r="N2933" s="3566"/>
    </row>
    <row r="2934" spans="13:14">
      <c r="M2934" s="3588"/>
      <c r="N2934" s="3566"/>
    </row>
    <row r="2935" spans="13:14">
      <c r="M2935" s="3588"/>
      <c r="N2935" s="3566"/>
    </row>
    <row r="2936" spans="13:14">
      <c r="M2936" s="3588"/>
      <c r="N2936" s="3566"/>
    </row>
    <row r="2937" spans="13:14">
      <c r="M2937" s="3588"/>
      <c r="N2937" s="3566"/>
    </row>
    <row r="2938" spans="13:14">
      <c r="M2938" s="3588"/>
      <c r="N2938" s="3566"/>
    </row>
    <row r="2939" spans="13:14">
      <c r="M2939" s="3588"/>
      <c r="N2939" s="3566"/>
    </row>
    <row r="2940" spans="13:14">
      <c r="M2940" s="3588"/>
      <c r="N2940" s="3566"/>
    </row>
    <row r="2941" spans="13:14">
      <c r="M2941" s="3588"/>
      <c r="N2941" s="3566"/>
    </row>
    <row r="2942" spans="13:14">
      <c r="M2942" s="3588"/>
      <c r="N2942" s="3566"/>
    </row>
    <row r="2943" spans="13:14">
      <c r="M2943" s="3588"/>
      <c r="N2943" s="3566"/>
    </row>
    <row r="2944" spans="13:14">
      <c r="M2944" s="3588"/>
      <c r="N2944" s="3566"/>
    </row>
    <row r="2945" spans="13:14">
      <c r="M2945" s="3588"/>
      <c r="N2945" s="3566"/>
    </row>
    <row r="2946" spans="13:14">
      <c r="M2946" s="3588"/>
      <c r="N2946" s="3566"/>
    </row>
    <row r="2947" spans="13:14">
      <c r="M2947" s="3588"/>
      <c r="N2947" s="3566"/>
    </row>
    <row r="2948" spans="13:14">
      <c r="M2948" s="3588"/>
      <c r="N2948" s="3566"/>
    </row>
    <row r="2949" spans="13:14">
      <c r="M2949" s="3588"/>
      <c r="N2949" s="3566"/>
    </row>
    <row r="2950" spans="13:14">
      <c r="M2950" s="3588"/>
      <c r="N2950" s="3566"/>
    </row>
    <row r="2951" spans="13:14">
      <c r="M2951" s="3588"/>
      <c r="N2951" s="3566"/>
    </row>
    <row r="2952" spans="13:14">
      <c r="M2952" s="3588"/>
      <c r="N2952" s="3566"/>
    </row>
    <row r="2953" spans="13:14">
      <c r="M2953" s="3588"/>
      <c r="N2953" s="3566"/>
    </row>
    <row r="2954" spans="13:14">
      <c r="M2954" s="3588"/>
      <c r="N2954" s="3566"/>
    </row>
    <row r="2955" spans="13:14">
      <c r="M2955" s="3588"/>
      <c r="N2955" s="3566"/>
    </row>
    <row r="2956" spans="13:14">
      <c r="M2956" s="3588"/>
      <c r="N2956" s="3566"/>
    </row>
    <row r="2957" spans="13:14">
      <c r="M2957" s="3588"/>
      <c r="N2957" s="3566"/>
    </row>
    <row r="2958" spans="13:14">
      <c r="M2958" s="3588"/>
      <c r="N2958" s="3566"/>
    </row>
    <row r="2959" spans="13:14">
      <c r="M2959" s="3588"/>
      <c r="N2959" s="3566"/>
    </row>
    <row r="2960" spans="13:14">
      <c r="M2960" s="3588"/>
      <c r="N2960" s="3566"/>
    </row>
    <row r="2961" spans="13:14">
      <c r="M2961" s="3588"/>
      <c r="N2961" s="3566"/>
    </row>
    <row r="2962" spans="13:14">
      <c r="M2962" s="3588"/>
      <c r="N2962" s="3566"/>
    </row>
    <row r="2963" spans="13:14">
      <c r="M2963" s="3588"/>
      <c r="N2963" s="3566"/>
    </row>
    <row r="2964" spans="13:14">
      <c r="M2964" s="3588"/>
      <c r="N2964" s="3566"/>
    </row>
    <row r="2965" spans="13:14">
      <c r="M2965" s="3588"/>
      <c r="N2965" s="3566"/>
    </row>
    <row r="2966" spans="13:14">
      <c r="M2966" s="3588"/>
      <c r="N2966" s="3566"/>
    </row>
    <row r="2967" spans="13:14">
      <c r="M2967" s="3588"/>
      <c r="N2967" s="3566"/>
    </row>
    <row r="2968" spans="13:14">
      <c r="M2968" s="3588"/>
      <c r="N2968" s="3566"/>
    </row>
    <row r="2969" spans="13:14">
      <c r="M2969" s="3588"/>
      <c r="N2969" s="3566"/>
    </row>
    <row r="2970" spans="13:14">
      <c r="M2970" s="3588"/>
      <c r="N2970" s="3566"/>
    </row>
    <row r="2971" spans="13:14">
      <c r="M2971" s="3588"/>
      <c r="N2971" s="3566"/>
    </row>
    <row r="2972" spans="13:14">
      <c r="M2972" s="3588"/>
      <c r="N2972" s="3566"/>
    </row>
    <row r="2973" spans="13:14">
      <c r="M2973" s="3588"/>
      <c r="N2973" s="3566"/>
    </row>
    <row r="2974" spans="13:14">
      <c r="M2974" s="3588"/>
      <c r="N2974" s="3566"/>
    </row>
    <row r="2975" spans="13:14">
      <c r="M2975" s="3588"/>
      <c r="N2975" s="3566"/>
    </row>
    <row r="2976" spans="13:14">
      <c r="M2976" s="3588"/>
      <c r="N2976" s="3566"/>
    </row>
    <row r="2977" spans="13:14">
      <c r="M2977" s="3588"/>
      <c r="N2977" s="3566"/>
    </row>
    <row r="2978" spans="13:14">
      <c r="M2978" s="3588"/>
      <c r="N2978" s="3566"/>
    </row>
    <row r="2979" spans="13:14">
      <c r="M2979" s="3588"/>
      <c r="N2979" s="3566"/>
    </row>
    <row r="2980" spans="13:14">
      <c r="M2980" s="3588"/>
      <c r="N2980" s="3566"/>
    </row>
    <row r="2981" spans="13:14">
      <c r="M2981" s="3588"/>
      <c r="N2981" s="3566"/>
    </row>
    <row r="2982" spans="13:14">
      <c r="M2982" s="3588"/>
      <c r="N2982" s="3566"/>
    </row>
    <row r="2983" spans="13:14">
      <c r="M2983" s="3588"/>
      <c r="N2983" s="3566"/>
    </row>
    <row r="2984" spans="13:14">
      <c r="M2984" s="3588"/>
      <c r="N2984" s="3566"/>
    </row>
    <row r="2985" spans="13:14">
      <c r="M2985" s="3588"/>
      <c r="N2985" s="3566"/>
    </row>
    <row r="2986" spans="13:14">
      <c r="M2986" s="3588"/>
      <c r="N2986" s="3566"/>
    </row>
    <row r="2987" spans="13:14">
      <c r="M2987" s="3588"/>
      <c r="N2987" s="3566"/>
    </row>
    <row r="2988" spans="13:14">
      <c r="M2988" s="3588"/>
      <c r="N2988" s="3566"/>
    </row>
    <row r="2989" spans="13:14">
      <c r="M2989" s="3588"/>
      <c r="N2989" s="3566"/>
    </row>
    <row r="2990" spans="13:14">
      <c r="M2990" s="3588"/>
      <c r="N2990" s="3566"/>
    </row>
    <row r="2991" spans="13:14">
      <c r="M2991" s="3588"/>
      <c r="N2991" s="3566"/>
    </row>
    <row r="2992" spans="13:14">
      <c r="M2992" s="3588"/>
      <c r="N2992" s="3566"/>
    </row>
    <row r="2993" spans="13:14">
      <c r="M2993" s="3588"/>
      <c r="N2993" s="3566"/>
    </row>
    <row r="2994" spans="13:14">
      <c r="M2994" s="3588"/>
      <c r="N2994" s="3566"/>
    </row>
    <row r="2995" spans="13:14">
      <c r="M2995" s="3588"/>
      <c r="N2995" s="3566"/>
    </row>
    <row r="2996" spans="13:14">
      <c r="M2996" s="3588"/>
      <c r="N2996" s="3566"/>
    </row>
    <row r="2997" spans="13:14">
      <c r="M2997" s="3588"/>
      <c r="N2997" s="3566"/>
    </row>
    <row r="2998" spans="13:14">
      <c r="M2998" s="3588"/>
      <c r="N2998" s="3566"/>
    </row>
    <row r="2999" spans="13:14">
      <c r="M2999" s="3588"/>
      <c r="N2999" s="3566"/>
    </row>
    <row r="3000" spans="13:14">
      <c r="M3000" s="3588"/>
      <c r="N3000" s="3566"/>
    </row>
    <row r="3001" spans="13:14">
      <c r="M3001" s="3588"/>
      <c r="N3001" s="3566"/>
    </row>
    <row r="3002" spans="13:14">
      <c r="M3002" s="3588"/>
      <c r="N3002" s="3566"/>
    </row>
    <row r="3003" spans="13:14">
      <c r="M3003" s="3588"/>
      <c r="N3003" s="3566"/>
    </row>
    <row r="3004" spans="13:14">
      <c r="M3004" s="3588"/>
      <c r="N3004" s="3566"/>
    </row>
    <row r="3005" spans="13:14">
      <c r="M3005" s="3588"/>
      <c r="N3005" s="3566"/>
    </row>
    <row r="3006" spans="13:14">
      <c r="M3006" s="3588"/>
      <c r="N3006" s="3566"/>
    </row>
    <row r="3007" spans="13:14">
      <c r="M3007" s="3588"/>
      <c r="N3007" s="3566"/>
    </row>
    <row r="3008" spans="13:14">
      <c r="M3008" s="3588"/>
      <c r="N3008" s="3566"/>
    </row>
    <row r="3009" spans="13:14">
      <c r="M3009" s="3588"/>
      <c r="N3009" s="3566"/>
    </row>
    <row r="3010" spans="13:14">
      <c r="M3010" s="3588"/>
      <c r="N3010" s="3566"/>
    </row>
    <row r="3011" spans="13:14">
      <c r="M3011" s="3588"/>
      <c r="N3011" s="3566"/>
    </row>
    <row r="3012" spans="13:14">
      <c r="M3012" s="3588"/>
      <c r="N3012" s="3566"/>
    </row>
    <row r="3013" spans="13:14">
      <c r="M3013" s="3588"/>
      <c r="N3013" s="3566"/>
    </row>
    <row r="3014" spans="13:14">
      <c r="M3014" s="3588"/>
      <c r="N3014" s="3566"/>
    </row>
    <row r="3015" spans="13:14">
      <c r="M3015" s="3588"/>
      <c r="N3015" s="3566"/>
    </row>
    <row r="3016" spans="13:14">
      <c r="M3016" s="3588"/>
      <c r="N3016" s="3566"/>
    </row>
    <row r="3017" spans="13:14">
      <c r="M3017" s="3588"/>
      <c r="N3017" s="3566"/>
    </row>
    <row r="3018" spans="13:14">
      <c r="M3018" s="3588"/>
      <c r="N3018" s="3566"/>
    </row>
    <row r="3019" spans="13:14">
      <c r="M3019" s="3588"/>
      <c r="N3019" s="3566"/>
    </row>
    <row r="3020" spans="13:14">
      <c r="M3020" s="3588"/>
      <c r="N3020" s="3566"/>
    </row>
    <row r="3021" spans="13:14">
      <c r="M3021" s="3588"/>
      <c r="N3021" s="3566"/>
    </row>
    <row r="3022" spans="13:14">
      <c r="M3022" s="3588"/>
      <c r="N3022" s="3566"/>
    </row>
    <row r="3023" spans="13:14">
      <c r="M3023" s="3588"/>
      <c r="N3023" s="3566"/>
    </row>
    <row r="3024" spans="13:14">
      <c r="M3024" s="3588"/>
      <c r="N3024" s="3566"/>
    </row>
    <row r="3025" spans="13:14">
      <c r="M3025" s="3588"/>
      <c r="N3025" s="3566"/>
    </row>
    <row r="3026" spans="13:14">
      <c r="M3026" s="3588"/>
      <c r="N3026" s="3566"/>
    </row>
    <row r="3027" spans="13:14">
      <c r="M3027" s="3588"/>
      <c r="N3027" s="3566"/>
    </row>
    <row r="3028" spans="13:14">
      <c r="M3028" s="3588"/>
      <c r="N3028" s="3566"/>
    </row>
    <row r="3029" spans="13:14">
      <c r="M3029" s="3588"/>
      <c r="N3029" s="3566"/>
    </row>
    <row r="3030" spans="13:14">
      <c r="M3030" s="3588"/>
      <c r="N3030" s="3566"/>
    </row>
    <row r="3031" spans="13:14">
      <c r="M3031" s="3588"/>
      <c r="N3031" s="3566"/>
    </row>
    <row r="3032" spans="13:14">
      <c r="M3032" s="3588"/>
      <c r="N3032" s="3566"/>
    </row>
    <row r="3033" spans="13:14">
      <c r="M3033" s="3588"/>
      <c r="N3033" s="3566"/>
    </row>
    <row r="3034" spans="13:14">
      <c r="M3034" s="3588"/>
      <c r="N3034" s="3566"/>
    </row>
    <row r="3035" spans="13:14">
      <c r="M3035" s="3588"/>
      <c r="N3035" s="3566"/>
    </row>
    <row r="3036" spans="13:14">
      <c r="M3036" s="3588"/>
      <c r="N3036" s="3566"/>
    </row>
    <row r="3037" spans="13:14">
      <c r="M3037" s="3588"/>
      <c r="N3037" s="3566"/>
    </row>
    <row r="3038" spans="13:14">
      <c r="M3038" s="3588"/>
      <c r="N3038" s="3566"/>
    </row>
    <row r="3039" spans="13:14">
      <c r="M3039" s="3588"/>
      <c r="N3039" s="3566"/>
    </row>
    <row r="3040" spans="13:14">
      <c r="M3040" s="3588"/>
      <c r="N3040" s="3566"/>
    </row>
    <row r="3041" spans="13:14">
      <c r="M3041" s="3588"/>
      <c r="N3041" s="3566"/>
    </row>
    <row r="3042" spans="13:14">
      <c r="M3042" s="3588"/>
      <c r="N3042" s="3566"/>
    </row>
    <row r="3043" spans="13:14">
      <c r="M3043" s="3588"/>
      <c r="N3043" s="3566"/>
    </row>
    <row r="3044" spans="13:14">
      <c r="M3044" s="3588"/>
      <c r="N3044" s="3566"/>
    </row>
    <row r="3045" spans="13:14">
      <c r="M3045" s="3588"/>
      <c r="N3045" s="3566"/>
    </row>
    <row r="3046" spans="13:14">
      <c r="M3046" s="3588"/>
      <c r="N3046" s="3566"/>
    </row>
    <row r="3047" spans="13:14">
      <c r="M3047" s="3588"/>
      <c r="N3047" s="3566"/>
    </row>
    <row r="3048" spans="13:14">
      <c r="M3048" s="3588"/>
      <c r="N3048" s="3566"/>
    </row>
    <row r="3049" spans="13:14">
      <c r="M3049" s="3588"/>
      <c r="N3049" s="3566"/>
    </row>
    <row r="3050" spans="13:14">
      <c r="M3050" s="3588"/>
      <c r="N3050" s="3566"/>
    </row>
    <row r="3051" spans="13:14">
      <c r="M3051" s="3588"/>
      <c r="N3051" s="3566"/>
    </row>
    <row r="3052" spans="13:14">
      <c r="M3052" s="3588"/>
      <c r="N3052" s="3566"/>
    </row>
    <row r="3053" spans="13:14">
      <c r="M3053" s="3588"/>
      <c r="N3053" s="3566"/>
    </row>
    <row r="3054" spans="13:14">
      <c r="M3054" s="3588"/>
      <c r="N3054" s="3566"/>
    </row>
    <row r="3055" spans="13:14">
      <c r="M3055" s="3588"/>
      <c r="N3055" s="3566"/>
    </row>
    <row r="3056" spans="13:14">
      <c r="M3056" s="3588"/>
      <c r="N3056" s="3566"/>
    </row>
    <row r="3057" spans="13:14">
      <c r="M3057" s="3588"/>
      <c r="N3057" s="3566"/>
    </row>
    <row r="3058" spans="13:14">
      <c r="M3058" s="3588"/>
      <c r="N3058" s="3566"/>
    </row>
    <row r="3059" spans="13:14">
      <c r="M3059" s="3588"/>
      <c r="N3059" s="3566"/>
    </row>
    <row r="3060" spans="13:14">
      <c r="M3060" s="3588"/>
      <c r="N3060" s="3566"/>
    </row>
    <row r="3061" spans="13:14">
      <c r="M3061" s="3588"/>
      <c r="N3061" s="3566"/>
    </row>
    <row r="3062" spans="13:14">
      <c r="M3062" s="3588"/>
      <c r="N3062" s="3566"/>
    </row>
    <row r="3063" spans="13:14">
      <c r="M3063" s="3588"/>
      <c r="N3063" s="3566"/>
    </row>
    <row r="3064" spans="13:14">
      <c r="M3064" s="3588"/>
      <c r="N3064" s="3566"/>
    </row>
    <row r="3065" spans="13:14">
      <c r="M3065" s="3588"/>
      <c r="N3065" s="3566"/>
    </row>
    <row r="3066" spans="13:14">
      <c r="M3066" s="3588"/>
      <c r="N3066" s="3566"/>
    </row>
    <row r="3067" spans="13:14">
      <c r="M3067" s="3588"/>
      <c r="N3067" s="3566"/>
    </row>
    <row r="3068" spans="13:14">
      <c r="M3068" s="3588"/>
      <c r="N3068" s="3566"/>
    </row>
    <row r="3069" spans="13:14">
      <c r="M3069" s="3588"/>
      <c r="N3069" s="3566"/>
    </row>
    <row r="3070" spans="13:14">
      <c r="M3070" s="3588"/>
      <c r="N3070" s="3566"/>
    </row>
    <row r="3071" spans="13:14">
      <c r="M3071" s="3588"/>
      <c r="N3071" s="3566"/>
    </row>
    <row r="3072" spans="13:14">
      <c r="M3072" s="3588"/>
      <c r="N3072" s="3566"/>
    </row>
    <row r="3073" spans="13:14">
      <c r="M3073" s="3588"/>
      <c r="N3073" s="3566"/>
    </row>
    <row r="3074" spans="13:14">
      <c r="M3074" s="3588"/>
      <c r="N3074" s="3566"/>
    </row>
    <row r="3075" spans="13:14">
      <c r="M3075" s="3588"/>
      <c r="N3075" s="3566"/>
    </row>
    <row r="3076" spans="13:14">
      <c r="M3076" s="3588"/>
      <c r="N3076" s="3566"/>
    </row>
    <row r="3077" spans="13:14">
      <c r="M3077" s="3588"/>
      <c r="N3077" s="3566"/>
    </row>
    <row r="3078" spans="13:14">
      <c r="M3078" s="3588"/>
      <c r="N3078" s="3566"/>
    </row>
    <row r="3079" spans="13:14">
      <c r="M3079" s="3588"/>
      <c r="N3079" s="3566"/>
    </row>
    <row r="3080" spans="13:14">
      <c r="M3080" s="3588"/>
      <c r="N3080" s="3566"/>
    </row>
    <row r="3081" spans="13:14">
      <c r="M3081" s="3588"/>
      <c r="N3081" s="3566"/>
    </row>
    <row r="3082" spans="13:14">
      <c r="M3082" s="3588"/>
      <c r="N3082" s="3566"/>
    </row>
    <row r="3083" spans="13:14">
      <c r="M3083" s="3588"/>
      <c r="N3083" s="3566"/>
    </row>
    <row r="3084" spans="13:14">
      <c r="M3084" s="3588"/>
      <c r="N3084" s="3566"/>
    </row>
    <row r="3085" spans="13:14">
      <c r="M3085" s="3588"/>
      <c r="N3085" s="3566"/>
    </row>
    <row r="3086" spans="13:14">
      <c r="M3086" s="3588"/>
      <c r="N3086" s="3566"/>
    </row>
    <row r="3087" spans="13:14">
      <c r="M3087" s="3588"/>
      <c r="N3087" s="3566"/>
    </row>
    <row r="3088" spans="13:14">
      <c r="M3088" s="3588"/>
      <c r="N3088" s="3566"/>
    </row>
    <row r="3089" spans="13:14">
      <c r="M3089" s="3588"/>
      <c r="N3089" s="3566"/>
    </row>
    <row r="3090" spans="13:14">
      <c r="M3090" s="3588"/>
      <c r="N3090" s="3566"/>
    </row>
    <row r="3091" spans="13:14">
      <c r="M3091" s="3588"/>
      <c r="N3091" s="3566"/>
    </row>
    <row r="3092" spans="13:14">
      <c r="M3092" s="3588"/>
      <c r="N3092" s="3566"/>
    </row>
    <row r="3093" spans="13:14">
      <c r="M3093" s="3588"/>
      <c r="N3093" s="3566"/>
    </row>
    <row r="3094" spans="13:14">
      <c r="M3094" s="3588"/>
      <c r="N3094" s="3566"/>
    </row>
    <row r="3095" spans="13:14">
      <c r="M3095" s="3588"/>
      <c r="N3095" s="3566"/>
    </row>
    <row r="3096" spans="13:14">
      <c r="M3096" s="3588"/>
      <c r="N3096" s="3566"/>
    </row>
    <row r="3097" spans="13:14">
      <c r="M3097" s="3588"/>
      <c r="N3097" s="3566"/>
    </row>
    <row r="3098" spans="13:14">
      <c r="M3098" s="3588"/>
      <c r="N3098" s="3566"/>
    </row>
    <row r="3099" spans="13:14">
      <c r="M3099" s="3588"/>
      <c r="N3099" s="3566"/>
    </row>
    <row r="3100" spans="13:14">
      <c r="M3100" s="3588"/>
      <c r="N3100" s="3566"/>
    </row>
    <row r="3101" spans="13:14">
      <c r="M3101" s="3588"/>
      <c r="N3101" s="3566"/>
    </row>
    <row r="3102" spans="13:14">
      <c r="M3102" s="3588"/>
      <c r="N3102" s="3566"/>
    </row>
    <row r="3103" spans="13:14">
      <c r="M3103" s="3588"/>
      <c r="N3103" s="3566"/>
    </row>
    <row r="3104" spans="13:14">
      <c r="M3104" s="3588"/>
      <c r="N3104" s="3566"/>
    </row>
    <row r="3105" spans="13:14">
      <c r="M3105" s="3588"/>
      <c r="N3105" s="3566"/>
    </row>
    <row r="3106" spans="13:14">
      <c r="M3106" s="3588"/>
      <c r="N3106" s="3566"/>
    </row>
    <row r="3107" spans="13:14">
      <c r="M3107" s="3588"/>
      <c r="N3107" s="3566"/>
    </row>
    <row r="3108" spans="13:14">
      <c r="M3108" s="3588"/>
      <c r="N3108" s="3566"/>
    </row>
    <row r="3109" spans="13:14">
      <c r="M3109" s="3588"/>
      <c r="N3109" s="3566"/>
    </row>
    <row r="3110" spans="13:14">
      <c r="M3110" s="3588"/>
      <c r="N3110" s="3566"/>
    </row>
    <row r="3111" spans="13:14">
      <c r="M3111" s="3588"/>
      <c r="N3111" s="3566"/>
    </row>
    <row r="3112" spans="13:14">
      <c r="M3112" s="3588"/>
      <c r="N3112" s="3566"/>
    </row>
    <row r="3113" spans="13:14">
      <c r="M3113" s="3588"/>
      <c r="N3113" s="3566"/>
    </row>
    <row r="3114" spans="13:14">
      <c r="M3114" s="3588"/>
      <c r="N3114" s="3566"/>
    </row>
    <row r="3115" spans="13:14">
      <c r="M3115" s="3588"/>
      <c r="N3115" s="3566"/>
    </row>
    <row r="3116" spans="13:14">
      <c r="M3116" s="3588"/>
      <c r="N3116" s="3566"/>
    </row>
    <row r="3117" spans="13:14">
      <c r="M3117" s="3588"/>
      <c r="N3117" s="3566"/>
    </row>
    <row r="3118" spans="13:14">
      <c r="M3118" s="3588"/>
      <c r="N3118" s="3566"/>
    </row>
    <row r="3119" spans="13:14">
      <c r="M3119" s="3588"/>
      <c r="N3119" s="3566"/>
    </row>
    <row r="3120" spans="13:14">
      <c r="M3120" s="3588"/>
      <c r="N3120" s="3566"/>
    </row>
    <row r="3121" spans="13:14">
      <c r="M3121" s="3588"/>
      <c r="N3121" s="3566"/>
    </row>
    <row r="3122" spans="13:14">
      <c r="M3122" s="3588"/>
      <c r="N3122" s="3566"/>
    </row>
    <row r="3123" spans="13:14">
      <c r="M3123" s="3588"/>
      <c r="N3123" s="3566"/>
    </row>
    <row r="3124" spans="13:14">
      <c r="M3124" s="3588"/>
      <c r="N3124" s="3566"/>
    </row>
    <row r="3125" spans="13:14">
      <c r="M3125" s="3588"/>
      <c r="N3125" s="3566"/>
    </row>
    <row r="3126" spans="13:14">
      <c r="M3126" s="3588"/>
      <c r="N3126" s="3566"/>
    </row>
    <row r="3127" spans="13:14">
      <c r="M3127" s="3588"/>
      <c r="N3127" s="3566"/>
    </row>
    <row r="3128" spans="13:14">
      <c r="M3128" s="3588"/>
      <c r="N3128" s="3566"/>
    </row>
    <row r="3129" spans="13:14">
      <c r="M3129" s="3588"/>
      <c r="N3129" s="3566"/>
    </row>
    <row r="3130" spans="13:14">
      <c r="M3130" s="3588"/>
      <c r="N3130" s="3566"/>
    </row>
    <row r="3131" spans="13:14">
      <c r="M3131" s="3588"/>
      <c r="N3131" s="3566"/>
    </row>
    <row r="3132" spans="13:14">
      <c r="M3132" s="3588"/>
      <c r="N3132" s="3566"/>
    </row>
    <row r="3133" spans="13:14">
      <c r="M3133" s="3588"/>
      <c r="N3133" s="3566"/>
    </row>
    <row r="3134" spans="13:14">
      <c r="M3134" s="3588"/>
      <c r="N3134" s="3566"/>
    </row>
    <row r="3135" spans="13:14">
      <c r="M3135" s="3588"/>
      <c r="N3135" s="3566"/>
    </row>
    <row r="3136" spans="13:14">
      <c r="M3136" s="3588"/>
      <c r="N3136" s="3566"/>
    </row>
    <row r="3137" spans="13:14">
      <c r="M3137" s="3588"/>
      <c r="N3137" s="3566"/>
    </row>
    <row r="3138" spans="13:14">
      <c r="M3138" s="3588"/>
      <c r="N3138" s="3566"/>
    </row>
    <row r="3139" spans="13:14">
      <c r="M3139" s="3588"/>
      <c r="N3139" s="3566"/>
    </row>
    <row r="3140" spans="13:14">
      <c r="M3140" s="3588"/>
      <c r="N3140" s="3566"/>
    </row>
    <row r="3141" spans="13:14">
      <c r="M3141" s="3588"/>
      <c r="N3141" s="3566"/>
    </row>
    <row r="3142" spans="13:14">
      <c r="M3142" s="3588"/>
      <c r="N3142" s="3566"/>
    </row>
    <row r="3143" spans="13:14">
      <c r="M3143" s="3588"/>
      <c r="N3143" s="3566"/>
    </row>
    <row r="3144" spans="13:14">
      <c r="M3144" s="3588"/>
      <c r="N3144" s="3566"/>
    </row>
    <row r="3145" spans="13:14">
      <c r="M3145" s="3588"/>
      <c r="N3145" s="3566"/>
    </row>
    <row r="3146" spans="13:14">
      <c r="M3146" s="3588"/>
      <c r="N3146" s="3566"/>
    </row>
    <row r="3147" spans="13:14">
      <c r="M3147" s="3588"/>
      <c r="N3147" s="3566"/>
    </row>
    <row r="3148" spans="13:14">
      <c r="M3148" s="3588"/>
      <c r="N3148" s="3566"/>
    </row>
    <row r="3149" spans="13:14">
      <c r="M3149" s="3588"/>
      <c r="N3149" s="3566"/>
    </row>
    <row r="3150" spans="13:14">
      <c r="M3150" s="3588"/>
      <c r="N3150" s="3566"/>
    </row>
    <row r="3151" spans="13:14">
      <c r="M3151" s="3588"/>
      <c r="N3151" s="3566"/>
    </row>
    <row r="3152" spans="13:14">
      <c r="M3152" s="3588"/>
      <c r="N3152" s="3566"/>
    </row>
    <row r="3153" spans="13:14">
      <c r="M3153" s="3588"/>
      <c r="N3153" s="3566"/>
    </row>
    <row r="3154" spans="13:14">
      <c r="M3154" s="3588"/>
      <c r="N3154" s="3566"/>
    </row>
    <row r="3155" spans="13:14">
      <c r="M3155" s="3588"/>
      <c r="N3155" s="3566"/>
    </row>
    <row r="3156" spans="13:14">
      <c r="M3156" s="3588"/>
      <c r="N3156" s="3566"/>
    </row>
    <row r="3157" spans="13:14">
      <c r="M3157" s="3588"/>
      <c r="N3157" s="3566"/>
    </row>
    <row r="3158" spans="13:14">
      <c r="M3158" s="3588"/>
      <c r="N3158" s="3566"/>
    </row>
    <row r="3159" spans="13:14">
      <c r="M3159" s="3588"/>
      <c r="N3159" s="3566"/>
    </row>
    <row r="3160" spans="13:14">
      <c r="M3160" s="3588"/>
      <c r="N3160" s="3566"/>
    </row>
    <row r="3161" spans="13:14">
      <c r="M3161" s="3588"/>
      <c r="N3161" s="3566"/>
    </row>
    <row r="3162" spans="13:14">
      <c r="M3162" s="3588"/>
      <c r="N3162" s="3566"/>
    </row>
    <row r="3163" spans="13:14">
      <c r="M3163" s="3588"/>
      <c r="N3163" s="3566"/>
    </row>
    <row r="3164" spans="13:14">
      <c r="M3164" s="3588"/>
      <c r="N3164" s="3566"/>
    </row>
    <row r="3165" spans="13:14">
      <c r="M3165" s="3588"/>
      <c r="N3165" s="3566"/>
    </row>
    <row r="3166" spans="13:14">
      <c r="M3166" s="3588"/>
      <c r="N3166" s="3566"/>
    </row>
    <row r="3167" spans="13:14">
      <c r="M3167" s="3588"/>
      <c r="N3167" s="3566"/>
    </row>
    <row r="3168" spans="13:14">
      <c r="M3168" s="3588"/>
      <c r="N3168" s="3566"/>
    </row>
    <row r="3169" spans="13:14">
      <c r="M3169" s="3588"/>
      <c r="N3169" s="3566"/>
    </row>
    <row r="3170" spans="13:14">
      <c r="M3170" s="3588"/>
      <c r="N3170" s="3566"/>
    </row>
    <row r="3171" spans="13:14">
      <c r="M3171" s="3588"/>
      <c r="N3171" s="3566"/>
    </row>
    <row r="3172" spans="13:14">
      <c r="M3172" s="3588"/>
      <c r="N3172" s="3566"/>
    </row>
    <row r="3173" spans="13:14">
      <c r="M3173" s="3588"/>
      <c r="N3173" s="3566"/>
    </row>
    <row r="3174" spans="13:14">
      <c r="M3174" s="3588"/>
      <c r="N3174" s="3566"/>
    </row>
    <row r="3175" spans="13:14">
      <c r="M3175" s="3588"/>
      <c r="N3175" s="3566"/>
    </row>
    <row r="3176" spans="13:14">
      <c r="M3176" s="3588"/>
      <c r="N3176" s="3566"/>
    </row>
    <row r="3177" spans="13:14">
      <c r="M3177" s="3588"/>
      <c r="N3177" s="3566"/>
    </row>
    <row r="3178" spans="13:14">
      <c r="M3178" s="3588"/>
      <c r="N3178" s="3566"/>
    </row>
    <row r="3179" spans="13:14">
      <c r="M3179" s="3588"/>
      <c r="N3179" s="3566"/>
    </row>
    <row r="3180" spans="13:14">
      <c r="M3180" s="3588"/>
      <c r="N3180" s="3566"/>
    </row>
    <row r="3181" spans="13:14">
      <c r="M3181" s="3588"/>
      <c r="N3181" s="3566"/>
    </row>
    <row r="3182" spans="13:14">
      <c r="M3182" s="3588"/>
      <c r="N3182" s="3566"/>
    </row>
    <row r="3183" spans="13:14">
      <c r="M3183" s="3588"/>
      <c r="N3183" s="3566"/>
    </row>
    <row r="3184" spans="13:14">
      <c r="M3184" s="3588"/>
      <c r="N3184" s="3566"/>
    </row>
    <row r="3185" spans="13:14">
      <c r="M3185" s="3588"/>
      <c r="N3185" s="3566"/>
    </row>
    <row r="3186" spans="13:14">
      <c r="M3186" s="3588"/>
      <c r="N3186" s="3566"/>
    </row>
    <row r="3187" spans="13:14">
      <c r="M3187" s="3588"/>
      <c r="N3187" s="3566"/>
    </row>
    <row r="3188" spans="13:14">
      <c r="M3188" s="3588"/>
      <c r="N3188" s="3566"/>
    </row>
    <row r="3189" spans="13:14">
      <c r="M3189" s="3588"/>
      <c r="N3189" s="3566"/>
    </row>
    <row r="3190" spans="13:14">
      <c r="M3190" s="3588"/>
      <c r="N3190" s="3566"/>
    </row>
    <row r="3191" spans="13:14">
      <c r="M3191" s="3588"/>
      <c r="N3191" s="3566"/>
    </row>
    <row r="3192" spans="13:14">
      <c r="M3192" s="3588"/>
      <c r="N3192" s="3566"/>
    </row>
    <row r="3193" spans="13:14">
      <c r="M3193" s="3588"/>
      <c r="N3193" s="3566"/>
    </row>
    <row r="3194" spans="13:14">
      <c r="M3194" s="3588"/>
      <c r="N3194" s="3566"/>
    </row>
    <row r="3195" spans="13:14">
      <c r="M3195" s="3588"/>
      <c r="N3195" s="3566"/>
    </row>
    <row r="3196" spans="13:14">
      <c r="M3196" s="3588"/>
      <c r="N3196" s="3566"/>
    </row>
    <row r="3197" spans="13:14">
      <c r="M3197" s="3588"/>
      <c r="N3197" s="3566"/>
    </row>
    <row r="3198" spans="13:14">
      <c r="M3198" s="3588"/>
      <c r="N3198" s="3566"/>
    </row>
    <row r="3199" spans="13:14">
      <c r="M3199" s="3588"/>
      <c r="N3199" s="3566"/>
    </row>
    <row r="3200" spans="13:14">
      <c r="M3200" s="3588"/>
      <c r="N3200" s="3566"/>
    </row>
    <row r="3201" spans="13:14">
      <c r="M3201" s="3588"/>
      <c r="N3201" s="3566"/>
    </row>
    <row r="3202" spans="13:14">
      <c r="M3202" s="3588"/>
      <c r="N3202" s="3566"/>
    </row>
    <row r="3203" spans="13:14">
      <c r="M3203" s="3588"/>
      <c r="N3203" s="3566"/>
    </row>
    <row r="3204" spans="13:14">
      <c r="M3204" s="3588"/>
      <c r="N3204" s="3566"/>
    </row>
    <row r="3205" spans="13:14">
      <c r="M3205" s="3588"/>
      <c r="N3205" s="3566"/>
    </row>
    <row r="3206" spans="13:14">
      <c r="M3206" s="3588"/>
      <c r="N3206" s="3566"/>
    </row>
    <row r="3207" spans="13:14">
      <c r="M3207" s="3588"/>
      <c r="N3207" s="3566"/>
    </row>
    <row r="3208" spans="13:14">
      <c r="M3208" s="3588"/>
      <c r="N3208" s="3566"/>
    </row>
    <row r="3209" spans="13:14">
      <c r="M3209" s="3588"/>
      <c r="N3209" s="3566"/>
    </row>
    <row r="3210" spans="13:14">
      <c r="M3210" s="3588"/>
      <c r="N3210" s="3566"/>
    </row>
    <row r="3211" spans="13:14">
      <c r="M3211" s="3588"/>
      <c r="N3211" s="3566"/>
    </row>
    <row r="3212" spans="13:14">
      <c r="M3212" s="3588"/>
      <c r="N3212" s="3566"/>
    </row>
    <row r="3213" spans="13:14">
      <c r="M3213" s="3588"/>
      <c r="N3213" s="3566"/>
    </row>
    <row r="3214" spans="13:14">
      <c r="M3214" s="3588"/>
      <c r="N3214" s="3566"/>
    </row>
    <row r="3215" spans="13:14">
      <c r="M3215" s="3588"/>
      <c r="N3215" s="3566"/>
    </row>
    <row r="3216" spans="13:14">
      <c r="M3216" s="3588"/>
      <c r="N3216" s="3566"/>
    </row>
    <row r="3217" spans="13:14">
      <c r="M3217" s="3588"/>
      <c r="N3217" s="3566"/>
    </row>
    <row r="3218" spans="13:14">
      <c r="M3218" s="3588"/>
      <c r="N3218" s="3566"/>
    </row>
    <row r="3219" spans="13:14">
      <c r="M3219" s="3588"/>
      <c r="N3219" s="3566"/>
    </row>
    <row r="3220" spans="13:14">
      <c r="M3220" s="3588"/>
      <c r="N3220" s="3566"/>
    </row>
    <row r="3221" spans="13:14">
      <c r="M3221" s="3588"/>
      <c r="N3221" s="3566"/>
    </row>
    <row r="3222" spans="13:14">
      <c r="M3222" s="3588"/>
      <c r="N3222" s="3566"/>
    </row>
    <row r="3223" spans="13:14">
      <c r="M3223" s="3588"/>
      <c r="N3223" s="3566"/>
    </row>
    <row r="3224" spans="13:14">
      <c r="M3224" s="3588"/>
      <c r="N3224" s="3566"/>
    </row>
    <row r="3225" spans="13:14">
      <c r="M3225" s="3588"/>
      <c r="N3225" s="3566"/>
    </row>
    <row r="3226" spans="13:14">
      <c r="M3226" s="3588"/>
      <c r="N3226" s="3566"/>
    </row>
    <row r="3227" spans="13:14">
      <c r="M3227" s="3588"/>
      <c r="N3227" s="3566"/>
    </row>
    <row r="3228" spans="13:14">
      <c r="M3228" s="3588"/>
      <c r="N3228" s="3566"/>
    </row>
    <row r="3229" spans="13:14">
      <c r="M3229" s="3588"/>
      <c r="N3229" s="3566"/>
    </row>
    <row r="3230" spans="13:14">
      <c r="M3230" s="3588"/>
      <c r="N3230" s="3566"/>
    </row>
    <row r="3231" spans="13:14">
      <c r="M3231" s="3588"/>
      <c r="N3231" s="3566"/>
    </row>
    <row r="3232" spans="13:14">
      <c r="M3232" s="3588"/>
      <c r="N3232" s="3566"/>
    </row>
    <row r="3233" spans="13:14">
      <c r="M3233" s="3588"/>
      <c r="N3233" s="3566"/>
    </row>
    <row r="3234" spans="13:14">
      <c r="M3234" s="3588"/>
      <c r="N3234" s="3566"/>
    </row>
    <row r="3235" spans="13:14">
      <c r="M3235" s="3588"/>
      <c r="N3235" s="3566"/>
    </row>
    <row r="3236" spans="13:14">
      <c r="M3236" s="3588"/>
      <c r="N3236" s="3566"/>
    </row>
    <row r="3237" spans="13:14">
      <c r="M3237" s="3588"/>
      <c r="N3237" s="3566"/>
    </row>
    <row r="3238" spans="13:14">
      <c r="M3238" s="3588"/>
      <c r="N3238" s="3566"/>
    </row>
    <row r="3239" spans="13:14">
      <c r="M3239" s="3588"/>
      <c r="N3239" s="3566"/>
    </row>
    <row r="3240" spans="13:14">
      <c r="M3240" s="3588"/>
      <c r="N3240" s="3566"/>
    </row>
    <row r="3241" spans="13:14">
      <c r="M3241" s="3588"/>
      <c r="N3241" s="3566"/>
    </row>
    <row r="3242" spans="13:14">
      <c r="M3242" s="3588"/>
      <c r="N3242" s="3566"/>
    </row>
    <row r="3243" spans="13:14">
      <c r="M3243" s="3588"/>
      <c r="N3243" s="3566"/>
    </row>
    <row r="3244" spans="13:14">
      <c r="M3244" s="3588"/>
      <c r="N3244" s="3566"/>
    </row>
    <row r="3245" spans="13:14">
      <c r="M3245" s="3588"/>
      <c r="N3245" s="3566"/>
    </row>
    <row r="3246" spans="13:14">
      <c r="M3246" s="3588"/>
      <c r="N3246" s="3566"/>
    </row>
    <row r="3247" spans="13:14">
      <c r="M3247" s="3588"/>
      <c r="N3247" s="3566"/>
    </row>
    <row r="3248" spans="13:14">
      <c r="M3248" s="3588"/>
      <c r="N3248" s="3566"/>
    </row>
    <row r="3249" spans="13:14">
      <c r="M3249" s="3588"/>
      <c r="N3249" s="3566"/>
    </row>
    <row r="3250" spans="13:14">
      <c r="M3250" s="3588"/>
      <c r="N3250" s="3566"/>
    </row>
    <row r="3251" spans="13:14">
      <c r="M3251" s="3588"/>
      <c r="N3251" s="3566"/>
    </row>
    <row r="3252" spans="13:14">
      <c r="M3252" s="3588"/>
      <c r="N3252" s="3566"/>
    </row>
    <row r="3253" spans="13:14">
      <c r="M3253" s="3588"/>
      <c r="N3253" s="3566"/>
    </row>
    <row r="3254" spans="13:14">
      <c r="M3254" s="3588"/>
      <c r="N3254" s="3566"/>
    </row>
    <row r="3255" spans="13:14">
      <c r="M3255" s="3588"/>
      <c r="N3255" s="3566"/>
    </row>
    <row r="3256" spans="13:14">
      <c r="M3256" s="3588"/>
      <c r="N3256" s="3566"/>
    </row>
    <row r="3257" spans="13:14">
      <c r="M3257" s="3588"/>
      <c r="N3257" s="3566"/>
    </row>
    <row r="3258" spans="13:14">
      <c r="M3258" s="3588"/>
      <c r="N3258" s="3566"/>
    </row>
    <row r="3259" spans="13:14">
      <c r="M3259" s="3588"/>
      <c r="N3259" s="3566"/>
    </row>
    <row r="3260" spans="13:14">
      <c r="M3260" s="3588"/>
      <c r="N3260" s="3566"/>
    </row>
    <row r="3261" spans="13:14">
      <c r="M3261" s="3588"/>
      <c r="N3261" s="3566"/>
    </row>
    <row r="3262" spans="13:14">
      <c r="M3262" s="3588"/>
      <c r="N3262" s="3566"/>
    </row>
    <row r="3263" spans="13:14">
      <c r="M3263" s="3588"/>
      <c r="N3263" s="3566"/>
    </row>
    <row r="3264" spans="13:14">
      <c r="M3264" s="3588"/>
      <c r="N3264" s="3566"/>
    </row>
    <row r="3265" spans="13:14">
      <c r="M3265" s="3588"/>
      <c r="N3265" s="3566"/>
    </row>
    <row r="3266" spans="13:14">
      <c r="M3266" s="3588"/>
      <c r="N3266" s="3566"/>
    </row>
    <row r="3267" spans="13:14">
      <c r="M3267" s="3588"/>
      <c r="N3267" s="3566"/>
    </row>
    <row r="3268" spans="13:14">
      <c r="M3268" s="3588"/>
      <c r="N3268" s="3566"/>
    </row>
    <row r="3269" spans="13:14">
      <c r="M3269" s="3588"/>
      <c r="N3269" s="3566"/>
    </row>
    <row r="3270" spans="13:14">
      <c r="M3270" s="3588"/>
      <c r="N3270" s="3566"/>
    </row>
    <row r="3271" spans="13:14">
      <c r="M3271" s="3588"/>
      <c r="N3271" s="3566"/>
    </row>
    <row r="3272" spans="13:14">
      <c r="M3272" s="3588"/>
      <c r="N3272" s="3566"/>
    </row>
    <row r="3273" spans="13:14">
      <c r="M3273" s="3588"/>
      <c r="N3273" s="3566"/>
    </row>
    <row r="3274" spans="13:14">
      <c r="M3274" s="3588"/>
      <c r="N3274" s="3566"/>
    </row>
    <row r="3275" spans="13:14">
      <c r="M3275" s="3588"/>
      <c r="N3275" s="3566"/>
    </row>
    <row r="3276" spans="13:14">
      <c r="M3276" s="3588"/>
      <c r="N3276" s="3566"/>
    </row>
    <row r="3277" spans="13:14">
      <c r="M3277" s="3588"/>
      <c r="N3277" s="3566"/>
    </row>
    <row r="3278" spans="13:14">
      <c r="M3278" s="3588"/>
      <c r="N3278" s="3566"/>
    </row>
    <row r="3279" spans="13:14">
      <c r="M3279" s="3588"/>
      <c r="N3279" s="3566"/>
    </row>
    <row r="3280" spans="13:14">
      <c r="M3280" s="3588"/>
      <c r="N3280" s="3566"/>
    </row>
    <row r="3281" spans="13:14">
      <c r="M3281" s="3588"/>
      <c r="N3281" s="3566"/>
    </row>
    <row r="3282" spans="13:14">
      <c r="M3282" s="3588"/>
      <c r="N3282" s="3566"/>
    </row>
    <row r="3283" spans="13:14">
      <c r="M3283" s="3588"/>
      <c r="N3283" s="3566"/>
    </row>
    <row r="3284" spans="13:14">
      <c r="M3284" s="3588"/>
      <c r="N3284" s="3566"/>
    </row>
    <row r="3285" spans="13:14">
      <c r="M3285" s="3588"/>
      <c r="N3285" s="3566"/>
    </row>
    <row r="3286" spans="13:14">
      <c r="M3286" s="3588"/>
      <c r="N3286" s="3566"/>
    </row>
    <row r="3287" spans="13:14">
      <c r="M3287" s="3588"/>
      <c r="N3287" s="3566"/>
    </row>
    <row r="3288" spans="13:14">
      <c r="M3288" s="3588"/>
      <c r="N3288" s="3566"/>
    </row>
    <row r="3289" spans="13:14">
      <c r="M3289" s="3588"/>
      <c r="N3289" s="3566"/>
    </row>
    <row r="3290" spans="13:14">
      <c r="M3290" s="3588"/>
      <c r="N3290" s="3566"/>
    </row>
    <row r="3291" spans="13:14">
      <c r="M3291" s="3588"/>
      <c r="N3291" s="3566"/>
    </row>
    <row r="3292" spans="13:14">
      <c r="M3292" s="3588"/>
      <c r="N3292" s="3566"/>
    </row>
    <row r="3293" spans="13:14">
      <c r="M3293" s="3588"/>
      <c r="N3293" s="3566"/>
    </row>
    <row r="3294" spans="13:14">
      <c r="M3294" s="3588"/>
      <c r="N3294" s="3566"/>
    </row>
    <row r="3295" spans="13:14">
      <c r="M3295" s="3588"/>
      <c r="N3295" s="3566"/>
    </row>
    <row r="3296" spans="13:14">
      <c r="M3296" s="3588"/>
      <c r="N3296" s="3566"/>
    </row>
    <row r="3297" spans="13:14">
      <c r="M3297" s="3588"/>
      <c r="N3297" s="3566"/>
    </row>
    <row r="3298" spans="13:14">
      <c r="M3298" s="3588"/>
      <c r="N3298" s="3566"/>
    </row>
    <row r="3299" spans="13:14">
      <c r="M3299" s="3588"/>
      <c r="N3299" s="3566"/>
    </row>
    <row r="3300" spans="13:14">
      <c r="M3300" s="3588"/>
      <c r="N3300" s="3566"/>
    </row>
    <row r="3301" spans="13:14">
      <c r="M3301" s="3588"/>
      <c r="N3301" s="3566"/>
    </row>
    <row r="3302" spans="13:14">
      <c r="M3302" s="3588"/>
      <c r="N3302" s="3566"/>
    </row>
    <row r="3303" spans="13:14">
      <c r="M3303" s="3588"/>
      <c r="N3303" s="3566"/>
    </row>
    <row r="3304" spans="13:14">
      <c r="M3304" s="3588"/>
      <c r="N3304" s="3566"/>
    </row>
    <row r="3305" spans="13:14">
      <c r="M3305" s="3588"/>
      <c r="N3305" s="3566"/>
    </row>
    <row r="3306" spans="13:14">
      <c r="M3306" s="3588"/>
      <c r="N3306" s="3566"/>
    </row>
    <row r="3307" spans="13:14">
      <c r="M3307" s="3588"/>
      <c r="N3307" s="3566"/>
    </row>
    <row r="3308" spans="13:14">
      <c r="M3308" s="3588"/>
      <c r="N3308" s="3566"/>
    </row>
    <row r="3309" spans="13:14">
      <c r="M3309" s="3588"/>
      <c r="N3309" s="3566"/>
    </row>
    <row r="3310" spans="13:14">
      <c r="M3310" s="3588"/>
      <c r="N3310" s="3566"/>
    </row>
    <row r="3311" spans="13:14">
      <c r="M3311" s="3588"/>
      <c r="N3311" s="3566"/>
    </row>
    <row r="3312" spans="13:14">
      <c r="M3312" s="3588"/>
      <c r="N3312" s="3566"/>
    </row>
    <row r="3313" spans="13:14">
      <c r="M3313" s="3588"/>
      <c r="N3313" s="3566"/>
    </row>
    <row r="3314" spans="13:14">
      <c r="M3314" s="3588"/>
      <c r="N3314" s="3566"/>
    </row>
    <row r="3315" spans="13:14">
      <c r="M3315" s="3588"/>
      <c r="N3315" s="3566"/>
    </row>
    <row r="3316" spans="13:14">
      <c r="M3316" s="3588"/>
      <c r="N3316" s="3566"/>
    </row>
    <row r="3317" spans="13:14">
      <c r="M3317" s="3588"/>
      <c r="N3317" s="3566"/>
    </row>
    <row r="3318" spans="13:14">
      <c r="M3318" s="3588"/>
      <c r="N3318" s="3566"/>
    </row>
    <row r="3319" spans="13:14">
      <c r="M3319" s="3588"/>
      <c r="N3319" s="3566"/>
    </row>
    <row r="3320" spans="13:14">
      <c r="M3320" s="3588"/>
      <c r="N3320" s="3566"/>
    </row>
    <row r="3321" spans="13:14">
      <c r="M3321" s="3588"/>
      <c r="N3321" s="3566"/>
    </row>
    <row r="3322" spans="13:14">
      <c r="M3322" s="3588"/>
      <c r="N3322" s="3566"/>
    </row>
    <row r="3323" spans="13:14">
      <c r="M3323" s="3588"/>
      <c r="N3323" s="3566"/>
    </row>
    <row r="3324" spans="13:14">
      <c r="M3324" s="3588"/>
      <c r="N3324" s="3566"/>
    </row>
    <row r="3325" spans="13:14">
      <c r="M3325" s="3588"/>
      <c r="N3325" s="3566"/>
    </row>
    <row r="3326" spans="13:14">
      <c r="M3326" s="3588"/>
      <c r="N3326" s="3566"/>
    </row>
    <row r="3327" spans="13:14">
      <c r="M3327" s="3588"/>
      <c r="N3327" s="3566"/>
    </row>
    <row r="3328" spans="13:14">
      <c r="M3328" s="3588"/>
      <c r="N3328" s="3566"/>
    </row>
    <row r="3329" spans="13:14">
      <c r="M3329" s="3588"/>
      <c r="N3329" s="3566"/>
    </row>
    <row r="3330" spans="13:14">
      <c r="M3330" s="3588"/>
      <c r="N3330" s="3566"/>
    </row>
    <row r="3331" spans="13:14">
      <c r="M3331" s="3588"/>
      <c r="N3331" s="3566"/>
    </row>
    <row r="3332" spans="13:14">
      <c r="M3332" s="3588"/>
      <c r="N3332" s="3566"/>
    </row>
    <row r="3333" spans="13:14">
      <c r="M3333" s="3588"/>
      <c r="N3333" s="3566"/>
    </row>
    <row r="3334" spans="13:14">
      <c r="M3334" s="3588"/>
      <c r="N3334" s="3566"/>
    </row>
    <row r="3335" spans="13:14">
      <c r="M3335" s="3588"/>
      <c r="N3335" s="3566"/>
    </row>
    <row r="3336" spans="13:14">
      <c r="M3336" s="3588"/>
      <c r="N3336" s="3566"/>
    </row>
    <row r="3337" spans="13:14">
      <c r="M3337" s="3588"/>
      <c r="N3337" s="3566"/>
    </row>
    <row r="3338" spans="13:14">
      <c r="M3338" s="3588"/>
      <c r="N3338" s="3566"/>
    </row>
    <row r="3339" spans="13:14">
      <c r="M3339" s="3588"/>
      <c r="N3339" s="3566"/>
    </row>
    <row r="3340" spans="13:14">
      <c r="M3340" s="3588"/>
      <c r="N3340" s="3566"/>
    </row>
    <row r="3341" spans="13:14">
      <c r="M3341" s="3588"/>
      <c r="N3341" s="3566"/>
    </row>
    <row r="3342" spans="13:14">
      <c r="M3342" s="3588"/>
      <c r="N3342" s="3566"/>
    </row>
    <row r="3343" spans="13:14">
      <c r="M3343" s="3588"/>
      <c r="N3343" s="3566"/>
    </row>
    <row r="3344" spans="13:14">
      <c r="M3344" s="3588"/>
      <c r="N3344" s="3566"/>
    </row>
    <row r="3345" spans="13:14">
      <c r="M3345" s="3588"/>
      <c r="N3345" s="3566"/>
    </row>
    <row r="3346" spans="13:14">
      <c r="M3346" s="3588"/>
      <c r="N3346" s="3566"/>
    </row>
    <row r="3347" spans="13:14">
      <c r="M3347" s="3588"/>
      <c r="N3347" s="3566"/>
    </row>
    <row r="3348" spans="13:14">
      <c r="M3348" s="3588"/>
      <c r="N3348" s="3566"/>
    </row>
    <row r="3349" spans="13:14">
      <c r="M3349" s="3588"/>
      <c r="N3349" s="3566"/>
    </row>
    <row r="3350" spans="13:14">
      <c r="M3350" s="3588"/>
      <c r="N3350" s="3566"/>
    </row>
    <row r="3351" spans="13:14">
      <c r="M3351" s="3588"/>
      <c r="N3351" s="3566"/>
    </row>
    <row r="3352" spans="13:14">
      <c r="M3352" s="3588"/>
      <c r="N3352" s="3566"/>
    </row>
    <row r="3353" spans="13:14">
      <c r="M3353" s="3588"/>
      <c r="N3353" s="3566"/>
    </row>
    <row r="3354" spans="13:14">
      <c r="M3354" s="3588"/>
      <c r="N3354" s="3566"/>
    </row>
    <row r="3355" spans="13:14">
      <c r="M3355" s="3588"/>
      <c r="N3355" s="3566"/>
    </row>
    <row r="3356" spans="13:14">
      <c r="M3356" s="3588"/>
      <c r="N3356" s="3566"/>
    </row>
    <row r="3357" spans="13:14">
      <c r="M3357" s="3588"/>
      <c r="N3357" s="3566"/>
    </row>
    <row r="3358" spans="13:14">
      <c r="M3358" s="3588"/>
      <c r="N3358" s="3566"/>
    </row>
    <row r="3359" spans="13:14">
      <c r="M3359" s="3588"/>
      <c r="N3359" s="3566"/>
    </row>
    <row r="3360" spans="13:14">
      <c r="M3360" s="3588"/>
      <c r="N3360" s="3566"/>
    </row>
    <row r="3361" spans="13:14">
      <c r="M3361" s="3588"/>
      <c r="N3361" s="3566"/>
    </row>
    <row r="3362" spans="13:14">
      <c r="M3362" s="3588"/>
      <c r="N3362" s="3566"/>
    </row>
    <row r="3363" spans="13:14">
      <c r="M3363" s="3588"/>
      <c r="N3363" s="3566"/>
    </row>
    <row r="3364" spans="13:14">
      <c r="M3364" s="3588"/>
      <c r="N3364" s="3566"/>
    </row>
    <row r="3365" spans="13:14">
      <c r="M3365" s="3588"/>
      <c r="N3365" s="3566"/>
    </row>
    <row r="3366" spans="13:14">
      <c r="M3366" s="3588"/>
      <c r="N3366" s="3566"/>
    </row>
    <row r="3367" spans="13:14">
      <c r="M3367" s="3588"/>
      <c r="N3367" s="3566"/>
    </row>
    <row r="3368" spans="13:14">
      <c r="M3368" s="3588"/>
      <c r="N3368" s="3566"/>
    </row>
    <row r="3369" spans="13:14">
      <c r="M3369" s="3588"/>
      <c r="N3369" s="3566"/>
    </row>
    <row r="3370" spans="13:14">
      <c r="M3370" s="3588"/>
      <c r="N3370" s="3566"/>
    </row>
    <row r="3371" spans="13:14">
      <c r="M3371" s="3588"/>
      <c r="N3371" s="3566"/>
    </row>
    <row r="3372" spans="13:14">
      <c r="M3372" s="3588"/>
      <c r="N3372" s="3566"/>
    </row>
    <row r="3373" spans="13:14">
      <c r="M3373" s="3588"/>
      <c r="N3373" s="3566"/>
    </row>
    <row r="3374" spans="13:14">
      <c r="M3374" s="3588"/>
      <c r="N3374" s="3566"/>
    </row>
    <row r="3375" spans="13:14">
      <c r="M3375" s="3588"/>
      <c r="N3375" s="3566"/>
    </row>
    <row r="3376" spans="13:14">
      <c r="M3376" s="3588"/>
      <c r="N3376" s="3566"/>
    </row>
    <row r="3377" spans="13:14">
      <c r="M3377" s="3588"/>
      <c r="N3377" s="3566"/>
    </row>
    <row r="3378" spans="13:14">
      <c r="M3378" s="3588"/>
      <c r="N3378" s="3566"/>
    </row>
    <row r="3379" spans="13:14">
      <c r="M3379" s="3588"/>
      <c r="N3379" s="3566"/>
    </row>
    <row r="3380" spans="13:14">
      <c r="M3380" s="3588"/>
      <c r="N3380" s="3566"/>
    </row>
    <row r="3381" spans="13:14">
      <c r="M3381" s="3588"/>
      <c r="N3381" s="3566"/>
    </row>
    <row r="3382" spans="13:14">
      <c r="M3382" s="3588"/>
      <c r="N3382" s="3566"/>
    </row>
    <row r="3383" spans="13:14">
      <c r="M3383" s="3588"/>
      <c r="N3383" s="3566"/>
    </row>
    <row r="3384" spans="13:14">
      <c r="M3384" s="3588"/>
      <c r="N3384" s="3566"/>
    </row>
    <row r="3385" spans="13:14">
      <c r="M3385" s="3588"/>
      <c r="N3385" s="3566"/>
    </row>
    <row r="3386" spans="13:14">
      <c r="M3386" s="3588"/>
      <c r="N3386" s="3566"/>
    </row>
    <row r="3387" spans="13:14">
      <c r="M3387" s="3588"/>
      <c r="N3387" s="3566"/>
    </row>
    <row r="3388" spans="13:14">
      <c r="M3388" s="3588"/>
      <c r="N3388" s="3566"/>
    </row>
    <row r="3389" spans="13:14">
      <c r="M3389" s="3588"/>
      <c r="N3389" s="3566"/>
    </row>
    <row r="3390" spans="13:14">
      <c r="M3390" s="3588"/>
      <c r="N3390" s="3566"/>
    </row>
    <row r="3391" spans="13:14">
      <c r="M3391" s="3588"/>
      <c r="N3391" s="3566"/>
    </row>
    <row r="3392" spans="13:14">
      <c r="M3392" s="3588"/>
      <c r="N3392" s="3566"/>
    </row>
    <row r="3393" spans="13:14">
      <c r="M3393" s="3588"/>
      <c r="N3393" s="3566"/>
    </row>
    <row r="3394" spans="13:14">
      <c r="M3394" s="3588"/>
      <c r="N3394" s="3566"/>
    </row>
    <row r="3395" spans="13:14">
      <c r="M3395" s="3588"/>
      <c r="N3395" s="3566"/>
    </row>
    <row r="3396" spans="13:14">
      <c r="M3396" s="3588"/>
      <c r="N3396" s="3566"/>
    </row>
    <row r="3397" spans="13:14">
      <c r="M3397" s="3588"/>
      <c r="N3397" s="3566"/>
    </row>
    <row r="3398" spans="13:14">
      <c r="M3398" s="3588"/>
      <c r="N3398" s="3566"/>
    </row>
    <row r="3399" spans="13:14">
      <c r="M3399" s="3588"/>
      <c r="N3399" s="3566"/>
    </row>
    <row r="3400" spans="13:14">
      <c r="M3400" s="3588"/>
      <c r="N3400" s="3566"/>
    </row>
    <row r="3401" spans="13:14">
      <c r="M3401" s="3588"/>
      <c r="N3401" s="3566"/>
    </row>
    <row r="3402" spans="13:14">
      <c r="M3402" s="3588"/>
      <c r="N3402" s="3566"/>
    </row>
    <row r="3403" spans="13:14">
      <c r="M3403" s="3588"/>
      <c r="N3403" s="3566"/>
    </row>
    <row r="3404" spans="13:14">
      <c r="M3404" s="3588"/>
      <c r="N3404" s="3566"/>
    </row>
    <row r="3405" spans="13:14">
      <c r="M3405" s="3588"/>
      <c r="N3405" s="3566"/>
    </row>
    <row r="3406" spans="13:14">
      <c r="M3406" s="3588"/>
      <c r="N3406" s="3566"/>
    </row>
    <row r="3407" spans="13:14">
      <c r="M3407" s="3588"/>
      <c r="N3407" s="3566"/>
    </row>
    <row r="3408" spans="13:14">
      <c r="M3408" s="3588"/>
      <c r="N3408" s="3566"/>
    </row>
    <row r="3409" spans="13:14">
      <c r="M3409" s="3588"/>
      <c r="N3409" s="3566"/>
    </row>
    <row r="3410" spans="13:14">
      <c r="M3410" s="3588"/>
      <c r="N3410" s="3566"/>
    </row>
    <row r="3411" spans="13:14">
      <c r="M3411" s="3588"/>
      <c r="N3411" s="3566"/>
    </row>
    <row r="3412" spans="13:14">
      <c r="M3412" s="3588"/>
      <c r="N3412" s="3566"/>
    </row>
    <row r="3413" spans="13:14">
      <c r="M3413" s="3588"/>
      <c r="N3413" s="3566"/>
    </row>
    <row r="3414" spans="13:14">
      <c r="M3414" s="3588"/>
      <c r="N3414" s="3566"/>
    </row>
    <row r="3415" spans="13:14">
      <c r="M3415" s="3588"/>
      <c r="N3415" s="3566"/>
    </row>
    <row r="3416" spans="13:14">
      <c r="M3416" s="3588"/>
      <c r="N3416" s="3566"/>
    </row>
    <row r="3417" spans="13:14">
      <c r="M3417" s="3588"/>
      <c r="N3417" s="3566"/>
    </row>
    <row r="3418" spans="13:14">
      <c r="M3418" s="3588"/>
      <c r="N3418" s="3566"/>
    </row>
    <row r="3419" spans="13:14">
      <c r="M3419" s="3588"/>
      <c r="N3419" s="3566"/>
    </row>
    <row r="3420" spans="13:14">
      <c r="M3420" s="3588"/>
      <c r="N3420" s="3566"/>
    </row>
    <row r="3421" spans="13:14">
      <c r="M3421" s="3588"/>
      <c r="N3421" s="3566"/>
    </row>
    <row r="3422" spans="13:14">
      <c r="M3422" s="3588"/>
      <c r="N3422" s="3566"/>
    </row>
    <row r="3423" spans="13:14">
      <c r="M3423" s="3588"/>
      <c r="N3423" s="3566"/>
    </row>
    <row r="3424" spans="13:14">
      <c r="M3424" s="3588"/>
      <c r="N3424" s="3566"/>
    </row>
    <row r="3425" spans="13:14">
      <c r="M3425" s="3588"/>
      <c r="N3425" s="3566"/>
    </row>
    <row r="3426" spans="13:14">
      <c r="M3426" s="3588"/>
      <c r="N3426" s="3566"/>
    </row>
    <row r="3427" spans="13:14">
      <c r="M3427" s="3588"/>
      <c r="N3427" s="3566"/>
    </row>
    <row r="3428" spans="13:14">
      <c r="M3428" s="3588"/>
      <c r="N3428" s="3566"/>
    </row>
    <row r="3429" spans="13:14">
      <c r="M3429" s="3588"/>
      <c r="N3429" s="3566"/>
    </row>
    <row r="3430" spans="13:14">
      <c r="M3430" s="3588"/>
      <c r="N3430" s="3566"/>
    </row>
    <row r="3431" spans="13:14">
      <c r="M3431" s="3588"/>
      <c r="N3431" s="3566"/>
    </row>
    <row r="3432" spans="13:14">
      <c r="M3432" s="3588"/>
      <c r="N3432" s="3566"/>
    </row>
    <row r="3433" spans="13:14">
      <c r="M3433" s="3588"/>
      <c r="N3433" s="3566"/>
    </row>
    <row r="3434" spans="13:14">
      <c r="M3434" s="3588"/>
      <c r="N3434" s="3566"/>
    </row>
    <row r="3435" spans="13:14">
      <c r="M3435" s="3588"/>
      <c r="N3435" s="3566"/>
    </row>
    <row r="3436" spans="13:14">
      <c r="M3436" s="3588"/>
      <c r="N3436" s="3566"/>
    </row>
    <row r="3437" spans="13:14">
      <c r="M3437" s="3588"/>
      <c r="N3437" s="3566"/>
    </row>
    <row r="3438" spans="13:14">
      <c r="M3438" s="3588"/>
      <c r="N3438" s="3566"/>
    </row>
    <row r="3439" spans="13:14">
      <c r="M3439" s="3588"/>
      <c r="N3439" s="3566"/>
    </row>
    <row r="3440" spans="13:14">
      <c r="M3440" s="3588"/>
      <c r="N3440" s="3566"/>
    </row>
    <row r="3441" spans="13:14">
      <c r="M3441" s="3588"/>
      <c r="N3441" s="3566"/>
    </row>
    <row r="3442" spans="13:14">
      <c r="M3442" s="3588"/>
      <c r="N3442" s="3566"/>
    </row>
    <row r="3443" spans="13:14">
      <c r="M3443" s="3588"/>
      <c r="N3443" s="3566"/>
    </row>
    <row r="3444" spans="13:14">
      <c r="M3444" s="3588"/>
      <c r="N3444" s="3566"/>
    </row>
    <row r="3445" spans="13:14">
      <c r="M3445" s="3588"/>
      <c r="N3445" s="3566"/>
    </row>
    <row r="3446" spans="13:14">
      <c r="M3446" s="3588"/>
      <c r="N3446" s="3566"/>
    </row>
    <row r="3447" spans="13:14">
      <c r="M3447" s="3588"/>
      <c r="N3447" s="3566"/>
    </row>
    <row r="3448" spans="13:14">
      <c r="M3448" s="3588"/>
      <c r="N3448" s="3566"/>
    </row>
    <row r="3449" spans="13:14">
      <c r="M3449" s="3588"/>
      <c r="N3449" s="3566"/>
    </row>
    <row r="3450" spans="13:14">
      <c r="M3450" s="3588"/>
      <c r="N3450" s="3566"/>
    </row>
    <row r="3451" spans="13:14">
      <c r="M3451" s="3588"/>
      <c r="N3451" s="3566"/>
    </row>
    <row r="3452" spans="13:14">
      <c r="M3452" s="3588"/>
      <c r="N3452" s="3566"/>
    </row>
    <row r="3453" spans="13:14">
      <c r="M3453" s="3588"/>
      <c r="N3453" s="3566"/>
    </row>
    <row r="3454" spans="13:14">
      <c r="M3454" s="3588"/>
      <c r="N3454" s="3566"/>
    </row>
    <row r="3455" spans="13:14">
      <c r="M3455" s="3588"/>
      <c r="N3455" s="3566"/>
    </row>
  </sheetData>
  <phoneticPr fontId="134"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114E-E5A5-4928-A92D-EFFE2960F161}">
  <sheetPr>
    <tabColor rgb="FF7030A0"/>
  </sheetPr>
  <dimension ref="A1:O18"/>
  <sheetViews>
    <sheetView workbookViewId="0">
      <selection activeCell="I20" sqref="I20"/>
    </sheetView>
  </sheetViews>
  <sheetFormatPr defaultColWidth="9" defaultRowHeight="14.25"/>
  <cols>
    <col min="1" max="1" width="10.5" style="3619" customWidth="1"/>
    <col min="2" max="2" width="9.5" style="3619" customWidth="1"/>
    <col min="3" max="3" width="13.875" style="3619" customWidth="1"/>
    <col min="4" max="8" width="7.5" style="3619" customWidth="1"/>
    <col min="9" max="9" width="37.125" style="3619" customWidth="1"/>
    <col min="10" max="10" width="10.5" style="3619" customWidth="1"/>
    <col min="11" max="12" width="5.5" style="3619" customWidth="1"/>
    <col min="13" max="13" width="13.875" style="3619" customWidth="1"/>
    <col min="14" max="14" width="16.125" style="3619" customWidth="1"/>
    <col min="15" max="15" width="17.25" style="3619" customWidth="1"/>
    <col min="16" max="16" width="20" style="3619" customWidth="1"/>
    <col min="17" max="16384" width="9" style="3619"/>
  </cols>
  <sheetData>
    <row r="1" spans="1:15">
      <c r="A1" s="3619" t="s">
        <v>3910</v>
      </c>
      <c r="B1" s="3619" t="s">
        <v>3911</v>
      </c>
      <c r="C1" s="3619" t="s">
        <v>3912</v>
      </c>
      <c r="D1" s="3619" t="s">
        <v>3913</v>
      </c>
      <c r="E1" s="3619" t="s">
        <v>3914</v>
      </c>
      <c r="F1" s="3619" t="s">
        <v>3915</v>
      </c>
      <c r="G1" s="3619" t="s">
        <v>3916</v>
      </c>
      <c r="H1" s="3619" t="s">
        <v>3917</v>
      </c>
      <c r="I1" s="3619" t="s">
        <v>3918</v>
      </c>
      <c r="J1" s="3619" t="s">
        <v>3919</v>
      </c>
      <c r="K1" s="3619" t="s">
        <v>3920</v>
      </c>
      <c r="L1" s="3619" t="s">
        <v>3921</v>
      </c>
      <c r="M1" s="3619" t="s">
        <v>3922</v>
      </c>
      <c r="N1" s="3619" t="s">
        <v>3923</v>
      </c>
      <c r="O1" s="3619" t="s">
        <v>3924</v>
      </c>
    </row>
    <row r="2" spans="1:15">
      <c r="A2" s="3620">
        <v>45195.333831018499</v>
      </c>
      <c r="B2" s="3619" t="s">
        <v>3925</v>
      </c>
      <c r="C2" s="3619" t="s">
        <v>3925</v>
      </c>
      <c r="D2" s="3619" t="s">
        <v>3926</v>
      </c>
      <c r="E2" s="3619" t="s">
        <v>3925</v>
      </c>
      <c r="F2" s="3619" t="s">
        <v>3925</v>
      </c>
      <c r="G2" s="3619">
        <v>8</v>
      </c>
      <c r="H2" s="3619">
        <v>801</v>
      </c>
      <c r="I2" s="3619" t="s">
        <v>3927</v>
      </c>
      <c r="J2" s="3619" t="s">
        <v>21</v>
      </c>
      <c r="K2" s="3619" t="s">
        <v>3534</v>
      </c>
      <c r="L2" s="3619">
        <v>1</v>
      </c>
      <c r="M2" s="3619">
        <v>897.54</v>
      </c>
      <c r="N2" s="3619">
        <v>4487.7</v>
      </c>
      <c r="O2" s="3619">
        <v>50000</v>
      </c>
    </row>
    <row r="3" spans="1:15">
      <c r="A3" s="3620">
        <v>45195.333831018499</v>
      </c>
      <c r="B3" s="3619" t="s">
        <v>3925</v>
      </c>
      <c r="C3" s="3619" t="s">
        <v>3925</v>
      </c>
      <c r="D3" s="3619" t="s">
        <v>3926</v>
      </c>
      <c r="E3" s="3619" t="s">
        <v>3925</v>
      </c>
      <c r="F3" s="3619" t="s">
        <v>3925</v>
      </c>
      <c r="G3" s="3619">
        <v>6</v>
      </c>
      <c r="H3" s="3619">
        <v>601</v>
      </c>
      <c r="I3" s="3619" t="s">
        <v>3928</v>
      </c>
      <c r="J3" s="3619" t="s">
        <v>21</v>
      </c>
      <c r="K3" s="3619" t="s">
        <v>3534</v>
      </c>
      <c r="L3" s="3619">
        <v>1</v>
      </c>
      <c r="M3" s="3619">
        <v>897.54</v>
      </c>
      <c r="N3" s="3619">
        <v>4487.7</v>
      </c>
      <c r="O3" s="3619">
        <v>50000</v>
      </c>
    </row>
    <row r="4" spans="1:15">
      <c r="A4" s="3620">
        <v>45195.333831018499</v>
      </c>
      <c r="B4" s="3619" t="s">
        <v>3925</v>
      </c>
      <c r="C4" s="3619" t="s">
        <v>3925</v>
      </c>
      <c r="D4" s="3619" t="s">
        <v>3926</v>
      </c>
      <c r="E4" s="3619" t="s">
        <v>3925</v>
      </c>
      <c r="F4" s="3619" t="s">
        <v>3925</v>
      </c>
      <c r="G4" s="3619">
        <v>5</v>
      </c>
      <c r="H4" s="3619">
        <v>501</v>
      </c>
      <c r="I4" s="3619" t="s">
        <v>3928</v>
      </c>
      <c r="J4" s="3619" t="s">
        <v>21</v>
      </c>
      <c r="K4" s="3619" t="s">
        <v>3534</v>
      </c>
      <c r="L4" s="3619">
        <v>1</v>
      </c>
      <c r="M4" s="3619">
        <v>897.54</v>
      </c>
      <c r="N4" s="3619">
        <v>4487.7</v>
      </c>
      <c r="O4" s="3619">
        <v>50000</v>
      </c>
    </row>
    <row r="5" spans="1:15">
      <c r="A5" s="3620">
        <v>45195.333831018499</v>
      </c>
      <c r="B5" s="3619" t="s">
        <v>3925</v>
      </c>
      <c r="C5" s="3619" t="s">
        <v>3925</v>
      </c>
      <c r="D5" s="3619" t="s">
        <v>3926</v>
      </c>
      <c r="E5" s="3619" t="s">
        <v>3925</v>
      </c>
      <c r="F5" s="3619" t="s">
        <v>3925</v>
      </c>
      <c r="G5" s="3619">
        <v>4</v>
      </c>
      <c r="H5" s="3619">
        <v>401</v>
      </c>
      <c r="I5" s="3619" t="s">
        <v>3928</v>
      </c>
      <c r="J5" s="3619" t="s">
        <v>21</v>
      </c>
      <c r="K5" s="3619" t="s">
        <v>3534</v>
      </c>
      <c r="L5" s="3619">
        <v>1</v>
      </c>
      <c r="M5" s="3619">
        <v>897.54</v>
      </c>
      <c r="N5" s="3619">
        <v>4487.7</v>
      </c>
      <c r="O5" s="3619">
        <v>50000</v>
      </c>
    </row>
    <row r="6" spans="1:15">
      <c r="A6" s="3620">
        <v>45195.333831018499</v>
      </c>
      <c r="B6" s="3619" t="s">
        <v>3925</v>
      </c>
      <c r="C6" s="3619" t="s">
        <v>3925</v>
      </c>
      <c r="D6" s="3619" t="s">
        <v>3926</v>
      </c>
      <c r="E6" s="3619" t="s">
        <v>3925</v>
      </c>
      <c r="F6" s="3619" t="s">
        <v>3925</v>
      </c>
      <c r="G6" s="3619">
        <v>10</v>
      </c>
      <c r="H6" s="3619">
        <v>1001</v>
      </c>
      <c r="I6" s="3619" t="s">
        <v>3928</v>
      </c>
      <c r="J6" s="3619" t="s">
        <v>21</v>
      </c>
      <c r="K6" s="3619" t="s">
        <v>3534</v>
      </c>
      <c r="L6" s="3619">
        <v>1</v>
      </c>
      <c r="M6" s="3619">
        <v>897.54</v>
      </c>
      <c r="N6" s="3619">
        <v>4487.7</v>
      </c>
      <c r="O6" s="3619">
        <v>50000</v>
      </c>
    </row>
    <row r="7" spans="1:15">
      <c r="A7" s="3620">
        <v>45195.333831018499</v>
      </c>
      <c r="B7" s="3619" t="s">
        <v>3925</v>
      </c>
      <c r="C7" s="3619" t="s">
        <v>3925</v>
      </c>
      <c r="D7" s="3619" t="s">
        <v>3926</v>
      </c>
      <c r="E7" s="3619" t="s">
        <v>3925</v>
      </c>
      <c r="F7" s="3619" t="s">
        <v>3925</v>
      </c>
      <c r="G7" s="3619">
        <v>9</v>
      </c>
      <c r="H7" s="3619">
        <v>901</v>
      </c>
      <c r="I7" s="3619" t="s">
        <v>3928</v>
      </c>
      <c r="J7" s="3619" t="s">
        <v>21</v>
      </c>
      <c r="K7" s="3619" t="s">
        <v>3534</v>
      </c>
      <c r="L7" s="3619">
        <v>1</v>
      </c>
      <c r="M7" s="3619">
        <v>897.54</v>
      </c>
      <c r="N7" s="3619">
        <v>4487.7</v>
      </c>
      <c r="O7" s="3619">
        <v>50000</v>
      </c>
    </row>
    <row r="8" spans="1:15">
      <c r="A8" s="3620">
        <v>45195.333831018499</v>
      </c>
      <c r="B8" s="3619" t="s">
        <v>3925</v>
      </c>
      <c r="C8" s="3619" t="s">
        <v>3925</v>
      </c>
      <c r="D8" s="3619" t="s">
        <v>3926</v>
      </c>
      <c r="E8" s="3619" t="s">
        <v>3925</v>
      </c>
      <c r="F8" s="3619" t="s">
        <v>3925</v>
      </c>
      <c r="G8" s="3619">
        <v>1</v>
      </c>
      <c r="H8" s="3619">
        <v>101</v>
      </c>
      <c r="I8" s="3619" t="s">
        <v>3928</v>
      </c>
      <c r="J8" s="3619" t="s">
        <v>673</v>
      </c>
      <c r="K8" s="3619" t="s">
        <v>3534</v>
      </c>
      <c r="L8" s="3619">
        <v>1</v>
      </c>
      <c r="M8" s="3619">
        <v>801.28</v>
      </c>
      <c r="N8" s="3619">
        <v>4006.4</v>
      </c>
      <c r="O8" s="3619">
        <v>50000</v>
      </c>
    </row>
    <row r="9" spans="1:15">
      <c r="A9" s="3620">
        <v>45195.333831018499</v>
      </c>
      <c r="B9" s="3619" t="s">
        <v>3925</v>
      </c>
      <c r="C9" s="3619" t="s">
        <v>3925</v>
      </c>
      <c r="D9" s="3619" t="s">
        <v>3926</v>
      </c>
      <c r="E9" s="3619" t="s">
        <v>3925</v>
      </c>
      <c r="F9" s="3619" t="s">
        <v>3925</v>
      </c>
      <c r="G9" s="3621">
        <v>-1</v>
      </c>
      <c r="H9" s="3619">
        <v>-102</v>
      </c>
      <c r="I9" s="3619" t="s">
        <v>3928</v>
      </c>
      <c r="J9" s="3621" t="s">
        <v>673</v>
      </c>
      <c r="K9" s="3619" t="s">
        <v>3534</v>
      </c>
      <c r="L9" s="3619">
        <v>1</v>
      </c>
      <c r="M9" s="3619">
        <v>857.83</v>
      </c>
      <c r="N9" s="3619">
        <v>1286.75</v>
      </c>
      <c r="O9" s="3619">
        <v>15000</v>
      </c>
    </row>
    <row r="10" spans="1:15">
      <c r="A10" s="3620">
        <v>45195.333831018499</v>
      </c>
      <c r="B10" s="3619" t="s">
        <v>3925</v>
      </c>
      <c r="C10" s="3619" t="s">
        <v>3925</v>
      </c>
      <c r="D10" s="3619" t="s">
        <v>3926</v>
      </c>
      <c r="E10" s="3619" t="s">
        <v>3925</v>
      </c>
      <c r="F10" s="3619" t="s">
        <v>3925</v>
      </c>
      <c r="G10" s="3619">
        <v>3</v>
      </c>
      <c r="H10" s="3619">
        <v>301</v>
      </c>
      <c r="I10" s="3619" t="s">
        <v>3928</v>
      </c>
      <c r="J10" s="3619" t="s">
        <v>21</v>
      </c>
      <c r="K10" s="3619" t="s">
        <v>3534</v>
      </c>
      <c r="L10" s="3619">
        <v>1</v>
      </c>
      <c r="M10" s="3619">
        <v>897.54</v>
      </c>
      <c r="N10" s="3619">
        <v>4487.7</v>
      </c>
      <c r="O10" s="3619">
        <v>50000</v>
      </c>
    </row>
    <row r="11" spans="1:15">
      <c r="A11" s="3620">
        <v>45195.333831018499</v>
      </c>
      <c r="B11" s="3619" t="s">
        <v>3925</v>
      </c>
      <c r="C11" s="3619" t="s">
        <v>3925</v>
      </c>
      <c r="D11" s="3619" t="s">
        <v>3926</v>
      </c>
      <c r="E11" s="3619" t="s">
        <v>3925</v>
      </c>
      <c r="F11" s="3619" t="s">
        <v>3925</v>
      </c>
      <c r="G11" s="3619">
        <v>7</v>
      </c>
      <c r="H11" s="3619">
        <v>701</v>
      </c>
      <c r="I11" s="3619" t="s">
        <v>3928</v>
      </c>
      <c r="J11" s="3619" t="s">
        <v>21</v>
      </c>
      <c r="K11" s="3619" t="s">
        <v>3534</v>
      </c>
      <c r="L11" s="3619">
        <v>1</v>
      </c>
      <c r="M11" s="3619">
        <v>897.54</v>
      </c>
      <c r="N11" s="3619">
        <v>4487.7</v>
      </c>
      <c r="O11" s="3619">
        <v>50000</v>
      </c>
    </row>
    <row r="12" spans="1:15">
      <c r="A12" s="3620">
        <v>45195.333831018499</v>
      </c>
      <c r="B12" s="3619" t="s">
        <v>3925</v>
      </c>
      <c r="C12" s="3619" t="s">
        <v>3925</v>
      </c>
      <c r="D12" s="3619" t="s">
        <v>3926</v>
      </c>
      <c r="E12" s="3619" t="s">
        <v>3925</v>
      </c>
      <c r="F12" s="3619" t="s">
        <v>3925</v>
      </c>
      <c r="G12" s="3619">
        <v>2</v>
      </c>
      <c r="H12" s="3619">
        <v>201</v>
      </c>
      <c r="I12" s="3619" t="s">
        <v>3928</v>
      </c>
      <c r="J12" s="3619" t="s">
        <v>21</v>
      </c>
      <c r="K12" s="3619" t="s">
        <v>3534</v>
      </c>
      <c r="L12" s="3619">
        <v>1</v>
      </c>
      <c r="M12" s="3619">
        <v>897.54</v>
      </c>
      <c r="N12" s="3619">
        <v>4487.7</v>
      </c>
      <c r="O12" s="3619">
        <v>50000</v>
      </c>
    </row>
    <row r="13" spans="1:15">
      <c r="A13" s="3620">
        <v>45181.333831018499</v>
      </c>
      <c r="B13" s="3619" t="s">
        <v>3925</v>
      </c>
      <c r="C13" s="3619" t="s">
        <v>3925</v>
      </c>
      <c r="D13" s="3619" t="s">
        <v>3926</v>
      </c>
      <c r="E13" s="3619" t="s">
        <v>3925</v>
      </c>
      <c r="F13" s="3619" t="s">
        <v>3925</v>
      </c>
      <c r="G13" s="3621">
        <v>-1</v>
      </c>
      <c r="H13" s="3619">
        <v>-101</v>
      </c>
      <c r="I13" s="3619" t="s">
        <v>3928</v>
      </c>
      <c r="J13" s="3621" t="s">
        <v>673</v>
      </c>
      <c r="K13" s="3619" t="s">
        <v>3534</v>
      </c>
      <c r="L13" s="3619">
        <v>1</v>
      </c>
      <c r="M13" s="3619">
        <v>838.45</v>
      </c>
      <c r="N13" s="3619">
        <v>1257.68</v>
      </c>
      <c r="O13" s="3619">
        <v>15000</v>
      </c>
    </row>
    <row r="14" spans="1:15">
      <c r="M14" s="3619">
        <f>SUM(M2:M13)</f>
        <v>10575.420000000002</v>
      </c>
      <c r="N14" s="3619">
        <f>SUM(N2:N13)</f>
        <v>46940.13</v>
      </c>
      <c r="O14" s="3619">
        <f>ROUND(N14/M14*10000,0)</f>
        <v>44386</v>
      </c>
    </row>
    <row r="16" spans="1:15">
      <c r="M16" s="3619" t="s">
        <v>3411</v>
      </c>
      <c r="N16" s="3619" t="s">
        <v>3412</v>
      </c>
    </row>
    <row r="17" spans="12:14">
      <c r="L17" s="3619" t="s">
        <v>3929</v>
      </c>
      <c r="M17" s="3619">
        <f>M14-N17</f>
        <v>8879.1400000000012</v>
      </c>
      <c r="N17" s="3619">
        <f>M9+M13</f>
        <v>1696.2800000000002</v>
      </c>
    </row>
    <row r="18" spans="12:14">
      <c r="L18" s="3619" t="s">
        <v>3930</v>
      </c>
      <c r="M18" s="3619">
        <f>ROUND(M17/M14,2)</f>
        <v>0.84</v>
      </c>
      <c r="N18" s="3619">
        <f>ROUND(N17/M14,2)</f>
        <v>0.16</v>
      </c>
    </row>
  </sheetData>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61839-603F-4057-B97A-DD1B3EE7E447}">
  <sheetPr>
    <tabColor rgb="FF7030A0"/>
  </sheetPr>
  <dimension ref="A1:O24"/>
  <sheetViews>
    <sheetView workbookViewId="0">
      <selection activeCell="I5" sqref="I5"/>
    </sheetView>
  </sheetViews>
  <sheetFormatPr defaultColWidth="9" defaultRowHeight="14.25"/>
  <cols>
    <col min="1" max="1" width="10.5" style="3619" customWidth="1"/>
    <col min="2" max="2" width="9.5" style="3619" customWidth="1"/>
    <col min="3" max="3" width="13.875" style="3619" customWidth="1"/>
    <col min="4" max="8" width="7.5" style="3619" customWidth="1"/>
    <col min="9" max="9" width="37.125" style="3619" customWidth="1"/>
    <col min="10" max="10" width="9.5" style="3619" customWidth="1"/>
    <col min="11" max="12" width="5.5" style="3619" customWidth="1"/>
    <col min="13" max="13" width="13.875" style="3619" customWidth="1"/>
    <col min="14" max="14" width="16.125" style="3619" customWidth="1"/>
    <col min="15" max="15" width="17.25" style="3619" customWidth="1"/>
    <col min="16" max="16" width="20" style="3619" customWidth="1"/>
    <col min="17" max="16384" width="9" style="3619"/>
  </cols>
  <sheetData>
    <row r="1" spans="1:15">
      <c r="A1" s="3619" t="s">
        <v>3910</v>
      </c>
      <c r="B1" s="3619" t="s">
        <v>3911</v>
      </c>
      <c r="C1" s="3619" t="s">
        <v>3912</v>
      </c>
      <c r="D1" s="3619" t="s">
        <v>3913</v>
      </c>
      <c r="E1" s="3619" t="s">
        <v>3914</v>
      </c>
      <c r="F1" s="3619" t="s">
        <v>3915</v>
      </c>
      <c r="G1" s="3619" t="s">
        <v>3916</v>
      </c>
      <c r="H1" s="3619" t="s">
        <v>3917</v>
      </c>
      <c r="I1" s="3619" t="s">
        <v>3918</v>
      </c>
      <c r="J1" s="3619" t="s">
        <v>3919</v>
      </c>
      <c r="K1" s="3619" t="s">
        <v>3920</v>
      </c>
      <c r="L1" s="3619" t="s">
        <v>3921</v>
      </c>
      <c r="M1" s="3619" t="s">
        <v>3922</v>
      </c>
      <c r="N1" s="3619" t="s">
        <v>3923</v>
      </c>
      <c r="O1" s="3619" t="s">
        <v>3924</v>
      </c>
    </row>
    <row r="2" spans="1:15">
      <c r="A2" s="3620">
        <v>45308.333831018499</v>
      </c>
      <c r="B2" s="3619" t="s">
        <v>3925</v>
      </c>
      <c r="C2" s="3619" t="s">
        <v>3925</v>
      </c>
      <c r="D2" s="3619" t="s">
        <v>3931</v>
      </c>
      <c r="E2" s="3619" t="s">
        <v>3925</v>
      </c>
      <c r="F2" s="3619" t="s">
        <v>3925</v>
      </c>
      <c r="G2" s="3619">
        <v>9</v>
      </c>
      <c r="H2" s="3619">
        <v>901</v>
      </c>
      <c r="I2" s="3619" t="s">
        <v>3932</v>
      </c>
      <c r="J2" s="3619" t="s">
        <v>21</v>
      </c>
      <c r="K2" s="3619" t="s">
        <v>3534</v>
      </c>
      <c r="L2" s="3619">
        <v>1</v>
      </c>
      <c r="M2" s="3619">
        <v>860.72</v>
      </c>
      <c r="N2" s="3619">
        <v>3649.45</v>
      </c>
      <c r="O2" s="3619">
        <v>42400</v>
      </c>
    </row>
    <row r="3" spans="1:15">
      <c r="A3" s="3620">
        <v>45308.333831018499</v>
      </c>
      <c r="B3" s="3619" t="s">
        <v>3925</v>
      </c>
      <c r="C3" s="3619" t="s">
        <v>3925</v>
      </c>
      <c r="D3" s="3619" t="s">
        <v>3931</v>
      </c>
      <c r="E3" s="3619" t="s">
        <v>3925</v>
      </c>
      <c r="F3" s="3619" t="s">
        <v>3925</v>
      </c>
      <c r="G3" s="3619">
        <v>4</v>
      </c>
      <c r="H3" s="3619">
        <v>402</v>
      </c>
      <c r="I3" s="3619" t="s">
        <v>3932</v>
      </c>
      <c r="J3" s="3619" t="s">
        <v>21</v>
      </c>
      <c r="K3" s="3619" t="s">
        <v>3534</v>
      </c>
      <c r="L3" s="3619">
        <v>1</v>
      </c>
      <c r="M3" s="3619">
        <v>935.99</v>
      </c>
      <c r="N3" s="3619">
        <v>3968.6</v>
      </c>
      <c r="O3" s="3619">
        <v>42400</v>
      </c>
    </row>
    <row r="4" spans="1:15">
      <c r="A4" s="3620">
        <v>45308.333831018499</v>
      </c>
      <c r="B4" s="3619" t="s">
        <v>3925</v>
      </c>
      <c r="C4" s="3619" t="s">
        <v>3925</v>
      </c>
      <c r="D4" s="3619" t="s">
        <v>3931</v>
      </c>
      <c r="E4" s="3619" t="s">
        <v>3925</v>
      </c>
      <c r="F4" s="3619" t="s">
        <v>3925</v>
      </c>
      <c r="G4" s="3619">
        <v>3</v>
      </c>
      <c r="H4" s="3619">
        <v>302</v>
      </c>
      <c r="I4" s="3619" t="s">
        <v>3932</v>
      </c>
      <c r="J4" s="3619" t="s">
        <v>21</v>
      </c>
      <c r="K4" s="3619" t="s">
        <v>3534</v>
      </c>
      <c r="L4" s="3619">
        <v>1</v>
      </c>
      <c r="M4" s="3619">
        <v>726.16</v>
      </c>
      <c r="N4" s="3619">
        <v>3078.9</v>
      </c>
      <c r="O4" s="3619">
        <v>42400</v>
      </c>
    </row>
    <row r="5" spans="1:15">
      <c r="A5" s="3620">
        <v>45308.333831018499</v>
      </c>
      <c r="B5" s="3619" t="s">
        <v>3925</v>
      </c>
      <c r="C5" s="3619" t="s">
        <v>3925</v>
      </c>
      <c r="D5" s="3619" t="s">
        <v>3931</v>
      </c>
      <c r="E5" s="3619" t="s">
        <v>3925</v>
      </c>
      <c r="F5" s="3619" t="s">
        <v>3925</v>
      </c>
      <c r="G5" s="3619">
        <v>10</v>
      </c>
      <c r="H5" s="3619">
        <v>1002</v>
      </c>
      <c r="I5" s="3619" t="s">
        <v>3932</v>
      </c>
      <c r="J5" s="3619" t="s">
        <v>21</v>
      </c>
      <c r="K5" s="3619" t="s">
        <v>3534</v>
      </c>
      <c r="L5" s="3619">
        <v>1</v>
      </c>
      <c r="M5" s="3619">
        <v>828.39</v>
      </c>
      <c r="N5" s="3619">
        <v>3512.37</v>
      </c>
      <c r="O5" s="3619">
        <v>42400</v>
      </c>
    </row>
    <row r="6" spans="1:15">
      <c r="A6" s="3620">
        <v>45308.333831018499</v>
      </c>
      <c r="B6" s="3619" t="s">
        <v>3925</v>
      </c>
      <c r="C6" s="3619" t="s">
        <v>3925</v>
      </c>
      <c r="D6" s="3619" t="s">
        <v>3931</v>
      </c>
      <c r="E6" s="3619" t="s">
        <v>3925</v>
      </c>
      <c r="F6" s="3619" t="s">
        <v>3925</v>
      </c>
      <c r="G6" s="3619">
        <v>4</v>
      </c>
      <c r="H6" s="3619">
        <v>401</v>
      </c>
      <c r="I6" s="3619" t="s">
        <v>3932</v>
      </c>
      <c r="J6" s="3619" t="s">
        <v>21</v>
      </c>
      <c r="K6" s="3619" t="s">
        <v>3534</v>
      </c>
      <c r="L6" s="3619">
        <v>1</v>
      </c>
      <c r="M6" s="3619">
        <v>958.04</v>
      </c>
      <c r="N6" s="3619">
        <v>4062.09</v>
      </c>
      <c r="O6" s="3619">
        <v>42400</v>
      </c>
    </row>
    <row r="7" spans="1:15">
      <c r="A7" s="3620">
        <v>45308.333831018499</v>
      </c>
      <c r="B7" s="3619" t="s">
        <v>3925</v>
      </c>
      <c r="C7" s="3619" t="s">
        <v>3925</v>
      </c>
      <c r="D7" s="3619" t="s">
        <v>3931</v>
      </c>
      <c r="E7" s="3619" t="s">
        <v>3925</v>
      </c>
      <c r="F7" s="3619" t="s">
        <v>3925</v>
      </c>
      <c r="G7" s="3619">
        <v>1</v>
      </c>
      <c r="H7" s="3619">
        <v>101</v>
      </c>
      <c r="I7" s="3619" t="s">
        <v>3932</v>
      </c>
      <c r="J7" s="3619" t="s">
        <v>673</v>
      </c>
      <c r="K7" s="3619" t="s">
        <v>3534</v>
      </c>
      <c r="L7" s="3619">
        <v>1</v>
      </c>
      <c r="M7" s="3619">
        <v>298.06</v>
      </c>
      <c r="N7" s="3619">
        <v>1561.83</v>
      </c>
      <c r="O7" s="3619">
        <v>52400</v>
      </c>
    </row>
    <row r="8" spans="1:15">
      <c r="A8" s="3620">
        <v>45308.333831018499</v>
      </c>
      <c r="B8" s="3619" t="s">
        <v>3925</v>
      </c>
      <c r="C8" s="3619" t="s">
        <v>3925</v>
      </c>
      <c r="D8" s="3619" t="s">
        <v>3931</v>
      </c>
      <c r="E8" s="3619" t="s">
        <v>3925</v>
      </c>
      <c r="F8" s="3619" t="s">
        <v>3925</v>
      </c>
      <c r="G8" s="3619">
        <v>10</v>
      </c>
      <c r="H8" s="3619">
        <v>1001</v>
      </c>
      <c r="I8" s="3619" t="s">
        <v>3932</v>
      </c>
      <c r="J8" s="3619" t="s">
        <v>21</v>
      </c>
      <c r="K8" s="3619" t="s">
        <v>3534</v>
      </c>
      <c r="L8" s="3619">
        <v>1</v>
      </c>
      <c r="M8" s="3619">
        <v>860.72</v>
      </c>
      <c r="N8" s="3619">
        <v>3649.45</v>
      </c>
      <c r="O8" s="3619">
        <v>42400</v>
      </c>
    </row>
    <row r="9" spans="1:15">
      <c r="A9" s="3620">
        <v>45308.333831018499</v>
      </c>
      <c r="B9" s="3619" t="s">
        <v>3925</v>
      </c>
      <c r="C9" s="3619" t="s">
        <v>3925</v>
      </c>
      <c r="D9" s="3619" t="s">
        <v>3931</v>
      </c>
      <c r="E9" s="3619" t="s">
        <v>3925</v>
      </c>
      <c r="F9" s="3619" t="s">
        <v>3925</v>
      </c>
      <c r="G9" s="3619">
        <v>7</v>
      </c>
      <c r="H9" s="3619">
        <v>701</v>
      </c>
      <c r="I9" s="3619" t="s">
        <v>3932</v>
      </c>
      <c r="J9" s="3619" t="s">
        <v>21</v>
      </c>
      <c r="K9" s="3619" t="s">
        <v>3534</v>
      </c>
      <c r="L9" s="3619">
        <v>1</v>
      </c>
      <c r="M9" s="3619">
        <v>791.29</v>
      </c>
      <c r="N9" s="3619">
        <v>3355.09</v>
      </c>
      <c r="O9" s="3619">
        <v>42400</v>
      </c>
    </row>
    <row r="10" spans="1:15">
      <c r="A10" s="3620">
        <v>45308.333831018499</v>
      </c>
      <c r="B10" s="3619" t="s">
        <v>3925</v>
      </c>
      <c r="C10" s="3619" t="s">
        <v>3925</v>
      </c>
      <c r="D10" s="3619" t="s">
        <v>3931</v>
      </c>
      <c r="E10" s="3619" t="s">
        <v>3925</v>
      </c>
      <c r="F10" s="3619" t="s">
        <v>3925</v>
      </c>
      <c r="G10" s="3619">
        <v>5</v>
      </c>
      <c r="H10" s="3619">
        <v>501</v>
      </c>
      <c r="I10" s="3619" t="s">
        <v>3932</v>
      </c>
      <c r="J10" s="3619" t="s">
        <v>21</v>
      </c>
      <c r="K10" s="3619" t="s">
        <v>3534</v>
      </c>
      <c r="L10" s="3619">
        <v>1</v>
      </c>
      <c r="M10" s="3619">
        <v>958.04</v>
      </c>
      <c r="N10" s="3619">
        <v>4062.09</v>
      </c>
      <c r="O10" s="3619">
        <v>42400</v>
      </c>
    </row>
    <row r="11" spans="1:15">
      <c r="A11" s="3620">
        <v>45308.333831018499</v>
      </c>
      <c r="B11" s="3619" t="s">
        <v>3925</v>
      </c>
      <c r="C11" s="3619" t="s">
        <v>3925</v>
      </c>
      <c r="D11" s="3619" t="s">
        <v>3931</v>
      </c>
      <c r="E11" s="3619" t="s">
        <v>3925</v>
      </c>
      <c r="F11" s="3619" t="s">
        <v>3925</v>
      </c>
      <c r="G11" s="3619">
        <v>3</v>
      </c>
      <c r="H11" s="3619">
        <v>301</v>
      </c>
      <c r="I11" s="3619" t="s">
        <v>3932</v>
      </c>
      <c r="J11" s="3619" t="s">
        <v>21</v>
      </c>
      <c r="K11" s="3619" t="s">
        <v>3534</v>
      </c>
      <c r="L11" s="3619">
        <v>1</v>
      </c>
      <c r="M11" s="3619">
        <v>767.09</v>
      </c>
      <c r="N11" s="3619">
        <v>3252.46</v>
      </c>
      <c r="O11" s="3619">
        <v>42400</v>
      </c>
    </row>
    <row r="12" spans="1:15">
      <c r="A12" s="3620">
        <v>45308.333831018499</v>
      </c>
      <c r="B12" s="3619" t="s">
        <v>3925</v>
      </c>
      <c r="C12" s="3619" t="s">
        <v>3925</v>
      </c>
      <c r="D12" s="3619" t="s">
        <v>3931</v>
      </c>
      <c r="E12" s="3619" t="s">
        <v>3925</v>
      </c>
      <c r="F12" s="3619" t="s">
        <v>3925</v>
      </c>
      <c r="G12" s="3619">
        <v>7</v>
      </c>
      <c r="H12" s="3619">
        <v>702</v>
      </c>
      <c r="I12" s="3619" t="s">
        <v>3932</v>
      </c>
      <c r="J12" s="3619" t="s">
        <v>21</v>
      </c>
      <c r="K12" s="3619" t="s">
        <v>3534</v>
      </c>
      <c r="L12" s="3619">
        <v>1</v>
      </c>
      <c r="M12" s="3619">
        <v>799.2</v>
      </c>
      <c r="N12" s="3619">
        <v>3388.59</v>
      </c>
      <c r="O12" s="3619">
        <v>42400</v>
      </c>
    </row>
    <row r="13" spans="1:15">
      <c r="A13" s="3620">
        <v>45308.333831018499</v>
      </c>
      <c r="B13" s="3619" t="s">
        <v>3925</v>
      </c>
      <c r="C13" s="3619" t="s">
        <v>3925</v>
      </c>
      <c r="D13" s="3619" t="s">
        <v>3931</v>
      </c>
      <c r="E13" s="3619" t="s">
        <v>3925</v>
      </c>
      <c r="F13" s="3619" t="s">
        <v>3925</v>
      </c>
      <c r="G13" s="3619">
        <v>2</v>
      </c>
      <c r="H13" s="3619">
        <v>201</v>
      </c>
      <c r="I13" s="3619" t="s">
        <v>3932</v>
      </c>
      <c r="J13" s="3619" t="s">
        <v>21</v>
      </c>
      <c r="K13" s="3619" t="s">
        <v>3534</v>
      </c>
      <c r="L13" s="3619">
        <v>1</v>
      </c>
      <c r="M13" s="3619">
        <v>787.52</v>
      </c>
      <c r="N13" s="3619">
        <v>3339.08</v>
      </c>
      <c r="O13" s="3619">
        <v>42400</v>
      </c>
    </row>
    <row r="14" spans="1:15">
      <c r="A14" s="3620">
        <v>45308.333831018499</v>
      </c>
      <c r="B14" s="3619" t="s">
        <v>3925</v>
      </c>
      <c r="C14" s="3619" t="s">
        <v>3925</v>
      </c>
      <c r="D14" s="3619" t="s">
        <v>3931</v>
      </c>
      <c r="E14" s="3619" t="s">
        <v>3925</v>
      </c>
      <c r="F14" s="3619" t="s">
        <v>3925</v>
      </c>
      <c r="G14" s="3619">
        <v>8</v>
      </c>
      <c r="H14" s="3619">
        <v>801</v>
      </c>
      <c r="I14" s="3619" t="s">
        <v>3932</v>
      </c>
      <c r="J14" s="3619" t="s">
        <v>21</v>
      </c>
      <c r="K14" s="3619" t="s">
        <v>3534</v>
      </c>
      <c r="L14" s="3619">
        <v>1</v>
      </c>
      <c r="M14" s="3619">
        <v>822.89</v>
      </c>
      <c r="N14" s="3619">
        <v>3489.02</v>
      </c>
      <c r="O14" s="3619">
        <v>42400</v>
      </c>
    </row>
    <row r="15" spans="1:15">
      <c r="A15" s="3620">
        <v>45308.333831018499</v>
      </c>
      <c r="B15" s="3619" t="s">
        <v>3925</v>
      </c>
      <c r="C15" s="3619" t="s">
        <v>3925</v>
      </c>
      <c r="D15" s="3619" t="s">
        <v>3931</v>
      </c>
      <c r="E15" s="3619" t="s">
        <v>3925</v>
      </c>
      <c r="F15" s="3619" t="s">
        <v>3925</v>
      </c>
      <c r="G15" s="3619">
        <v>5</v>
      </c>
      <c r="H15" s="3619">
        <v>502</v>
      </c>
      <c r="I15" s="3619" t="s">
        <v>3932</v>
      </c>
      <c r="J15" s="3619" t="s">
        <v>21</v>
      </c>
      <c r="K15" s="3619" t="s">
        <v>3534</v>
      </c>
      <c r="L15" s="3619">
        <v>1</v>
      </c>
      <c r="M15" s="3619">
        <v>935.99</v>
      </c>
      <c r="N15" s="3619">
        <v>3968.6</v>
      </c>
      <c r="O15" s="3619">
        <v>42400</v>
      </c>
    </row>
    <row r="16" spans="1:15">
      <c r="A16" s="3620">
        <v>45308.333831018499</v>
      </c>
      <c r="B16" s="3619" t="s">
        <v>3925</v>
      </c>
      <c r="C16" s="3619" t="s">
        <v>3925</v>
      </c>
      <c r="D16" s="3619" t="s">
        <v>3931</v>
      </c>
      <c r="E16" s="3619" t="s">
        <v>3925</v>
      </c>
      <c r="F16" s="3619" t="s">
        <v>3925</v>
      </c>
      <c r="G16" s="3619">
        <v>6</v>
      </c>
      <c r="H16" s="3619">
        <v>601</v>
      </c>
      <c r="I16" s="3619" t="s">
        <v>3932</v>
      </c>
      <c r="J16" s="3619" t="s">
        <v>21</v>
      </c>
      <c r="K16" s="3619" t="s">
        <v>3534</v>
      </c>
      <c r="L16" s="3619">
        <v>1</v>
      </c>
      <c r="M16" s="3619">
        <v>831.87</v>
      </c>
      <c r="N16" s="3619">
        <v>3527.15</v>
      </c>
      <c r="O16" s="3619">
        <v>42400</v>
      </c>
    </row>
    <row r="17" spans="1:15">
      <c r="A17" s="3620">
        <v>45308.333831018499</v>
      </c>
      <c r="B17" s="3619" t="s">
        <v>3925</v>
      </c>
      <c r="C17" s="3619" t="s">
        <v>3925</v>
      </c>
      <c r="D17" s="3619" t="s">
        <v>3931</v>
      </c>
      <c r="E17" s="3619" t="s">
        <v>3925</v>
      </c>
      <c r="F17" s="3619" t="s">
        <v>3925</v>
      </c>
      <c r="G17" s="3619">
        <v>8</v>
      </c>
      <c r="H17" s="3619">
        <v>802</v>
      </c>
      <c r="I17" s="3619" t="s">
        <v>3932</v>
      </c>
      <c r="J17" s="3619" t="s">
        <v>21</v>
      </c>
      <c r="K17" s="3619" t="s">
        <v>3534</v>
      </c>
      <c r="L17" s="3619">
        <v>1</v>
      </c>
      <c r="M17" s="3619">
        <v>1090.5</v>
      </c>
      <c r="N17" s="3619">
        <v>4623.75</v>
      </c>
      <c r="O17" s="3619">
        <v>42400</v>
      </c>
    </row>
    <row r="18" spans="1:15">
      <c r="A18" s="3620">
        <v>45308.333831018499</v>
      </c>
      <c r="B18" s="3619" t="s">
        <v>3925</v>
      </c>
      <c r="C18" s="3619" t="s">
        <v>3925</v>
      </c>
      <c r="D18" s="3619" t="s">
        <v>3931</v>
      </c>
      <c r="E18" s="3619" t="s">
        <v>3925</v>
      </c>
      <c r="F18" s="3619" t="s">
        <v>3925</v>
      </c>
      <c r="G18" s="3619">
        <v>6</v>
      </c>
      <c r="H18" s="3619">
        <v>602</v>
      </c>
      <c r="I18" s="3619" t="s">
        <v>3932</v>
      </c>
      <c r="J18" s="3619" t="s">
        <v>21</v>
      </c>
      <c r="K18" s="3619" t="s">
        <v>3534</v>
      </c>
      <c r="L18" s="3619">
        <v>1</v>
      </c>
      <c r="M18" s="3619">
        <v>1025.67</v>
      </c>
      <c r="N18" s="3619">
        <v>4348.84</v>
      </c>
      <c r="O18" s="3619">
        <v>42400</v>
      </c>
    </row>
    <row r="19" spans="1:15">
      <c r="A19" s="3620">
        <v>45308.333831018499</v>
      </c>
      <c r="B19" s="3619" t="s">
        <v>3925</v>
      </c>
      <c r="C19" s="3619" t="s">
        <v>3925</v>
      </c>
      <c r="D19" s="3619" t="s">
        <v>3931</v>
      </c>
      <c r="E19" s="3619" t="s">
        <v>3925</v>
      </c>
      <c r="F19" s="3619" t="s">
        <v>3925</v>
      </c>
      <c r="G19" s="3619">
        <v>9</v>
      </c>
      <c r="H19" s="3619">
        <v>902</v>
      </c>
      <c r="I19" s="3619" t="s">
        <v>3932</v>
      </c>
      <c r="J19" s="3619" t="s">
        <v>21</v>
      </c>
      <c r="K19" s="3619" t="s">
        <v>3534</v>
      </c>
      <c r="L19" s="3619">
        <v>1</v>
      </c>
      <c r="M19" s="3619">
        <v>828.39</v>
      </c>
      <c r="N19" s="3619">
        <v>3512.37</v>
      </c>
      <c r="O19" s="3619">
        <v>42400</v>
      </c>
    </row>
    <row r="20" spans="1:15">
      <c r="M20" s="3619">
        <f>SUM(M2:M19)</f>
        <v>15106.53</v>
      </c>
      <c r="N20" s="3619">
        <f>SUM(N2:N19)</f>
        <v>64349.73</v>
      </c>
      <c r="O20" s="3619">
        <f>ROUND(N20/M20*10000,0)</f>
        <v>42597</v>
      </c>
    </row>
    <row r="22" spans="1:15">
      <c r="M22" s="3619" t="s">
        <v>3411</v>
      </c>
      <c r="N22" s="3619" t="s">
        <v>3412</v>
      </c>
    </row>
    <row r="23" spans="1:15">
      <c r="L23" s="3619" t="s">
        <v>3929</v>
      </c>
      <c r="M23" s="3619">
        <f>M20</f>
        <v>15106.53</v>
      </c>
    </row>
    <row r="24" spans="1:15">
      <c r="L24" s="3619" t="s">
        <v>3930</v>
      </c>
      <c r="M24" s="3619">
        <f>ROUND(M23/M20,2)</f>
        <v>1</v>
      </c>
      <c r="N24" s="3619">
        <f>ROUND(N23/M20,2)</f>
        <v>0</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E2992-E55C-4ED0-B2AE-B925EE7C5B46}">
  <sheetPr>
    <tabColor rgb="FF7030A0"/>
  </sheetPr>
  <dimension ref="A1:N42"/>
  <sheetViews>
    <sheetView topLeftCell="A16" workbookViewId="0">
      <selection activeCell="I5" sqref="I5"/>
    </sheetView>
  </sheetViews>
  <sheetFormatPr defaultColWidth="9" defaultRowHeight="13.5"/>
  <cols>
    <col min="1" max="1" width="17" style="3622" customWidth="1"/>
    <col min="2" max="2" width="11.25" style="3622" customWidth="1"/>
    <col min="3" max="16384" width="9" style="3622"/>
  </cols>
  <sheetData>
    <row r="1" spans="1:14">
      <c r="A1" s="3622" t="s">
        <v>3910</v>
      </c>
      <c r="B1" s="3622" t="s">
        <v>3911</v>
      </c>
      <c r="C1" s="3622" t="s">
        <v>3912</v>
      </c>
      <c r="D1" s="3622" t="s">
        <v>3913</v>
      </c>
      <c r="E1" s="3622" t="s">
        <v>3914</v>
      </c>
      <c r="F1" s="3622" t="s">
        <v>3915</v>
      </c>
      <c r="G1" s="3622" t="s">
        <v>3916</v>
      </c>
      <c r="H1" s="3622" t="s">
        <v>3917</v>
      </c>
      <c r="I1" s="3622" t="s">
        <v>3918</v>
      </c>
      <c r="J1" s="3622" t="s">
        <v>3919</v>
      </c>
      <c r="K1" s="3622" t="s">
        <v>3920</v>
      </c>
      <c r="L1" s="3622" t="s">
        <v>3922</v>
      </c>
      <c r="M1" s="3622" t="s">
        <v>3923</v>
      </c>
      <c r="N1" s="3622" t="s">
        <v>3924</v>
      </c>
    </row>
    <row r="2" spans="1:14">
      <c r="A2" s="3623">
        <v>45657.333831018499</v>
      </c>
      <c r="B2" s="3623">
        <v>45566.333831018499</v>
      </c>
      <c r="C2" s="3622">
        <v>91</v>
      </c>
      <c r="D2" s="3622" t="s">
        <v>3933</v>
      </c>
      <c r="E2" s="3622" t="s">
        <v>3925</v>
      </c>
      <c r="F2" s="3622" t="s">
        <v>3925</v>
      </c>
      <c r="G2" s="3622">
        <v>10</v>
      </c>
      <c r="H2" s="3622">
        <v>1003</v>
      </c>
      <c r="I2" s="3622" t="s">
        <v>3934</v>
      </c>
      <c r="J2" s="3622" t="s">
        <v>21</v>
      </c>
      <c r="K2" s="3622" t="s">
        <v>3534</v>
      </c>
      <c r="L2" s="3622">
        <v>819.52</v>
      </c>
      <c r="M2" s="3622">
        <v>6310.3</v>
      </c>
      <c r="N2" s="3622">
        <v>77000</v>
      </c>
    </row>
    <row r="3" spans="1:14">
      <c r="A3" s="3623">
        <v>45657.333831018499</v>
      </c>
      <c r="B3" s="3623">
        <v>45566.333831018499</v>
      </c>
      <c r="C3" s="3622">
        <v>91</v>
      </c>
      <c r="D3" s="3622" t="s">
        <v>3933</v>
      </c>
      <c r="E3" s="3622" t="s">
        <v>3925</v>
      </c>
      <c r="F3" s="3622" t="s">
        <v>3925</v>
      </c>
      <c r="G3" s="3622">
        <v>12</v>
      </c>
      <c r="H3" s="3622">
        <v>1201</v>
      </c>
      <c r="I3" s="3622" t="s">
        <v>3934</v>
      </c>
      <c r="J3" s="3622" t="s">
        <v>21</v>
      </c>
      <c r="K3" s="3622" t="s">
        <v>3534</v>
      </c>
      <c r="L3" s="3622">
        <v>1094.1400000000001</v>
      </c>
      <c r="M3" s="3622">
        <v>8424.8799999999992</v>
      </c>
      <c r="N3" s="3622">
        <v>77000</v>
      </c>
    </row>
    <row r="4" spans="1:14">
      <c r="A4" s="3623">
        <v>45657.333831018499</v>
      </c>
      <c r="B4" s="3623">
        <v>45566.333831018499</v>
      </c>
      <c r="C4" s="3622">
        <v>91</v>
      </c>
      <c r="D4" s="3622" t="s">
        <v>3933</v>
      </c>
      <c r="E4" s="3622" t="s">
        <v>3925</v>
      </c>
      <c r="F4" s="3622" t="s">
        <v>3925</v>
      </c>
      <c r="G4" s="3622">
        <v>10</v>
      </c>
      <c r="H4" s="3622">
        <v>1001</v>
      </c>
      <c r="I4" s="3622" t="s">
        <v>3934</v>
      </c>
      <c r="J4" s="3622" t="s">
        <v>21</v>
      </c>
      <c r="K4" s="3622" t="s">
        <v>3534</v>
      </c>
      <c r="L4" s="3622">
        <v>776.66</v>
      </c>
      <c r="M4" s="3622">
        <v>5980.28</v>
      </c>
      <c r="N4" s="3622">
        <v>77000</v>
      </c>
    </row>
    <row r="5" spans="1:14">
      <c r="A5" s="3623">
        <v>45657.333831018499</v>
      </c>
      <c r="B5" s="3623">
        <v>45566.333831018499</v>
      </c>
      <c r="C5" s="3622">
        <v>91</v>
      </c>
      <c r="D5" s="3622" t="s">
        <v>3933</v>
      </c>
      <c r="E5" s="3622" t="s">
        <v>3925</v>
      </c>
      <c r="F5" s="3622" t="s">
        <v>3925</v>
      </c>
      <c r="G5" s="3622">
        <v>3</v>
      </c>
      <c r="H5" s="3622">
        <v>302</v>
      </c>
      <c r="I5" s="3622" t="s">
        <v>3934</v>
      </c>
      <c r="J5" s="3622" t="s">
        <v>21</v>
      </c>
      <c r="K5" s="3622" t="s">
        <v>3534</v>
      </c>
      <c r="L5" s="3622">
        <v>759.81</v>
      </c>
      <c r="M5" s="3622">
        <v>5850.54</v>
      </c>
      <c r="N5" s="3622">
        <v>77000</v>
      </c>
    </row>
    <row r="6" spans="1:14">
      <c r="A6" s="3623">
        <v>45657.333831018499</v>
      </c>
      <c r="B6" s="3623">
        <v>45566.333831018499</v>
      </c>
      <c r="C6" s="3622">
        <v>91</v>
      </c>
      <c r="D6" s="3622" t="s">
        <v>3933</v>
      </c>
      <c r="E6" s="3622" t="s">
        <v>3925</v>
      </c>
      <c r="F6" s="3622" t="s">
        <v>3925</v>
      </c>
      <c r="G6" s="3622">
        <v>5</v>
      </c>
      <c r="H6" s="3622">
        <v>502</v>
      </c>
      <c r="I6" s="3622" t="s">
        <v>3934</v>
      </c>
      <c r="J6" s="3622" t="s">
        <v>21</v>
      </c>
      <c r="K6" s="3622" t="s">
        <v>3534</v>
      </c>
      <c r="L6" s="3622">
        <v>759.81</v>
      </c>
      <c r="M6" s="3622">
        <v>5850.54</v>
      </c>
      <c r="N6" s="3622">
        <v>77000</v>
      </c>
    </row>
    <row r="7" spans="1:14">
      <c r="A7" s="3623">
        <v>45657.333831018499</v>
      </c>
      <c r="B7" s="3623">
        <v>45566.333831018499</v>
      </c>
      <c r="C7" s="3622">
        <v>91</v>
      </c>
      <c r="D7" s="3622" t="s">
        <v>3933</v>
      </c>
      <c r="E7" s="3622" t="s">
        <v>3925</v>
      </c>
      <c r="F7" s="3622" t="s">
        <v>3925</v>
      </c>
      <c r="G7" s="3622">
        <v>4</v>
      </c>
      <c r="H7" s="3622">
        <v>404</v>
      </c>
      <c r="I7" s="3622" t="s">
        <v>3934</v>
      </c>
      <c r="J7" s="3622" t="s">
        <v>21</v>
      </c>
      <c r="K7" s="3622" t="s">
        <v>3534</v>
      </c>
      <c r="L7" s="3622">
        <v>820.62</v>
      </c>
      <c r="M7" s="3622">
        <v>6318.77</v>
      </c>
      <c r="N7" s="3622">
        <v>77000</v>
      </c>
    </row>
    <row r="8" spans="1:14">
      <c r="A8" s="3623">
        <v>45657.333831018499</v>
      </c>
      <c r="B8" s="3623">
        <v>45566.333831018499</v>
      </c>
      <c r="C8" s="3622">
        <v>91</v>
      </c>
      <c r="D8" s="3622" t="s">
        <v>3933</v>
      </c>
      <c r="E8" s="3622" t="s">
        <v>3925</v>
      </c>
      <c r="F8" s="3622" t="s">
        <v>3925</v>
      </c>
      <c r="G8" s="3622">
        <v>6</v>
      </c>
      <c r="H8" s="3622">
        <v>603</v>
      </c>
      <c r="I8" s="3622" t="s">
        <v>3934</v>
      </c>
      <c r="J8" s="3622" t="s">
        <v>21</v>
      </c>
      <c r="K8" s="3622" t="s">
        <v>3534</v>
      </c>
      <c r="L8" s="3622">
        <v>819.52</v>
      </c>
      <c r="M8" s="3622">
        <v>6310.3</v>
      </c>
      <c r="N8" s="3622">
        <v>77000</v>
      </c>
    </row>
    <row r="9" spans="1:14">
      <c r="A9" s="3623">
        <v>45657.333831018499</v>
      </c>
      <c r="B9" s="3623">
        <v>45566.333831018499</v>
      </c>
      <c r="C9" s="3622">
        <v>91</v>
      </c>
      <c r="D9" s="3622" t="s">
        <v>3933</v>
      </c>
      <c r="E9" s="3622" t="s">
        <v>3925</v>
      </c>
      <c r="F9" s="3622" t="s">
        <v>3925</v>
      </c>
      <c r="G9" s="3622">
        <v>4</v>
      </c>
      <c r="H9" s="3622">
        <v>403</v>
      </c>
      <c r="I9" s="3622" t="s">
        <v>3934</v>
      </c>
      <c r="J9" s="3622" t="s">
        <v>21</v>
      </c>
      <c r="K9" s="3622" t="s">
        <v>3534</v>
      </c>
      <c r="L9" s="3622">
        <v>819.52</v>
      </c>
      <c r="M9" s="3622">
        <v>6310.3</v>
      </c>
      <c r="N9" s="3622">
        <v>77000</v>
      </c>
    </row>
    <row r="10" spans="1:14">
      <c r="A10" s="3623">
        <v>45657.333831018499</v>
      </c>
      <c r="B10" s="3623">
        <v>45566.333831018499</v>
      </c>
      <c r="C10" s="3622">
        <v>91</v>
      </c>
      <c r="D10" s="3622" t="s">
        <v>3933</v>
      </c>
      <c r="E10" s="3622" t="s">
        <v>3925</v>
      </c>
      <c r="F10" s="3622" t="s">
        <v>3925</v>
      </c>
      <c r="G10" s="3622">
        <v>6</v>
      </c>
      <c r="H10" s="3622">
        <v>602</v>
      </c>
      <c r="I10" s="3622" t="s">
        <v>3934</v>
      </c>
      <c r="J10" s="3622" t="s">
        <v>21</v>
      </c>
      <c r="K10" s="3622" t="s">
        <v>3534</v>
      </c>
      <c r="L10" s="3622">
        <v>759.81</v>
      </c>
      <c r="M10" s="3622">
        <v>5850.54</v>
      </c>
      <c r="N10" s="3622">
        <v>77000</v>
      </c>
    </row>
    <row r="11" spans="1:14">
      <c r="A11" s="3623">
        <v>45657.333831018499</v>
      </c>
      <c r="B11" s="3623">
        <v>45566.333831018499</v>
      </c>
      <c r="C11" s="3622">
        <v>91</v>
      </c>
      <c r="D11" s="3622" t="s">
        <v>3933</v>
      </c>
      <c r="E11" s="3622" t="s">
        <v>3925</v>
      </c>
      <c r="F11" s="3622" t="s">
        <v>3925</v>
      </c>
      <c r="G11" s="3622">
        <v>5</v>
      </c>
      <c r="H11" s="3622">
        <v>501</v>
      </c>
      <c r="I11" s="3622" t="s">
        <v>3934</v>
      </c>
      <c r="J11" s="3622" t="s">
        <v>21</v>
      </c>
      <c r="K11" s="3622" t="s">
        <v>3534</v>
      </c>
      <c r="L11" s="3622">
        <v>776.66</v>
      </c>
      <c r="M11" s="3622">
        <v>5980.28</v>
      </c>
      <c r="N11" s="3622">
        <v>77000</v>
      </c>
    </row>
    <row r="12" spans="1:14">
      <c r="A12" s="3623">
        <v>45657.333831018499</v>
      </c>
      <c r="B12" s="3623">
        <v>45566.333831018499</v>
      </c>
      <c r="C12" s="3622">
        <v>91</v>
      </c>
      <c r="D12" s="3622" t="s">
        <v>3933</v>
      </c>
      <c r="E12" s="3622" t="s">
        <v>3925</v>
      </c>
      <c r="F12" s="3622" t="s">
        <v>3925</v>
      </c>
      <c r="G12" s="3622">
        <v>11</v>
      </c>
      <c r="H12" s="3622">
        <v>1102</v>
      </c>
      <c r="I12" s="3622" t="s">
        <v>3934</v>
      </c>
      <c r="J12" s="3622" t="s">
        <v>21</v>
      </c>
      <c r="K12" s="3622" t="s">
        <v>3534</v>
      </c>
      <c r="L12" s="3622">
        <v>759.81</v>
      </c>
      <c r="M12" s="3622">
        <v>5850.54</v>
      </c>
      <c r="N12" s="3622">
        <v>77000</v>
      </c>
    </row>
    <row r="13" spans="1:14">
      <c r="A13" s="3623">
        <v>45657.333831018499</v>
      </c>
      <c r="B13" s="3623">
        <v>45566.333831018499</v>
      </c>
      <c r="C13" s="3622">
        <v>91</v>
      </c>
      <c r="D13" s="3622" t="s">
        <v>3933</v>
      </c>
      <c r="E13" s="3622" t="s">
        <v>3925</v>
      </c>
      <c r="F13" s="3622" t="s">
        <v>3925</v>
      </c>
      <c r="G13" s="3622">
        <v>11</v>
      </c>
      <c r="H13" s="3622">
        <v>1104</v>
      </c>
      <c r="I13" s="3622" t="s">
        <v>3934</v>
      </c>
      <c r="J13" s="3622" t="s">
        <v>21</v>
      </c>
      <c r="K13" s="3622" t="s">
        <v>3534</v>
      </c>
      <c r="L13" s="3622">
        <v>820.62</v>
      </c>
      <c r="M13" s="3622">
        <v>6318.77</v>
      </c>
      <c r="N13" s="3622">
        <v>77000</v>
      </c>
    </row>
    <row r="14" spans="1:14">
      <c r="A14" s="3623">
        <v>45657.333831018499</v>
      </c>
      <c r="B14" s="3623">
        <v>45566.333831018499</v>
      </c>
      <c r="C14" s="3622">
        <v>91</v>
      </c>
      <c r="D14" s="3622" t="s">
        <v>3933</v>
      </c>
      <c r="E14" s="3622" t="s">
        <v>3925</v>
      </c>
      <c r="F14" s="3622" t="s">
        <v>3925</v>
      </c>
      <c r="G14" s="3622">
        <v>7</v>
      </c>
      <c r="H14" s="3622">
        <v>701</v>
      </c>
      <c r="I14" s="3622" t="s">
        <v>3934</v>
      </c>
      <c r="J14" s="3622" t="s">
        <v>21</v>
      </c>
      <c r="K14" s="3622" t="s">
        <v>3534</v>
      </c>
      <c r="L14" s="3622">
        <v>776.66</v>
      </c>
      <c r="M14" s="3622">
        <v>5980.28</v>
      </c>
      <c r="N14" s="3622">
        <v>77000</v>
      </c>
    </row>
    <row r="15" spans="1:14">
      <c r="A15" s="3623">
        <v>45657.333831018499</v>
      </c>
      <c r="B15" s="3623">
        <v>45566.333831018499</v>
      </c>
      <c r="C15" s="3622">
        <v>91</v>
      </c>
      <c r="D15" s="3622" t="s">
        <v>3933</v>
      </c>
      <c r="E15" s="3622" t="s">
        <v>3925</v>
      </c>
      <c r="F15" s="3622" t="s">
        <v>3925</v>
      </c>
      <c r="G15" s="3622">
        <v>12</v>
      </c>
      <c r="H15" s="3622">
        <v>1203</v>
      </c>
      <c r="I15" s="3622" t="s">
        <v>3934</v>
      </c>
      <c r="J15" s="3622" t="s">
        <v>21</v>
      </c>
      <c r="K15" s="3622" t="s">
        <v>3534</v>
      </c>
      <c r="L15" s="3622">
        <v>140.06</v>
      </c>
      <c r="M15" s="3622">
        <v>1078.46</v>
      </c>
      <c r="N15" s="3622">
        <v>77000</v>
      </c>
    </row>
    <row r="16" spans="1:14">
      <c r="A16" s="3623">
        <v>45657.333831018499</v>
      </c>
      <c r="B16" s="3623">
        <v>45566.333831018499</v>
      </c>
      <c r="C16" s="3622">
        <v>91</v>
      </c>
      <c r="D16" s="3622" t="s">
        <v>3933</v>
      </c>
      <c r="E16" s="3622" t="s">
        <v>3925</v>
      </c>
      <c r="F16" s="3622" t="s">
        <v>3925</v>
      </c>
      <c r="G16" s="3622">
        <v>2</v>
      </c>
      <c r="H16" s="3622">
        <v>201</v>
      </c>
      <c r="I16" s="3622" t="s">
        <v>3934</v>
      </c>
      <c r="J16" s="3622" t="s">
        <v>21</v>
      </c>
      <c r="K16" s="3622" t="s">
        <v>3534</v>
      </c>
      <c r="L16" s="3622">
        <v>1637.13</v>
      </c>
      <c r="M16" s="3622">
        <v>12279.29</v>
      </c>
      <c r="N16" s="3622">
        <v>75005</v>
      </c>
    </row>
    <row r="17" spans="1:14">
      <c r="A17" s="3623">
        <v>45657.333831018499</v>
      </c>
      <c r="B17" s="3623">
        <v>45566.333831018499</v>
      </c>
      <c r="C17" s="3622">
        <v>91</v>
      </c>
      <c r="D17" s="3622" t="s">
        <v>3933</v>
      </c>
      <c r="E17" s="3622" t="s">
        <v>3925</v>
      </c>
      <c r="F17" s="3622" t="s">
        <v>3925</v>
      </c>
      <c r="G17" s="3622">
        <v>9</v>
      </c>
      <c r="H17" s="3622">
        <v>904</v>
      </c>
      <c r="I17" s="3622" t="s">
        <v>3934</v>
      </c>
      <c r="J17" s="3622" t="s">
        <v>21</v>
      </c>
      <c r="K17" s="3622" t="s">
        <v>3534</v>
      </c>
      <c r="L17" s="3622">
        <v>820.62</v>
      </c>
      <c r="M17" s="3622">
        <v>6318.77</v>
      </c>
      <c r="N17" s="3622">
        <v>77000</v>
      </c>
    </row>
    <row r="18" spans="1:14">
      <c r="A18" s="3623">
        <v>45657.333831018499</v>
      </c>
      <c r="B18" s="3623">
        <v>45566.333831018499</v>
      </c>
      <c r="C18" s="3622">
        <v>91</v>
      </c>
      <c r="D18" s="3622" t="s">
        <v>3933</v>
      </c>
      <c r="E18" s="3622" t="s">
        <v>3925</v>
      </c>
      <c r="F18" s="3622" t="s">
        <v>3925</v>
      </c>
      <c r="G18" s="3622">
        <v>7</v>
      </c>
      <c r="H18" s="3622">
        <v>702</v>
      </c>
      <c r="I18" s="3622" t="s">
        <v>3934</v>
      </c>
      <c r="J18" s="3622" t="s">
        <v>21</v>
      </c>
      <c r="K18" s="3622" t="s">
        <v>3534</v>
      </c>
      <c r="L18" s="3622">
        <v>759.81</v>
      </c>
      <c r="M18" s="3622">
        <v>5850.54</v>
      </c>
      <c r="N18" s="3622">
        <v>77000</v>
      </c>
    </row>
    <row r="19" spans="1:14">
      <c r="A19" s="3623">
        <v>45657.333831018499</v>
      </c>
      <c r="B19" s="3623">
        <v>45566.333831018499</v>
      </c>
      <c r="C19" s="3622">
        <v>91</v>
      </c>
      <c r="D19" s="3622" t="s">
        <v>3933</v>
      </c>
      <c r="E19" s="3622" t="s">
        <v>3925</v>
      </c>
      <c r="F19" s="3622" t="s">
        <v>3925</v>
      </c>
      <c r="G19" s="3622">
        <v>5</v>
      </c>
      <c r="H19" s="3622">
        <v>504</v>
      </c>
      <c r="I19" s="3622" t="s">
        <v>3934</v>
      </c>
      <c r="J19" s="3622" t="s">
        <v>21</v>
      </c>
      <c r="K19" s="3622" t="s">
        <v>3534</v>
      </c>
      <c r="L19" s="3622">
        <v>820.62</v>
      </c>
      <c r="M19" s="3622">
        <v>6318.77</v>
      </c>
      <c r="N19" s="3622">
        <v>77000</v>
      </c>
    </row>
    <row r="20" spans="1:14">
      <c r="A20" s="3623">
        <v>45657.333831018499</v>
      </c>
      <c r="B20" s="3623">
        <v>45566.333831018499</v>
      </c>
      <c r="C20" s="3622">
        <v>91</v>
      </c>
      <c r="D20" s="3622" t="s">
        <v>3933</v>
      </c>
      <c r="E20" s="3622" t="s">
        <v>3925</v>
      </c>
      <c r="F20" s="3622" t="s">
        <v>3925</v>
      </c>
      <c r="G20" s="3622">
        <v>5</v>
      </c>
      <c r="H20" s="3622">
        <v>503</v>
      </c>
      <c r="I20" s="3622" t="s">
        <v>3934</v>
      </c>
      <c r="J20" s="3622" t="s">
        <v>21</v>
      </c>
      <c r="K20" s="3622" t="s">
        <v>3534</v>
      </c>
      <c r="L20" s="3622">
        <v>819.52</v>
      </c>
      <c r="M20" s="3622">
        <v>6310.3</v>
      </c>
      <c r="N20" s="3622">
        <v>77000</v>
      </c>
    </row>
    <row r="21" spans="1:14">
      <c r="A21" s="3623">
        <v>45657.333831018499</v>
      </c>
      <c r="B21" s="3623">
        <v>45566.333831018499</v>
      </c>
      <c r="C21" s="3622">
        <v>91</v>
      </c>
      <c r="D21" s="3622" t="s">
        <v>3933</v>
      </c>
      <c r="E21" s="3622" t="s">
        <v>3925</v>
      </c>
      <c r="F21" s="3622" t="s">
        <v>3925</v>
      </c>
      <c r="G21" s="3622">
        <v>6</v>
      </c>
      <c r="H21" s="3622">
        <v>601</v>
      </c>
      <c r="I21" s="3622" t="s">
        <v>3934</v>
      </c>
      <c r="J21" s="3622" t="s">
        <v>21</v>
      </c>
      <c r="K21" s="3622" t="s">
        <v>3534</v>
      </c>
      <c r="L21" s="3622">
        <v>776.66</v>
      </c>
      <c r="M21" s="3622">
        <v>5980.28</v>
      </c>
      <c r="N21" s="3622">
        <v>77000</v>
      </c>
    </row>
    <row r="22" spans="1:14">
      <c r="A22" s="3623">
        <v>45657.333831018499</v>
      </c>
      <c r="B22" s="3623">
        <v>45566.333831018499</v>
      </c>
      <c r="C22" s="3622">
        <v>91</v>
      </c>
      <c r="D22" s="3622" t="s">
        <v>3933</v>
      </c>
      <c r="E22" s="3622" t="s">
        <v>3925</v>
      </c>
      <c r="F22" s="3622" t="s">
        <v>3925</v>
      </c>
      <c r="G22" s="3622">
        <v>4</v>
      </c>
      <c r="H22" s="3622">
        <v>401</v>
      </c>
      <c r="I22" s="3622" t="s">
        <v>3934</v>
      </c>
      <c r="J22" s="3622" t="s">
        <v>21</v>
      </c>
      <c r="K22" s="3622" t="s">
        <v>3534</v>
      </c>
      <c r="L22" s="3622">
        <v>776.66</v>
      </c>
      <c r="M22" s="3622">
        <v>5980.28</v>
      </c>
      <c r="N22" s="3622">
        <v>77000</v>
      </c>
    </row>
    <row r="23" spans="1:14">
      <c r="A23" s="3623">
        <v>45657.333831018499</v>
      </c>
      <c r="B23" s="3623">
        <v>45566.333831018499</v>
      </c>
      <c r="C23" s="3622">
        <v>91</v>
      </c>
      <c r="D23" s="3622" t="s">
        <v>3933</v>
      </c>
      <c r="E23" s="3622" t="s">
        <v>3925</v>
      </c>
      <c r="F23" s="3622" t="s">
        <v>3925</v>
      </c>
      <c r="G23" s="3622">
        <v>3</v>
      </c>
      <c r="H23" s="3622">
        <v>303</v>
      </c>
      <c r="I23" s="3622" t="s">
        <v>3934</v>
      </c>
      <c r="J23" s="3622" t="s">
        <v>21</v>
      </c>
      <c r="K23" s="3622" t="s">
        <v>3534</v>
      </c>
      <c r="L23" s="3622">
        <v>819.52</v>
      </c>
      <c r="M23" s="3622">
        <v>6310.3</v>
      </c>
      <c r="N23" s="3622">
        <v>77000</v>
      </c>
    </row>
    <row r="24" spans="1:14">
      <c r="A24" s="3623">
        <v>45657.333831018499</v>
      </c>
      <c r="B24" s="3623">
        <v>45566.333831018499</v>
      </c>
      <c r="C24" s="3622">
        <v>91</v>
      </c>
      <c r="D24" s="3622" t="s">
        <v>3933</v>
      </c>
      <c r="E24" s="3622" t="s">
        <v>3925</v>
      </c>
      <c r="F24" s="3622" t="s">
        <v>3925</v>
      </c>
      <c r="G24" s="3622">
        <v>6</v>
      </c>
      <c r="H24" s="3622">
        <v>604</v>
      </c>
      <c r="I24" s="3622" t="s">
        <v>3934</v>
      </c>
      <c r="J24" s="3622" t="s">
        <v>21</v>
      </c>
      <c r="K24" s="3622" t="s">
        <v>3534</v>
      </c>
      <c r="L24" s="3622">
        <v>820.62</v>
      </c>
      <c r="M24" s="3622">
        <v>6318.77</v>
      </c>
      <c r="N24" s="3622">
        <v>77000</v>
      </c>
    </row>
    <row r="25" spans="1:14">
      <c r="A25" s="3623">
        <v>45657.333831018499</v>
      </c>
      <c r="B25" s="3623">
        <v>45566.333831018499</v>
      </c>
      <c r="C25" s="3622">
        <v>91</v>
      </c>
      <c r="D25" s="3622" t="s">
        <v>3933</v>
      </c>
      <c r="E25" s="3622" t="s">
        <v>3925</v>
      </c>
      <c r="F25" s="3622" t="s">
        <v>3925</v>
      </c>
      <c r="G25" s="3622">
        <v>3</v>
      </c>
      <c r="H25" s="3622">
        <v>304</v>
      </c>
      <c r="I25" s="3622" t="s">
        <v>3934</v>
      </c>
      <c r="J25" s="3622" t="s">
        <v>21</v>
      </c>
      <c r="K25" s="3622" t="s">
        <v>3534</v>
      </c>
      <c r="L25" s="3622">
        <v>820.62</v>
      </c>
      <c r="M25" s="3622">
        <v>6318.77</v>
      </c>
      <c r="N25" s="3622">
        <v>77000</v>
      </c>
    </row>
    <row r="26" spans="1:14">
      <c r="A26" s="3623">
        <v>45657.333831018499</v>
      </c>
      <c r="B26" s="3623">
        <v>45566.333831018499</v>
      </c>
      <c r="C26" s="3622">
        <v>91</v>
      </c>
      <c r="D26" s="3622" t="s">
        <v>3933</v>
      </c>
      <c r="E26" s="3622" t="s">
        <v>3925</v>
      </c>
      <c r="F26" s="3622" t="s">
        <v>3925</v>
      </c>
      <c r="G26" s="3622">
        <v>12</v>
      </c>
      <c r="H26" s="3622">
        <v>1202</v>
      </c>
      <c r="I26" s="3622" t="s">
        <v>3934</v>
      </c>
      <c r="J26" s="3622" t="s">
        <v>21</v>
      </c>
      <c r="K26" s="3622" t="s">
        <v>3534</v>
      </c>
      <c r="L26" s="3622">
        <v>1264.49</v>
      </c>
      <c r="M26" s="3622">
        <v>9736.57</v>
      </c>
      <c r="N26" s="3622">
        <v>77000</v>
      </c>
    </row>
    <row r="27" spans="1:14">
      <c r="A27" s="3623">
        <v>45657.333831018499</v>
      </c>
      <c r="B27" s="3623">
        <v>45566.333831018499</v>
      </c>
      <c r="C27" s="3622">
        <v>91</v>
      </c>
      <c r="D27" s="3622" t="s">
        <v>3933</v>
      </c>
      <c r="E27" s="3622" t="s">
        <v>3925</v>
      </c>
      <c r="F27" s="3622" t="s">
        <v>3925</v>
      </c>
      <c r="G27" s="3622">
        <v>9</v>
      </c>
      <c r="H27" s="3622">
        <v>902</v>
      </c>
      <c r="I27" s="3622" t="s">
        <v>3934</v>
      </c>
      <c r="J27" s="3622" t="s">
        <v>21</v>
      </c>
      <c r="K27" s="3622" t="s">
        <v>3534</v>
      </c>
      <c r="L27" s="3622">
        <v>759.81</v>
      </c>
      <c r="M27" s="3622">
        <v>5850.54</v>
      </c>
      <c r="N27" s="3622">
        <v>77000</v>
      </c>
    </row>
    <row r="28" spans="1:14">
      <c r="A28" s="3623">
        <v>45657.333831018499</v>
      </c>
      <c r="B28" s="3623">
        <v>45566.333831018499</v>
      </c>
      <c r="C28" s="3622">
        <v>91</v>
      </c>
      <c r="D28" s="3622" t="s">
        <v>3933</v>
      </c>
      <c r="E28" s="3622" t="s">
        <v>3925</v>
      </c>
      <c r="F28" s="3622" t="s">
        <v>3925</v>
      </c>
      <c r="G28" s="3622">
        <v>9</v>
      </c>
      <c r="H28" s="3622">
        <v>901</v>
      </c>
      <c r="I28" s="3622" t="s">
        <v>3934</v>
      </c>
      <c r="J28" s="3622" t="s">
        <v>21</v>
      </c>
      <c r="K28" s="3622" t="s">
        <v>3534</v>
      </c>
      <c r="L28" s="3622">
        <v>776.66</v>
      </c>
      <c r="M28" s="3622">
        <v>5980.28</v>
      </c>
      <c r="N28" s="3622">
        <v>77000</v>
      </c>
    </row>
    <row r="29" spans="1:14">
      <c r="A29" s="3623">
        <v>45657.333831018499</v>
      </c>
      <c r="B29" s="3623">
        <v>45566.333831018499</v>
      </c>
      <c r="C29" s="3622">
        <v>91</v>
      </c>
      <c r="D29" s="3622" t="s">
        <v>3933</v>
      </c>
      <c r="E29" s="3622" t="s">
        <v>3925</v>
      </c>
      <c r="F29" s="3622" t="s">
        <v>3925</v>
      </c>
      <c r="G29" s="3622">
        <v>7</v>
      </c>
      <c r="H29" s="3622">
        <v>703</v>
      </c>
      <c r="I29" s="3622" t="s">
        <v>3934</v>
      </c>
      <c r="J29" s="3622" t="s">
        <v>21</v>
      </c>
      <c r="K29" s="3622" t="s">
        <v>3534</v>
      </c>
      <c r="L29" s="3622">
        <v>819.52</v>
      </c>
      <c r="M29" s="3622">
        <v>6310.3</v>
      </c>
      <c r="N29" s="3622">
        <v>77000</v>
      </c>
    </row>
    <row r="30" spans="1:14">
      <c r="A30" s="3623">
        <v>45657.333831018499</v>
      </c>
      <c r="B30" s="3623">
        <v>45566.333831018499</v>
      </c>
      <c r="C30" s="3622">
        <v>91</v>
      </c>
      <c r="D30" s="3622" t="s">
        <v>3933</v>
      </c>
      <c r="E30" s="3622" t="s">
        <v>3925</v>
      </c>
      <c r="F30" s="3622" t="s">
        <v>3925</v>
      </c>
      <c r="G30" s="3622">
        <v>8</v>
      </c>
      <c r="H30" s="3622">
        <v>803</v>
      </c>
      <c r="I30" s="3622" t="s">
        <v>3934</v>
      </c>
      <c r="J30" s="3622" t="s">
        <v>21</v>
      </c>
      <c r="K30" s="3622" t="s">
        <v>3534</v>
      </c>
      <c r="L30" s="3622">
        <v>819.52</v>
      </c>
      <c r="M30" s="3622">
        <v>6310.3</v>
      </c>
      <c r="N30" s="3622">
        <v>77000</v>
      </c>
    </row>
    <row r="31" spans="1:14">
      <c r="A31" s="3623">
        <v>45657.333831018499</v>
      </c>
      <c r="B31" s="3623">
        <v>45566.333831018499</v>
      </c>
      <c r="C31" s="3622">
        <v>91</v>
      </c>
      <c r="D31" s="3622" t="s">
        <v>3933</v>
      </c>
      <c r="E31" s="3622" t="s">
        <v>3925</v>
      </c>
      <c r="F31" s="3622" t="s">
        <v>3925</v>
      </c>
      <c r="G31" s="3622">
        <v>9</v>
      </c>
      <c r="H31" s="3622">
        <v>903</v>
      </c>
      <c r="I31" s="3622" t="s">
        <v>3934</v>
      </c>
      <c r="J31" s="3622" t="s">
        <v>21</v>
      </c>
      <c r="K31" s="3622" t="s">
        <v>3534</v>
      </c>
      <c r="L31" s="3622">
        <v>819.52</v>
      </c>
      <c r="M31" s="3622">
        <v>6310.3</v>
      </c>
      <c r="N31" s="3622">
        <v>77000</v>
      </c>
    </row>
    <row r="32" spans="1:14">
      <c r="A32" s="3623">
        <v>45657.333831018499</v>
      </c>
      <c r="B32" s="3623">
        <v>45566.333831018499</v>
      </c>
      <c r="C32" s="3622">
        <v>91</v>
      </c>
      <c r="D32" s="3622" t="s">
        <v>3933</v>
      </c>
      <c r="E32" s="3622" t="s">
        <v>3925</v>
      </c>
      <c r="F32" s="3622" t="s">
        <v>3925</v>
      </c>
      <c r="G32" s="3622">
        <v>10</v>
      </c>
      <c r="H32" s="3622">
        <v>1004</v>
      </c>
      <c r="I32" s="3622" t="s">
        <v>3934</v>
      </c>
      <c r="J32" s="3622" t="s">
        <v>21</v>
      </c>
      <c r="K32" s="3622" t="s">
        <v>3534</v>
      </c>
      <c r="L32" s="3622">
        <v>820.62</v>
      </c>
      <c r="M32" s="3622">
        <v>6318.77</v>
      </c>
      <c r="N32" s="3622">
        <v>77000</v>
      </c>
    </row>
    <row r="33" spans="1:14">
      <c r="A33" s="3623">
        <v>45657.333831018499</v>
      </c>
      <c r="B33" s="3623">
        <v>45566.333831018499</v>
      </c>
      <c r="C33" s="3622">
        <v>91</v>
      </c>
      <c r="D33" s="3622" t="s">
        <v>3933</v>
      </c>
      <c r="E33" s="3622" t="s">
        <v>3925</v>
      </c>
      <c r="F33" s="3622" t="s">
        <v>3925</v>
      </c>
      <c r="G33" s="3622">
        <v>11</v>
      </c>
      <c r="H33" s="3622">
        <v>1103</v>
      </c>
      <c r="I33" s="3622" t="s">
        <v>3934</v>
      </c>
      <c r="J33" s="3622" t="s">
        <v>21</v>
      </c>
      <c r="K33" s="3622" t="s">
        <v>3534</v>
      </c>
      <c r="L33" s="3622">
        <v>819.52</v>
      </c>
      <c r="M33" s="3622">
        <v>6310.3</v>
      </c>
      <c r="N33" s="3622">
        <v>77000</v>
      </c>
    </row>
    <row r="34" spans="1:14">
      <c r="A34" s="3623">
        <v>45657.333831018499</v>
      </c>
      <c r="B34" s="3623">
        <v>45566.333831018499</v>
      </c>
      <c r="C34" s="3622">
        <v>91</v>
      </c>
      <c r="D34" s="3622" t="s">
        <v>3933</v>
      </c>
      <c r="E34" s="3622" t="s">
        <v>3925</v>
      </c>
      <c r="F34" s="3622" t="s">
        <v>3925</v>
      </c>
      <c r="G34" s="3622">
        <v>7</v>
      </c>
      <c r="H34" s="3622">
        <v>704</v>
      </c>
      <c r="I34" s="3622" t="s">
        <v>3934</v>
      </c>
      <c r="J34" s="3622" t="s">
        <v>21</v>
      </c>
      <c r="K34" s="3622" t="s">
        <v>3534</v>
      </c>
      <c r="L34" s="3622">
        <v>820.62</v>
      </c>
      <c r="M34" s="3622">
        <v>6318.77</v>
      </c>
      <c r="N34" s="3622">
        <v>77000</v>
      </c>
    </row>
    <row r="35" spans="1:14">
      <c r="A35" s="3623">
        <v>45657.333831018499</v>
      </c>
      <c r="B35" s="3623">
        <v>45566.333831018499</v>
      </c>
      <c r="C35" s="3622">
        <v>91</v>
      </c>
      <c r="D35" s="3622" t="s">
        <v>3933</v>
      </c>
      <c r="E35" s="3622" t="s">
        <v>3925</v>
      </c>
      <c r="F35" s="3622" t="s">
        <v>3925</v>
      </c>
      <c r="G35" s="3622">
        <v>8</v>
      </c>
      <c r="H35" s="3622">
        <v>804</v>
      </c>
      <c r="I35" s="3622" t="s">
        <v>3934</v>
      </c>
      <c r="J35" s="3622" t="s">
        <v>21</v>
      </c>
      <c r="K35" s="3622" t="s">
        <v>3534</v>
      </c>
      <c r="L35" s="3622">
        <v>820.62</v>
      </c>
      <c r="M35" s="3622">
        <v>6318.77</v>
      </c>
      <c r="N35" s="3622">
        <v>77000</v>
      </c>
    </row>
    <row r="36" spans="1:14">
      <c r="A36" s="3623">
        <v>45657.333831018499</v>
      </c>
      <c r="B36" s="3623">
        <v>45566.333831018499</v>
      </c>
      <c r="C36" s="3622">
        <v>91</v>
      </c>
      <c r="D36" s="3622" t="s">
        <v>3933</v>
      </c>
      <c r="E36" s="3622" t="s">
        <v>3925</v>
      </c>
      <c r="F36" s="3622" t="s">
        <v>3925</v>
      </c>
      <c r="G36" s="3622">
        <v>4</v>
      </c>
      <c r="H36" s="3622">
        <v>402</v>
      </c>
      <c r="I36" s="3622" t="s">
        <v>3934</v>
      </c>
      <c r="J36" s="3622" t="s">
        <v>21</v>
      </c>
      <c r="K36" s="3622" t="s">
        <v>3534</v>
      </c>
      <c r="L36" s="3622">
        <v>759.81</v>
      </c>
      <c r="M36" s="3622">
        <v>5850.54</v>
      </c>
      <c r="N36" s="3622">
        <v>77000</v>
      </c>
    </row>
    <row r="37" spans="1:14">
      <c r="A37" s="3623">
        <v>45657.333831018499</v>
      </c>
      <c r="B37" s="3623">
        <v>45566.333831018499</v>
      </c>
      <c r="C37" s="3622">
        <v>91</v>
      </c>
      <c r="D37" s="3622" t="s">
        <v>3933</v>
      </c>
      <c r="E37" s="3622" t="s">
        <v>3925</v>
      </c>
      <c r="F37" s="3622" t="s">
        <v>3925</v>
      </c>
      <c r="G37" s="3622">
        <v>11</v>
      </c>
      <c r="H37" s="3622">
        <v>1101</v>
      </c>
      <c r="I37" s="3622" t="s">
        <v>3934</v>
      </c>
      <c r="J37" s="3622" t="s">
        <v>21</v>
      </c>
      <c r="K37" s="3622" t="s">
        <v>3534</v>
      </c>
      <c r="L37" s="3622">
        <v>776.66</v>
      </c>
      <c r="M37" s="3622">
        <v>5980.28</v>
      </c>
      <c r="N37" s="3622">
        <v>77000</v>
      </c>
    </row>
    <row r="38" spans="1:14">
      <c r="A38" s="3623">
        <v>45657.333831018499</v>
      </c>
      <c r="B38" s="3623">
        <v>45566.333831018499</v>
      </c>
      <c r="C38" s="3622">
        <v>91</v>
      </c>
      <c r="D38" s="3622" t="s">
        <v>3933</v>
      </c>
      <c r="E38" s="3622" t="s">
        <v>3925</v>
      </c>
      <c r="F38" s="3622" t="s">
        <v>3925</v>
      </c>
      <c r="G38" s="3622">
        <v>10</v>
      </c>
      <c r="H38" s="3622">
        <v>1002</v>
      </c>
      <c r="I38" s="3622" t="s">
        <v>3934</v>
      </c>
      <c r="J38" s="3622" t="s">
        <v>21</v>
      </c>
      <c r="K38" s="3622" t="s">
        <v>3534</v>
      </c>
      <c r="L38" s="3622">
        <v>759.81</v>
      </c>
      <c r="M38" s="3622">
        <v>5850.54</v>
      </c>
      <c r="N38" s="3622">
        <v>77000</v>
      </c>
    </row>
    <row r="39" spans="1:14">
      <c r="A39" s="3623">
        <v>45657.333831018499</v>
      </c>
      <c r="B39" s="3623">
        <v>45566.333831018499</v>
      </c>
      <c r="C39" s="3622">
        <v>91</v>
      </c>
      <c r="D39" s="3622" t="s">
        <v>3933</v>
      </c>
      <c r="E39" s="3622" t="s">
        <v>3925</v>
      </c>
      <c r="F39" s="3622" t="s">
        <v>3925</v>
      </c>
      <c r="G39" s="3622">
        <v>8</v>
      </c>
      <c r="H39" s="3622">
        <v>801</v>
      </c>
      <c r="I39" s="3622" t="s">
        <v>3934</v>
      </c>
      <c r="J39" s="3622" t="s">
        <v>21</v>
      </c>
      <c r="K39" s="3622" t="s">
        <v>3534</v>
      </c>
      <c r="L39" s="3622">
        <v>776.66</v>
      </c>
      <c r="M39" s="3622">
        <v>5980.28</v>
      </c>
      <c r="N39" s="3622">
        <v>77000</v>
      </c>
    </row>
    <row r="40" spans="1:14">
      <c r="A40" s="3623">
        <v>45657.333831018499</v>
      </c>
      <c r="B40" s="3623">
        <v>45566.333831018499</v>
      </c>
      <c r="C40" s="3622">
        <v>91</v>
      </c>
      <c r="D40" s="3622" t="s">
        <v>3933</v>
      </c>
      <c r="E40" s="3622" t="s">
        <v>3925</v>
      </c>
      <c r="F40" s="3622" t="s">
        <v>3925</v>
      </c>
      <c r="G40" s="3622">
        <v>8</v>
      </c>
      <c r="H40" s="3622">
        <v>802</v>
      </c>
      <c r="I40" s="3622" t="s">
        <v>3934</v>
      </c>
      <c r="J40" s="3622" t="s">
        <v>21</v>
      </c>
      <c r="K40" s="3622" t="s">
        <v>3534</v>
      </c>
      <c r="L40" s="3622">
        <v>759.81</v>
      </c>
      <c r="M40" s="3622">
        <v>5850.54</v>
      </c>
      <c r="N40" s="3622">
        <v>77000</v>
      </c>
    </row>
    <row r="41" spans="1:14">
      <c r="A41" s="3623">
        <v>45657.333831018499</v>
      </c>
      <c r="B41" s="3623">
        <v>45566.333831018499</v>
      </c>
      <c r="C41" s="3622">
        <v>91</v>
      </c>
      <c r="D41" s="3622" t="s">
        <v>3933</v>
      </c>
      <c r="E41" s="3622" t="s">
        <v>3925</v>
      </c>
      <c r="F41" s="3622" t="s">
        <v>3925</v>
      </c>
      <c r="G41" s="3622">
        <v>3</v>
      </c>
      <c r="H41" s="3622">
        <v>301</v>
      </c>
      <c r="I41" s="3622" t="s">
        <v>3934</v>
      </c>
      <c r="J41" s="3622" t="s">
        <v>21</v>
      </c>
      <c r="K41" s="3622" t="s">
        <v>3534</v>
      </c>
      <c r="L41" s="3622">
        <v>776.66</v>
      </c>
      <c r="M41" s="3622">
        <v>5980.28</v>
      </c>
      <c r="N41" s="3622">
        <v>77000</v>
      </c>
    </row>
    <row r="42" spans="1:14">
      <c r="J42" s="3622" t="s">
        <v>3510</v>
      </c>
      <c r="L42" s="3622">
        <f>SUM(L2:L41)</f>
        <v>32725.310000000005</v>
      </c>
      <c r="M42" s="3622">
        <f>SUM(M2:M41)</f>
        <v>251658.20999999993</v>
      </c>
      <c r="N42" s="3622">
        <f>ROUND(M42/L42*10000,0)</f>
        <v>76900</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0" sqref="F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3393</v>
      </c>
      <c r="AA1" s="1438" t="s">
        <v>3392</v>
      </c>
      <c r="AB1" s="1438" t="s">
        <v>3</v>
      </c>
    </row>
    <row r="2" spans="1:28">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2429</v>
      </c>
      <c r="Y2" s="1445" t="s">
        <v>3399</v>
      </c>
      <c r="Z2" s="1445" t="s">
        <v>2442</v>
      </c>
      <c r="AA2" s="1445" t="s">
        <v>3400</v>
      </c>
      <c r="AB2" s="1445" t="s">
        <v>2469</v>
      </c>
    </row>
    <row r="3" spans="1:28">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2431</v>
      </c>
      <c r="Z3" s="1445" t="s">
        <v>2444</v>
      </c>
      <c r="AB3" s="1445" t="s">
        <v>2471</v>
      </c>
    </row>
    <row r="4" spans="1:28">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2433</v>
      </c>
      <c r="Z4" s="1445" t="s">
        <v>2446</v>
      </c>
      <c r="AB4" s="1445" t="s">
        <v>2473</v>
      </c>
    </row>
    <row r="5" spans="1:28">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2435</v>
      </c>
      <c r="Z5" s="1445" t="s">
        <v>2448</v>
      </c>
      <c r="AB5" s="1445" t="s">
        <v>3401</v>
      </c>
    </row>
    <row r="6" spans="1:28">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2437</v>
      </c>
      <c r="Z6" s="1445" t="s">
        <v>2450</v>
      </c>
      <c r="AB6" s="1445" t="s">
        <v>2476</v>
      </c>
    </row>
    <row r="7" spans="1:28">
      <c r="A7" s="1441" t="s">
        <v>1023</v>
      </c>
      <c r="B7" s="1444" t="s">
        <v>450</v>
      </c>
      <c r="C7" s="1442" t="s">
        <v>25</v>
      </c>
      <c r="F7" s="1443" t="s">
        <v>1024</v>
      </c>
      <c r="H7" s="1443" t="s">
        <v>1025</v>
      </c>
      <c r="I7" s="1443" t="s">
        <v>3330</v>
      </c>
      <c r="X7" s="1445" t="s">
        <v>2439</v>
      </c>
      <c r="Z7" s="1445" t="s">
        <v>2452</v>
      </c>
      <c r="AB7" s="1445" t="s">
        <v>2478</v>
      </c>
    </row>
    <row r="8" spans="1:28">
      <c r="A8" s="1441" t="s">
        <v>1026</v>
      </c>
      <c r="B8" s="1441" t="s">
        <v>1027</v>
      </c>
      <c r="C8" s="1442" t="s">
        <v>319</v>
      </c>
      <c r="F8" s="1443" t="s">
        <v>1028</v>
      </c>
      <c r="H8" s="1443" t="s">
        <v>2567</v>
      </c>
      <c r="I8" s="1443" t="s">
        <v>3331</v>
      </c>
      <c r="X8" s="1445" t="s">
        <v>3402</v>
      </c>
      <c r="Z8" s="1445" t="s">
        <v>2454</v>
      </c>
      <c r="AB8" s="1445" t="s">
        <v>2480</v>
      </c>
    </row>
    <row r="9" spans="1:28">
      <c r="A9" s="1441" t="s">
        <v>1029</v>
      </c>
      <c r="B9" s="1441" t="s">
        <v>1030</v>
      </c>
      <c r="C9" s="1442" t="s">
        <v>320</v>
      </c>
      <c r="F9" s="1443" t="s">
        <v>1031</v>
      </c>
      <c r="H9" s="1443"/>
      <c r="I9" s="1445" t="s">
        <v>3332</v>
      </c>
      <c r="X9" s="1445" t="s">
        <v>3403</v>
      </c>
      <c r="Z9" s="1445" t="s">
        <v>2456</v>
      </c>
      <c r="AB9" s="1445" t="s">
        <v>2482</v>
      </c>
    </row>
    <row r="10" spans="1:28">
      <c r="A10" s="1441" t="s">
        <v>1032</v>
      </c>
      <c r="B10" s="1441" t="s">
        <v>1033</v>
      </c>
      <c r="C10" s="1442" t="s">
        <v>321</v>
      </c>
      <c r="F10" s="1443" t="s">
        <v>2568</v>
      </c>
      <c r="I10" s="1445" t="s">
        <v>3333</v>
      </c>
      <c r="Z10" s="1445" t="s">
        <v>2458</v>
      </c>
      <c r="AB10" s="1445" t="s">
        <v>2484</v>
      </c>
    </row>
    <row r="11" spans="1:28">
      <c r="A11" s="1441" t="s">
        <v>1034</v>
      </c>
      <c r="B11" s="1441" t="s">
        <v>1035</v>
      </c>
      <c r="C11" s="1442" t="s">
        <v>322</v>
      </c>
      <c r="F11" s="1443" t="s">
        <v>13</v>
      </c>
      <c r="I11" s="1445" t="s">
        <v>3334</v>
      </c>
      <c r="Z11" s="1445" t="s">
        <v>2460</v>
      </c>
      <c r="AB11" s="1445" t="s">
        <v>2486</v>
      </c>
    </row>
    <row r="12" spans="1:28">
      <c r="A12" s="1441" t="s">
        <v>1036</v>
      </c>
      <c r="B12" s="1441" t="s">
        <v>1037</v>
      </c>
      <c r="C12" s="1442" t="s">
        <v>323</v>
      </c>
      <c r="I12" s="1445" t="s">
        <v>3335</v>
      </c>
      <c r="Z12" s="1445" t="s">
        <v>2462</v>
      </c>
      <c r="AB12" s="1445" t="s">
        <v>2488</v>
      </c>
    </row>
    <row r="13" spans="1:28">
      <c r="A13" s="1441" t="s">
        <v>1038</v>
      </c>
      <c r="B13" s="1441" t="s">
        <v>1039</v>
      </c>
      <c r="C13" s="1442" t="s">
        <v>324</v>
      </c>
      <c r="I13" s="1445" t="s">
        <v>3336</v>
      </c>
      <c r="Z13" s="1445" t="s">
        <v>2464</v>
      </c>
    </row>
    <row r="14" spans="1:28">
      <c r="A14" s="1441" t="s">
        <v>1040</v>
      </c>
      <c r="B14" s="1441" t="s">
        <v>1041</v>
      </c>
      <c r="C14" s="1443" t="s">
        <v>13</v>
      </c>
      <c r="I14" s="1445" t="s">
        <v>3337</v>
      </c>
      <c r="Z14" s="1445" t="s">
        <v>2466</v>
      </c>
    </row>
    <row r="15" spans="1:28">
      <c r="A15" s="1441" t="s">
        <v>1042</v>
      </c>
      <c r="B15" s="1441" t="s">
        <v>1043</v>
      </c>
      <c r="C15" s="1442"/>
      <c r="I15" s="1445" t="s">
        <v>3338</v>
      </c>
    </row>
    <row r="16" spans="1:28">
      <c r="A16" s="1441" t="s">
        <v>1044</v>
      </c>
      <c r="B16" s="1441" t="s">
        <v>312</v>
      </c>
      <c r="C16" s="1442"/>
    </row>
    <row r="17" spans="1:3">
      <c r="A17" s="1441" t="s">
        <v>1045</v>
      </c>
      <c r="B17" s="1441" t="s">
        <v>2284</v>
      </c>
      <c r="C17" s="1442"/>
    </row>
    <row r="18" spans="1:3">
      <c r="A18" s="1441" t="s">
        <v>1046</v>
      </c>
      <c r="B18" s="1441" t="s">
        <v>2423</v>
      </c>
      <c r="C18" s="1442"/>
    </row>
    <row r="19" spans="1:3">
      <c r="A19" s="1441" t="s">
        <v>1047</v>
      </c>
      <c r="B19" s="1441" t="s">
        <v>3435</v>
      </c>
      <c r="C19" s="1442"/>
    </row>
    <row r="20" spans="1:3">
      <c r="A20" s="1441" t="s">
        <v>1048</v>
      </c>
      <c r="B20" s="1441" t="s">
        <v>3485</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1447" t="s">
        <v>385</v>
      </c>
      <c r="C54" s="1445" t="s">
        <v>583</v>
      </c>
    </row>
    <row r="55" spans="1:4">
      <c r="A55" s="3258"/>
      <c r="B55" s="1447" t="s">
        <v>386</v>
      </c>
      <c r="C55" s="1445" t="s">
        <v>584</v>
      </c>
    </row>
    <row r="56" spans="1:4">
      <c r="A56" s="3258"/>
      <c r="B56" s="1447" t="s">
        <v>387</v>
      </c>
      <c r="C56" s="1445" t="s">
        <v>588</v>
      </c>
    </row>
    <row r="57" spans="1:4">
      <c r="A57" s="325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2490</v>
      </c>
      <c r="B1" s="2757"/>
      <c r="C1" s="2757"/>
      <c r="D1" s="2757"/>
      <c r="E1" s="2757"/>
      <c r="F1" s="2758"/>
      <c r="I1" s="3135" t="s">
        <v>2583</v>
      </c>
      <c r="J1" s="2783"/>
      <c r="K1" s="2783"/>
      <c r="L1" s="2783"/>
      <c r="M1" s="2783"/>
      <c r="N1" s="2968"/>
      <c r="O1" s="2968"/>
      <c r="P1" s="2968"/>
      <c r="Q1" s="2968"/>
      <c r="R1" s="2968"/>
    </row>
    <row r="2" spans="1:18">
      <c r="A2" s="2760"/>
      <c r="B2" s="2761"/>
      <c r="C2" s="2761"/>
      <c r="D2" s="2761"/>
      <c r="E2" s="2761"/>
      <c r="F2" s="2762"/>
      <c r="I2" s="3259" t="s">
        <v>2570</v>
      </c>
      <c r="J2" s="3259"/>
      <c r="K2" s="3259"/>
      <c r="L2" s="3259"/>
      <c r="M2" s="3259"/>
      <c r="N2" s="3259"/>
      <c r="O2" s="3259"/>
      <c r="P2" s="3259"/>
      <c r="Q2" s="3259"/>
      <c r="R2" s="3259"/>
    </row>
    <row r="3" spans="1:18">
      <c r="A3" s="2763" t="s">
        <v>2491</v>
      </c>
      <c r="B3" s="2764">
        <f>项目基本情况!D3</f>
        <v>45973</v>
      </c>
      <c r="C3" s="2766"/>
      <c r="D3" s="2766"/>
      <c r="E3" s="2766"/>
      <c r="F3" s="2762"/>
      <c r="I3" s="2778"/>
      <c r="J3" s="2778" t="s">
        <v>2574</v>
      </c>
      <c r="K3" s="2778" t="s">
        <v>2575</v>
      </c>
      <c r="L3" s="2778" t="s">
        <v>2576</v>
      </c>
      <c r="M3" s="2778" t="s">
        <v>2577</v>
      </c>
      <c r="N3" s="3136" t="s">
        <v>2578</v>
      </c>
      <c r="O3" s="3136" t="s">
        <v>2579</v>
      </c>
      <c r="P3" s="3136" t="s">
        <v>2580</v>
      </c>
      <c r="Q3" s="3136" t="s">
        <v>2581</v>
      </c>
      <c r="R3" s="3136" t="s">
        <v>2582</v>
      </c>
    </row>
    <row r="4" spans="1:18">
      <c r="A4" s="2763" t="s">
        <v>2492</v>
      </c>
      <c r="B4" s="2766" t="s">
        <v>2493</v>
      </c>
      <c r="C4" s="2766" t="s">
        <v>2494</v>
      </c>
      <c r="D4" s="2766" t="s">
        <v>2495</v>
      </c>
      <c r="E4" s="2766" t="s">
        <v>2496</v>
      </c>
      <c r="F4" s="2762"/>
      <c r="I4" s="2778" t="s">
        <v>2571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2572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2573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2497</v>
      </c>
      <c r="B9" s="2766"/>
      <c r="C9" s="2766"/>
      <c r="D9" s="2766"/>
      <c r="E9" s="2766"/>
      <c r="F9" s="2770"/>
    </row>
    <row r="10" spans="1:18">
      <c r="A10" s="2763" t="s">
        <v>2498</v>
      </c>
      <c r="B10" s="2766"/>
      <c r="C10" s="2766"/>
      <c r="D10" s="2766" t="s">
        <v>2496</v>
      </c>
      <c r="E10" s="2766"/>
      <c r="F10" s="2770" t="s">
        <v>2495</v>
      </c>
    </row>
    <row r="11" spans="1:18">
      <c r="A11" s="2763" t="s">
        <v>2499</v>
      </c>
      <c r="B11" s="2771">
        <v>70</v>
      </c>
      <c r="C11" s="2766" t="s">
        <v>2500</v>
      </c>
      <c r="D11" s="2771">
        <v>4.4999999999999998E-2</v>
      </c>
      <c r="E11" s="2766" t="s">
        <v>2501</v>
      </c>
      <c r="F11" s="2772">
        <f>ROUND(1-(1/(POWER(1+D11,B11))),4)</f>
        <v>0.95409999999999995</v>
      </c>
    </row>
    <row r="12" spans="1:18">
      <c r="A12" s="2763" t="s">
        <v>2502</v>
      </c>
      <c r="B12" s="2771">
        <v>40</v>
      </c>
      <c r="C12" s="2766" t="s">
        <v>2503</v>
      </c>
      <c r="D12" s="2771">
        <v>4.4999999999999998E-2</v>
      </c>
      <c r="E12" s="2766" t="s">
        <v>2504</v>
      </c>
      <c r="F12" s="2772">
        <f>ROUND(1-(1/(POWER(1+D12,B12))),4)</f>
        <v>0.82809999999999995</v>
      </c>
    </row>
    <row r="13" spans="1:18">
      <c r="A13" s="2763" t="s">
        <v>2505</v>
      </c>
      <c r="B13" s="2766"/>
      <c r="C13" s="2766"/>
      <c r="D13" s="2761"/>
      <c r="E13" s="2761"/>
      <c r="F13" s="2762"/>
    </row>
    <row r="14" spans="1:18">
      <c r="A14" s="2763" t="s">
        <v>2506</v>
      </c>
      <c r="B14" s="2771">
        <v>5000</v>
      </c>
      <c r="C14" s="2765"/>
      <c r="D14" s="2761"/>
      <c r="E14" s="2761"/>
      <c r="F14" s="2762"/>
    </row>
    <row r="15" spans="1:18">
      <c r="A15" s="2763" t="s">
        <v>2507</v>
      </c>
      <c r="B15" s="2766">
        <f>ROUND(B14*F12/F11,2)</f>
        <v>4339.6899999999996</v>
      </c>
      <c r="C15" s="2766">
        <f>ROUND(F12/F11,4)</f>
        <v>0.8679</v>
      </c>
      <c r="D15" s="2761"/>
      <c r="E15" s="2761"/>
      <c r="F15" s="2762"/>
    </row>
    <row r="16" spans="1:18">
      <c r="A16" s="2763" t="s">
        <v>2508</v>
      </c>
      <c r="B16" s="2766"/>
      <c r="C16" s="2766"/>
      <c r="D16" s="2761"/>
      <c r="E16" s="2761"/>
      <c r="F16" s="2762"/>
    </row>
    <row r="17" spans="1:14">
      <c r="A17" s="2763" t="s">
        <v>2507</v>
      </c>
      <c r="B17" s="2771">
        <v>4810</v>
      </c>
      <c r="C17" s="2765"/>
      <c r="D17" s="2761"/>
      <c r="E17" s="2761"/>
      <c r="F17" s="2762"/>
    </row>
    <row r="18" spans="1:14" ht="14.25" thickBot="1">
      <c r="A18" s="2773" t="s">
        <v>2506</v>
      </c>
      <c r="B18" s="2774">
        <f>ROUND(B17*F11/F12,2)</f>
        <v>5541.87</v>
      </c>
      <c r="C18" s="2774">
        <f>ROUND(F11/F12,4)</f>
        <v>1.1521999999999999</v>
      </c>
      <c r="D18" s="2775"/>
      <c r="E18" s="2775"/>
      <c r="F18" s="2776"/>
    </row>
    <row r="19" spans="1:14" ht="14.25" thickBot="1"/>
    <row r="20" spans="1:14" s="2809" customFormat="1" ht="14.25" thickTop="1">
      <c r="A20" s="2806" t="s">
        <v>2509</v>
      </c>
      <c r="B20" s="2807"/>
      <c r="C20" s="2807"/>
      <c r="D20" s="2807"/>
      <c r="E20" s="2807"/>
      <c r="F20" s="2807"/>
      <c r="G20" s="2808"/>
      <c r="I20" s="2810" t="s">
        <v>2554</v>
      </c>
      <c r="J20" s="2810" t="s">
        <v>2559</v>
      </c>
      <c r="K20" s="2810"/>
      <c r="L20" s="2810"/>
      <c r="M20" s="2810"/>
    </row>
    <row r="21" spans="1:14">
      <c r="A21" s="2777"/>
      <c r="B21" s="2778" t="s">
        <v>2510</v>
      </c>
      <c r="C21" s="2778" t="s">
        <v>2511</v>
      </c>
      <c r="D21" s="2778" t="s">
        <v>2512</v>
      </c>
      <c r="E21" s="2778" t="s">
        <v>2513</v>
      </c>
      <c r="F21" s="2778" t="s">
        <v>2514</v>
      </c>
      <c r="G21" s="2779" t="s">
        <v>2515</v>
      </c>
      <c r="I21" s="2800">
        <v>5</v>
      </c>
      <c r="J21" s="2800">
        <v>54.2</v>
      </c>
    </row>
    <row r="22" spans="1:14">
      <c r="A22" s="2777" t="s">
        <v>2516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2557</v>
      </c>
      <c r="N23" s="3153" t="s">
        <v>2558</v>
      </c>
    </row>
    <row r="24" spans="1:14">
      <c r="A24" s="2777" t="s">
        <v>2518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2556</v>
      </c>
      <c r="N24" s="3153">
        <v>10</v>
      </c>
    </row>
    <row r="25" spans="1:14">
      <c r="A25" s="2777" t="s">
        <v>2519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2560</v>
      </c>
      <c r="N25" s="3153">
        <v>8</v>
      </c>
    </row>
    <row r="26" spans="1:14">
      <c r="A26" s="2782"/>
      <c r="B26" s="2783"/>
      <c r="C26" s="2783"/>
      <c r="D26" s="2783"/>
      <c r="E26" s="2783"/>
      <c r="F26" s="2783"/>
      <c r="G26" s="2784"/>
      <c r="I26" s="2800">
        <v>30</v>
      </c>
      <c r="J26" s="2800">
        <v>90.5</v>
      </c>
      <c r="K26" s="2800">
        <f t="shared" si="2"/>
        <v>4.2000000000000028</v>
      </c>
      <c r="L26" s="2800" t="s">
        <v>2561</v>
      </c>
      <c r="N26" s="3153">
        <v>5</v>
      </c>
    </row>
    <row r="27" spans="1:14">
      <c r="A27" s="2782" t="s">
        <v>2520</v>
      </c>
      <c r="B27" s="2783"/>
      <c r="C27" s="2783"/>
      <c r="D27" s="2783"/>
      <c r="E27" s="2783"/>
      <c r="F27" s="2783"/>
      <c r="G27" s="2784"/>
      <c r="I27" s="2800">
        <v>35</v>
      </c>
      <c r="J27" s="2800">
        <v>93.8</v>
      </c>
      <c r="K27" s="2800">
        <f t="shared" si="2"/>
        <v>3.2999999999999972</v>
      </c>
      <c r="L27" s="2800" t="s">
        <v>2562</v>
      </c>
      <c r="N27" s="3153">
        <v>3</v>
      </c>
    </row>
    <row r="28" spans="1:14">
      <c r="A28" s="2782" t="s">
        <v>2521</v>
      </c>
      <c r="B28" s="2783"/>
      <c r="C28" s="2783"/>
      <c r="D28" s="2783"/>
      <c r="E28" s="2783"/>
      <c r="F28" s="2783"/>
      <c r="G28" s="2784"/>
      <c r="I28" s="2800">
        <v>40</v>
      </c>
      <c r="J28" s="2800">
        <v>96.4</v>
      </c>
      <c r="K28" s="2800">
        <f t="shared" si="2"/>
        <v>2.6000000000000085</v>
      </c>
      <c r="L28" s="2800" t="s">
        <v>2563</v>
      </c>
      <c r="N28" s="3153">
        <v>2</v>
      </c>
    </row>
    <row r="29" spans="1:14">
      <c r="A29" s="2782" t="s">
        <v>2522</v>
      </c>
      <c r="B29" s="2783"/>
      <c r="C29" s="2783"/>
      <c r="D29" s="2783"/>
      <c r="E29" s="2783"/>
      <c r="F29" s="2783"/>
      <c r="G29" s="2784"/>
      <c r="I29" s="2800">
        <v>45</v>
      </c>
      <c r="J29" s="2800">
        <v>98.4</v>
      </c>
      <c r="K29" s="2800">
        <f t="shared" si="2"/>
        <v>2</v>
      </c>
    </row>
    <row r="30" spans="1:14">
      <c r="A30" s="2782" t="s">
        <v>2523</v>
      </c>
      <c r="B30" s="2783"/>
      <c r="C30" s="2783"/>
      <c r="D30" s="2783"/>
      <c r="E30" s="2783"/>
      <c r="F30" s="2783"/>
      <c r="G30" s="2784"/>
      <c r="I30" s="2800">
        <v>50</v>
      </c>
      <c r="J30" s="2800">
        <v>100</v>
      </c>
      <c r="K30" s="2800">
        <f t="shared" si="2"/>
        <v>1.5999999999999943</v>
      </c>
    </row>
    <row r="31" spans="1:14">
      <c r="A31" s="2782" t="s">
        <v>2524</v>
      </c>
      <c r="B31" s="2783"/>
      <c r="C31" s="2783"/>
      <c r="D31" s="2783"/>
      <c r="E31" s="2783"/>
      <c r="F31" s="2783"/>
      <c r="G31" s="2784"/>
      <c r="I31" s="2800" t="s">
        <v>2555</v>
      </c>
    </row>
    <row r="32" spans="1:14">
      <c r="A32" s="2782" t="s">
        <v>2525</v>
      </c>
      <c r="B32" s="2783"/>
      <c r="C32" s="2783"/>
      <c r="D32" s="2783"/>
      <c r="E32" s="2783"/>
      <c r="F32" s="2783"/>
      <c r="G32" s="2784"/>
    </row>
    <row r="33" spans="1:14">
      <c r="A33" s="2782" t="s">
        <v>2526</v>
      </c>
      <c r="B33" s="2783"/>
      <c r="C33" s="2783"/>
      <c r="D33" s="2783"/>
      <c r="E33" s="2783"/>
      <c r="F33" s="2783"/>
      <c r="G33" s="2784"/>
      <c r="I33" s="2800" t="s">
        <v>2554</v>
      </c>
      <c r="J33" s="2800" t="s">
        <v>2564</v>
      </c>
    </row>
    <row r="34" spans="1:14">
      <c r="A34" s="2782" t="s">
        <v>2527</v>
      </c>
      <c r="B34" s="2783"/>
      <c r="C34" s="2783"/>
      <c r="D34" s="2783"/>
      <c r="E34" s="2783"/>
      <c r="F34" s="2783"/>
      <c r="G34" s="2784"/>
      <c r="I34" s="2800">
        <v>5</v>
      </c>
      <c r="J34" s="2800">
        <v>55.1</v>
      </c>
    </row>
    <row r="35" spans="1:14">
      <c r="A35" s="2782" t="s">
        <v>2528</v>
      </c>
      <c r="B35" s="2783"/>
      <c r="C35" s="2783"/>
      <c r="D35" s="2783"/>
      <c r="E35" s="2783"/>
      <c r="F35" s="2783"/>
      <c r="G35" s="2784"/>
      <c r="I35" s="2800">
        <v>10</v>
      </c>
      <c r="J35" s="2800">
        <v>67</v>
      </c>
      <c r="K35" s="2800">
        <f>J35-J34</f>
        <v>11.899999999999999</v>
      </c>
    </row>
    <row r="36" spans="1:14">
      <c r="A36" s="2782" t="s">
        <v>2529</v>
      </c>
      <c r="B36" s="2783"/>
      <c r="C36" s="2783"/>
      <c r="D36" s="2783"/>
      <c r="E36" s="2783"/>
      <c r="F36" s="2783"/>
      <c r="G36" s="2784"/>
      <c r="I36" s="2800">
        <v>15</v>
      </c>
      <c r="J36" s="2800">
        <v>76.3</v>
      </c>
      <c r="K36" s="2800">
        <f t="shared" ref="K36:K41" si="3">J36-J35</f>
        <v>9.2999999999999972</v>
      </c>
      <c r="L36" s="2800" t="s">
        <v>2557</v>
      </c>
      <c r="N36" s="3153" t="s">
        <v>2558</v>
      </c>
    </row>
    <row r="37" spans="1:14">
      <c r="A37" s="2782" t="s">
        <v>2530</v>
      </c>
      <c r="B37" s="2783"/>
      <c r="C37" s="2783"/>
      <c r="D37" s="2783"/>
      <c r="E37" s="2783"/>
      <c r="F37" s="2783"/>
      <c r="G37" s="2784"/>
      <c r="I37" s="2800">
        <v>20</v>
      </c>
      <c r="J37" s="2800">
        <v>83.6</v>
      </c>
      <c r="K37" s="2800">
        <f t="shared" si="3"/>
        <v>7.2999999999999972</v>
      </c>
      <c r="L37" s="2800" t="s">
        <v>2556</v>
      </c>
      <c r="N37" s="3153">
        <v>10</v>
      </c>
    </row>
    <row r="38" spans="1:14">
      <c r="A38" s="2782" t="s">
        <v>2531</v>
      </c>
      <c r="B38" s="2783"/>
      <c r="C38" s="2783"/>
      <c r="D38" s="2783"/>
      <c r="E38" s="2783"/>
      <c r="F38" s="2783"/>
      <c r="G38" s="2784"/>
      <c r="I38" s="2800">
        <v>25</v>
      </c>
      <c r="J38" s="2800">
        <v>89.3</v>
      </c>
      <c r="K38" s="2800">
        <f t="shared" si="3"/>
        <v>5.7000000000000028</v>
      </c>
      <c r="L38" s="2800" t="s">
        <v>2560</v>
      </c>
      <c r="N38" s="3153">
        <v>8</v>
      </c>
    </row>
    <row r="39" spans="1:14">
      <c r="A39" s="2782"/>
      <c r="B39" s="2783"/>
      <c r="C39" s="2783"/>
      <c r="D39" s="2783"/>
      <c r="E39" s="2783"/>
      <c r="F39" s="2783"/>
      <c r="G39" s="2784"/>
      <c r="I39" s="2800">
        <v>30</v>
      </c>
      <c r="J39" s="2800">
        <v>93.8</v>
      </c>
      <c r="K39" s="2800">
        <f t="shared" si="3"/>
        <v>4.5</v>
      </c>
      <c r="L39" s="2800" t="s">
        <v>2561</v>
      </c>
      <c r="N39" s="3153">
        <v>6</v>
      </c>
    </row>
    <row r="40" spans="1:14">
      <c r="A40" s="2785" t="s">
        <v>2532</v>
      </c>
      <c r="B40" s="2786"/>
      <c r="C40" s="2786"/>
      <c r="D40" s="2786"/>
      <c r="E40" s="2786"/>
      <c r="F40" s="2786"/>
      <c r="G40" s="2787"/>
      <c r="I40" s="2800">
        <v>35</v>
      </c>
      <c r="J40" s="2800">
        <v>97.2</v>
      </c>
      <c r="K40" s="2800">
        <f t="shared" si="3"/>
        <v>3.4000000000000057</v>
      </c>
      <c r="L40" s="2800" t="s">
        <v>2562</v>
      </c>
      <c r="N40" s="3153">
        <v>3</v>
      </c>
    </row>
    <row r="41" spans="1:14">
      <c r="A41" s="2788" t="s">
        <v>2533</v>
      </c>
      <c r="B41" s="2789" t="s">
        <v>2534</v>
      </c>
      <c r="C41" s="2790" t="s">
        <v>2535</v>
      </c>
      <c r="D41" s="2790" t="s">
        <v>2536</v>
      </c>
      <c r="E41" s="2791"/>
      <c r="F41" s="2792"/>
      <c r="G41" s="2793"/>
      <c r="I41" s="2800">
        <v>40</v>
      </c>
      <c r="J41" s="2800">
        <v>100</v>
      </c>
      <c r="K41" s="2800">
        <f t="shared" si="3"/>
        <v>2.7999999999999972</v>
      </c>
    </row>
    <row r="42" spans="1:14">
      <c r="A42" s="2788" t="s">
        <v>2537</v>
      </c>
      <c r="B42" s="2789" t="s">
        <v>2538</v>
      </c>
      <c r="C42" s="2790" t="s">
        <v>2539</v>
      </c>
      <c r="D42" s="2794" t="s">
        <v>2540</v>
      </c>
      <c r="E42" s="2786" t="s">
        <v>2541</v>
      </c>
      <c r="F42" s="2786"/>
      <c r="G42" s="2787"/>
    </row>
    <row r="43" spans="1:14">
      <c r="A43" s="2788" t="s">
        <v>2542</v>
      </c>
      <c r="B43" s="2789" t="s">
        <v>2543</v>
      </c>
      <c r="C43" s="2790" t="s">
        <v>2544</v>
      </c>
      <c r="D43" s="2790" t="s">
        <v>2545</v>
      </c>
      <c r="E43" s="2791" t="s">
        <v>2546</v>
      </c>
      <c r="F43" s="2792"/>
      <c r="G43" s="2793"/>
      <c r="I43" s="2800" t="s">
        <v>2554</v>
      </c>
      <c r="J43" s="2800" t="s">
        <v>2565</v>
      </c>
    </row>
    <row r="44" spans="1:14">
      <c r="A44" s="2788" t="s">
        <v>2547</v>
      </c>
      <c r="B44" s="2789" t="s">
        <v>2548</v>
      </c>
      <c r="C44" s="2790" t="s">
        <v>2549</v>
      </c>
      <c r="D44" s="2794">
        <v>0.5</v>
      </c>
      <c r="E44" s="2791" t="s">
        <v>2550</v>
      </c>
      <c r="F44" s="2792"/>
      <c r="G44" s="2793"/>
      <c r="I44" s="2800">
        <v>30</v>
      </c>
      <c r="J44" s="2800">
        <v>81.7</v>
      </c>
    </row>
    <row r="45" spans="1:14" ht="14.25" thickBot="1">
      <c r="A45" s="2795" t="s">
        <v>2551</v>
      </c>
      <c r="B45" s="2796" t="s">
        <v>2538</v>
      </c>
      <c r="C45" s="2797" t="s">
        <v>2538</v>
      </c>
      <c r="D45" s="2797" t="s">
        <v>2552</v>
      </c>
      <c r="E45" s="2798" t="s">
        <v>2553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3375</v>
      </c>
    </row>
    <row r="50" spans="1:4">
      <c r="A50" s="3145" t="s">
        <v>3376</v>
      </c>
      <c r="B50" s="3145" t="s">
        <v>3377</v>
      </c>
      <c r="C50" s="3145" t="s">
        <v>3378</v>
      </c>
      <c r="D50" s="3145" t="s">
        <v>3379</v>
      </c>
    </row>
    <row r="51" spans="1:4">
      <c r="A51" s="3145" t="s">
        <v>3380</v>
      </c>
      <c r="B51" s="2765">
        <f>B52+B53</f>
        <v>15000</v>
      </c>
      <c r="C51" s="3146">
        <f>D51/B51</f>
        <v>2666.6666666666665</v>
      </c>
      <c r="D51" s="2765">
        <f>D52+D53</f>
        <v>40000000</v>
      </c>
    </row>
    <row r="52" spans="1:4">
      <c r="A52" s="3147" t="s">
        <v>3381</v>
      </c>
      <c r="B52" s="3148">
        <v>10000</v>
      </c>
      <c r="C52" s="3148">
        <v>1500</v>
      </c>
      <c r="D52" s="3149">
        <f>C52*B52</f>
        <v>15000000</v>
      </c>
    </row>
    <row r="53" spans="1:4">
      <c r="A53" s="3147" t="s">
        <v>3382</v>
      </c>
      <c r="B53" s="3148">
        <v>5000</v>
      </c>
      <c r="C53" s="3148">
        <v>5000</v>
      </c>
      <c r="D53" s="3149">
        <f>C53*B53</f>
        <v>25000000</v>
      </c>
    </row>
    <row r="54" spans="1:4">
      <c r="A54" s="3145" t="s">
        <v>3383</v>
      </c>
      <c r="B54" s="2765">
        <f>B51</f>
        <v>15000</v>
      </c>
      <c r="C54" s="2771">
        <v>700</v>
      </c>
      <c r="D54" s="2765">
        <f t="shared" ref="D54:D55" si="5">C54*B54</f>
        <v>10500000</v>
      </c>
    </row>
    <row r="55" spans="1:4">
      <c r="A55" s="3145" t="s">
        <v>3384</v>
      </c>
      <c r="B55" s="2765">
        <f>B51</f>
        <v>15000</v>
      </c>
      <c r="C55" s="2771">
        <v>1500</v>
      </c>
      <c r="D55" s="2765">
        <f t="shared" si="5"/>
        <v>22500000</v>
      </c>
    </row>
    <row r="56" spans="1:4">
      <c r="A56" s="3145" t="s">
        <v>3385</v>
      </c>
      <c r="B56" s="2765">
        <f>B51</f>
        <v>15000</v>
      </c>
      <c r="C56" s="3150">
        <f>C51+C54+C55</f>
        <v>4866.6666666666661</v>
      </c>
      <c r="D56" s="2765">
        <f>D51+D54+D55</f>
        <v>73000000</v>
      </c>
    </row>
    <row r="58" spans="1:4">
      <c r="A58" s="3145" t="s">
        <v>3386</v>
      </c>
      <c r="B58" s="3151">
        <v>0.05</v>
      </c>
      <c r="C58" s="2765">
        <f>C56*(1+B58)</f>
        <v>5110</v>
      </c>
      <c r="D58" s="2765">
        <f>D56*B58</f>
        <v>3650000</v>
      </c>
    </row>
    <row r="60" spans="1:4">
      <c r="A60" s="3145" t="s">
        <v>3387</v>
      </c>
      <c r="B60" s="2771">
        <v>3500</v>
      </c>
      <c r="C60" s="2771">
        <f>C53</f>
        <v>5000</v>
      </c>
      <c r="D60" s="2765">
        <f>C60*B60</f>
        <v>17500000</v>
      </c>
    </row>
    <row r="62" spans="1:4">
      <c r="A62" s="3145" t="s">
        <v>3388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24" sqref="H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67" t="str">
        <f>IF(B10="北京市","北京市",C10)&amp;F10&amp;IF(结果表!G1="在建","出让国有建设用地使用权及在建建筑物",IF(结果表!G1="土地","出让国有建设用地使用权",))&amp;B9&amp;"预评估"</f>
        <v>北京市房地产抵押价值预评估</v>
      </c>
      <c r="C1" s="3268"/>
      <c r="D1" s="3268"/>
      <c r="E1" s="3268"/>
      <c r="F1" s="3268"/>
      <c r="G1" s="3268"/>
      <c r="H1" s="3268"/>
      <c r="I1" s="326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45973</v>
      </c>
      <c r="C3" s="2186" t="s">
        <v>2171</v>
      </c>
      <c r="D3" s="2185">
        <f>B3</f>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3407</v>
      </c>
      <c r="C8" s="2201"/>
      <c r="D8" s="3270" t="s">
        <v>2177</v>
      </c>
      <c r="E8" s="2202" t="s">
        <v>3408</v>
      </c>
      <c r="F8" s="2203"/>
      <c r="G8" s="2442"/>
      <c r="H8" s="2442"/>
      <c r="I8" s="2442"/>
      <c r="J8" s="2245"/>
      <c r="K8" s="2400"/>
      <c r="L8" s="2399"/>
      <c r="M8" s="2399"/>
      <c r="N8" s="2245"/>
      <c r="O8" s="1670"/>
      <c r="P8" s="2245"/>
      <c r="Q8" s="2245"/>
      <c r="R8" s="2245"/>
    </row>
    <row r="9" spans="1:30" ht="13.5" thickBot="1">
      <c r="A9" s="2204" t="s">
        <v>2178</v>
      </c>
      <c r="B9" s="2205" t="s">
        <v>3408</v>
      </c>
      <c r="C9" s="2206"/>
      <c r="D9" s="3271"/>
      <c r="E9" s="2205" t="s">
        <v>43</v>
      </c>
      <c r="F9" s="2207"/>
      <c r="G9" s="2443"/>
      <c r="H9" s="2443"/>
      <c r="I9" s="2443"/>
      <c r="J9" s="2245"/>
      <c r="K9" s="2402"/>
      <c r="L9" s="2399"/>
      <c r="M9" s="2399"/>
      <c r="N9" s="2245"/>
      <c r="O9" s="1670"/>
      <c r="P9" s="2245"/>
      <c r="Q9" s="2245"/>
      <c r="R9" s="2245"/>
    </row>
    <row r="10" spans="1:30" ht="13.5" thickTop="1">
      <c r="A10" s="2208" t="s">
        <v>2179</v>
      </c>
      <c r="B10" s="2209" t="s">
        <v>3409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2566</v>
      </c>
      <c r="J12" s="2803"/>
      <c r="K12" s="2399"/>
      <c r="L12" s="2399"/>
      <c r="M12" s="2245"/>
      <c r="N12" s="1670"/>
      <c r="O12" s="2245"/>
      <c r="P12" s="2245"/>
      <c r="Q12" s="2245"/>
      <c r="AD12" s="1618"/>
    </row>
    <row r="13" spans="1:30">
      <c r="A13" s="3122" t="s">
        <v>3320</v>
      </c>
      <c r="B13" s="2218" t="s">
        <v>2190</v>
      </c>
      <c r="C13" s="803"/>
      <c r="D13" s="803">
        <v>52839</v>
      </c>
      <c r="E13" s="803"/>
      <c r="F13" s="803">
        <v>56491</v>
      </c>
      <c r="G13" s="803"/>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18.809999999999999</v>
      </c>
      <c r="E15" s="2221" t="str">
        <f>IF(A13="出让",IF(E13="","",ROUNDDOWN(MIN((E13-$D$3)/365,E14),2)),E14)</f>
        <v/>
      </c>
      <c r="F15" s="2221">
        <f>IF(A13="出让",IF(F13="","",ROUNDDOWN(MIN((F13-$D$3)/365,F14),2)),F14)</f>
        <v>28.81</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77"/>
      <c r="C16" s="3278"/>
      <c r="D16" s="3279"/>
      <c r="E16" s="2222" t="s">
        <v>2194</v>
      </c>
      <c r="F16" s="3280"/>
      <c r="G16" s="3281"/>
      <c r="H16" s="3281"/>
      <c r="I16" s="3282"/>
      <c r="J16" s="2245"/>
      <c r="K16" s="2403"/>
      <c r="L16" s="1670"/>
      <c r="M16" s="1670"/>
      <c r="N16" s="2245"/>
      <c r="O16" s="1670"/>
      <c r="P16" s="2245"/>
      <c r="Q16" s="2245"/>
      <c r="R16" s="2245"/>
    </row>
    <row r="17" spans="1:28">
      <c r="A17" s="305" t="s">
        <v>2195</v>
      </c>
      <c r="B17" s="294" t="s">
        <v>2196</v>
      </c>
      <c r="C17" s="8">
        <f>'数据-汇总表'!E3</f>
        <v>99989.78</v>
      </c>
      <c r="D17" s="1256" t="s">
        <v>2197</v>
      </c>
      <c r="E17" s="3283" t="s">
        <v>2198</v>
      </c>
      <c r="F17" s="3284"/>
      <c r="G17" s="3284"/>
      <c r="H17" s="3284"/>
      <c r="I17" s="328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86" t="s">
        <v>2202</v>
      </c>
      <c r="F18" s="3287"/>
      <c r="G18" s="3287"/>
      <c r="H18" s="3287"/>
      <c r="I18" s="328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73" t="s">
        <v>2206</v>
      </c>
      <c r="C20" s="3274"/>
      <c r="D20" s="3275" t="s">
        <v>2207</v>
      </c>
      <c r="E20" s="3276"/>
      <c r="F20" s="2430" t="s">
        <v>1056</v>
      </c>
      <c r="G20" s="2442"/>
      <c r="H20" s="2442"/>
      <c r="I20" s="2442"/>
      <c r="J20" s="2245"/>
      <c r="K20" s="327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7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7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2"/>
      <c r="B30" s="294" t="s">
        <v>2218</v>
      </c>
      <c r="C30" s="3263"/>
      <c r="D30" s="3264"/>
      <c r="E30" s="2442"/>
      <c r="F30" s="2442"/>
      <c r="G30" s="2442"/>
      <c r="H30" s="2442"/>
      <c r="I30" s="2442"/>
      <c r="J30" s="2245"/>
      <c r="K30" s="2402"/>
      <c r="L30" s="2399"/>
      <c r="M30" s="2399"/>
      <c r="N30" s="2245"/>
      <c r="O30" s="1670"/>
      <c r="P30" s="2245"/>
      <c r="Q30" s="2245"/>
      <c r="R30" s="2245"/>
      <c r="S30" s="2245"/>
      <c r="T30" s="2245"/>
      <c r="U30" s="2245"/>
      <c r="V30" s="2245"/>
    </row>
    <row r="31" spans="1:28">
      <c r="A31" s="326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60" t="s">
        <v>2228</v>
      </c>
      <c r="T34" s="315" t="str">
        <f>NUMBERSTRING(7-K34,1)&amp;"通"</f>
        <v>七通</v>
      </c>
      <c r="U34" s="2245"/>
      <c r="V34" s="2245"/>
    </row>
    <row r="35" spans="1:30">
      <c r="A35" s="2236"/>
      <c r="B35" s="3260" t="s">
        <v>2229</v>
      </c>
      <c r="C35" s="3260"/>
      <c r="D35" s="3260"/>
      <c r="E35" s="326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2569</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267</v>
      </c>
      <c r="C38" s="2238" t="s">
        <v>267</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2" width="9.5" style="1463" customWidth="1"/>
    <col min="13" max="14" width="9.5" style="1463" hidden="1"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99989.78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99989.78</v>
      </c>
      <c r="H5" s="13">
        <f t="shared" ref="H5:AT5" si="0">SUM(H13:H656)</f>
        <v>99098.34</v>
      </c>
      <c r="I5" s="13">
        <f t="shared" si="0"/>
        <v>63105.500000000007</v>
      </c>
      <c r="J5" s="13">
        <f t="shared" si="0"/>
        <v>0</v>
      </c>
      <c r="K5" s="13">
        <f t="shared" si="0"/>
        <v>35992.839999999997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891.44</v>
      </c>
      <c r="AD5" s="13">
        <f t="shared" si="0"/>
        <v>0</v>
      </c>
      <c r="AE5" s="13">
        <f t="shared" si="0"/>
        <v>0</v>
      </c>
      <c r="AF5" s="13">
        <f t="shared" si="0"/>
        <v>0</v>
      </c>
      <c r="AG5" s="13">
        <f t="shared" si="0"/>
        <v>0</v>
      </c>
      <c r="AH5" s="13">
        <f t="shared" si="0"/>
        <v>0</v>
      </c>
      <c r="AI5" s="13">
        <f t="shared" si="0"/>
        <v>0</v>
      </c>
      <c r="AJ5" s="13">
        <f t="shared" si="0"/>
        <v>0</v>
      </c>
      <c r="AK5" s="13">
        <f t="shared" si="0"/>
        <v>0</v>
      </c>
      <c r="AL5" s="13">
        <f t="shared" si="0"/>
        <v>891.44</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99989.78</v>
      </c>
      <c r="BA5" s="15">
        <f t="shared" si="1"/>
        <v>99098.34</v>
      </c>
      <c r="BB5" s="15">
        <f t="shared" si="1"/>
        <v>63105.500000000007</v>
      </c>
      <c r="BC5" s="15">
        <f t="shared" si="1"/>
        <v>35992.839999999997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891.44</v>
      </c>
      <c r="BM5" s="15">
        <f t="shared" si="1"/>
        <v>0</v>
      </c>
      <c r="BN5" s="15">
        <f t="shared" si="1"/>
        <v>0</v>
      </c>
      <c r="BO5" s="15">
        <f t="shared" si="1"/>
        <v>0</v>
      </c>
      <c r="BP5" s="15">
        <f t="shared" si="1"/>
        <v>0</v>
      </c>
      <c r="BQ5" s="15">
        <f t="shared" si="1"/>
        <v>891.44</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3411</v>
      </c>
      <c r="J9" s="761"/>
      <c r="K9" s="1491" t="s">
        <v>3412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3321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1" t="s">
        <v>3431</v>
      </c>
      <c r="D13" s="1513" t="s">
        <v>3413</v>
      </c>
      <c r="E13" s="13">
        <f>IF($C$3="是",ROUND($A$3*G13/$B$3,2),ROUND($A$3*(G13-AT13)/$B$3,2))</f>
        <v>0</v>
      </c>
      <c r="F13" s="29"/>
      <c r="G13" s="30">
        <f>H13+AC13+AT13</f>
        <v>63996.94000000001</v>
      </c>
      <c r="H13" s="17">
        <f>SUMIF(I$12:AB$12,"总值",I13:AB13)</f>
        <v>63105.500000000007</v>
      </c>
      <c r="I13" s="1514">
        <f>Sheet1!B19</f>
        <v>63105.500000000007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891.44</v>
      </c>
      <c r="AD13" s="989"/>
      <c r="AE13" s="989"/>
      <c r="AF13" s="989"/>
      <c r="AG13" s="989"/>
      <c r="AH13" s="989"/>
      <c r="AI13" s="989"/>
      <c r="AJ13" s="989"/>
      <c r="AK13" s="989"/>
      <c r="AL13" s="989">
        <f>Sheet1!B21</f>
        <v>891.44</v>
      </c>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63996.94000000001</v>
      </c>
      <c r="BA13" s="13">
        <f>SUM(BB13:BK13)</f>
        <v>63105.500000000007</v>
      </c>
      <c r="BB13" s="13">
        <f>IF($D13="是",I13-J13,0)</f>
        <v>63105.500000000007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891.44</v>
      </c>
      <c r="BM13" s="13">
        <f>IF($D13="是",AD13-AE13,0)</f>
        <v>0</v>
      </c>
      <c r="BN13" s="13">
        <f>IF($D13="是",AF13-AG13,0)</f>
        <v>0</v>
      </c>
      <c r="BO13" s="13">
        <f>IF($D13="是",AH13-AI13,0)</f>
        <v>0</v>
      </c>
      <c r="BP13" s="13">
        <f>IF($D13="是",AJ13-AK13,0)</f>
        <v>0</v>
      </c>
      <c r="BQ13" s="13">
        <f>IF($D13="是",AL13-AM13,0)</f>
        <v>891.44</v>
      </c>
      <c r="BR13" s="13">
        <f>IF($D13="是",AN13-AO13,0)</f>
        <v>0</v>
      </c>
      <c r="BS13" s="13">
        <f>IF($D13="是",AP13-AQ13,0)</f>
        <v>0</v>
      </c>
      <c r="BT13" s="19">
        <f>IF($D13="是",AR13-AS13,0)</f>
        <v>0</v>
      </c>
    </row>
    <row r="14" spans="1:72" s="1468" customFormat="1" ht="12.75">
      <c r="A14" s="628"/>
      <c r="B14" s="628"/>
      <c r="C14" s="3172" t="s">
        <v>3432</v>
      </c>
      <c r="D14" s="1513" t="s">
        <v>3413</v>
      </c>
      <c r="E14" s="13">
        <f>IF($C$3="是",ROUND($A$3*G14/$B$3,2),ROUND($A$3*(G14-AT14)/$B$3,2))</f>
        <v>0</v>
      </c>
      <c r="F14" s="29"/>
      <c r="G14" s="30">
        <f>H14+AC14+AT14</f>
        <v>35992.839999999997</v>
      </c>
      <c r="H14" s="17">
        <f>SUMIF(I$12:AB$12,"总值",I14:AB14)</f>
        <v>35992.839999999997</v>
      </c>
      <c r="I14" s="1514"/>
      <c r="J14" s="1514"/>
      <c r="K14" s="1514">
        <f>Sheet1!B20</f>
        <v>35992.839999999997</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车库</v>
      </c>
      <c r="AY14" s="1260">
        <f>ROUND($AY$6*AZ14/$AZ$5,2)</f>
        <v>0</v>
      </c>
      <c r="AZ14" s="13">
        <f>BA14+BL14</f>
        <v>35992.839999999997</v>
      </c>
      <c r="BA14" s="13">
        <f>SUM(BB14:BK14)</f>
        <v>35992.839999999997</v>
      </c>
      <c r="BB14" s="13">
        <f>IF($D14="是",I14-J14,0)</f>
        <v>0</v>
      </c>
      <c r="BC14" s="13">
        <f>IF($D14="是",K14-L14,0)</f>
        <v>35992.839999999997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0"/>
  <sheetViews>
    <sheetView view="pageBreakPreview" zoomScale="70" zoomScaleNormal="100" zoomScaleSheetLayoutView="70" workbookViewId="0">
      <selection activeCell="I40" sqref="I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8" t="s">
        <v>1131</v>
      </c>
      <c r="B2" s="3298"/>
      <c r="C2" s="3298"/>
      <c r="D2" s="748" t="s">
        <v>1107</v>
      </c>
      <c r="E2" s="1523" t="s">
        <v>1108</v>
      </c>
      <c r="F2" s="2439"/>
      <c r="G2" s="2432"/>
      <c r="H2" s="2433"/>
      <c r="I2" s="2146" t="s">
        <v>1132</v>
      </c>
      <c r="J2" s="2439"/>
      <c r="K2" s="2439"/>
      <c r="L2" s="2439"/>
      <c r="M2" s="2439"/>
      <c r="N2" s="2440"/>
      <c r="O2" s="2439"/>
      <c r="P2" s="2439"/>
    </row>
    <row r="3" spans="1:16" ht="15.75" thickBot="1">
      <c r="A3" s="3299" t="s">
        <v>1105</v>
      </c>
      <c r="B3" s="3299"/>
      <c r="C3" s="3299"/>
      <c r="D3" s="41">
        <f>'数据-基础表'!AY6</f>
        <v>0</v>
      </c>
      <c r="E3" s="41">
        <f>'数据-基础表'!AZ5</f>
        <v>99989.78</v>
      </c>
      <c r="F3" s="2439"/>
      <c r="G3" s="42"/>
      <c r="H3" s="43" t="s">
        <v>1106</v>
      </c>
      <c r="I3" s="802" t="e">
        <f>ROUND('数据-基础表'!B3/'数据-基础表'!A3,2)</f>
        <v>#DIV/0!</v>
      </c>
      <c r="J3" s="2439"/>
      <c r="K3" s="2439"/>
      <c r="L3" s="2439"/>
      <c r="M3" s="2439"/>
      <c r="N3" s="2440"/>
      <c r="O3" s="2439"/>
      <c r="P3" s="2439"/>
    </row>
    <row r="4" spans="1:16" ht="15">
      <c r="A4" s="3300"/>
      <c r="B4" s="3301"/>
      <c r="C4" s="330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03" t="s">
        <v>1110</v>
      </c>
      <c r="C5" s="330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303" t="s">
        <v>1111</v>
      </c>
      <c r="C6" s="3303"/>
      <c r="D6" s="43">
        <f>ROUND($D$3*E6/$E$3,2)</f>
        <v>0</v>
      </c>
      <c r="E6" s="44">
        <f>E3-E5</f>
        <v>99989.78</v>
      </c>
      <c r="F6" s="2439"/>
      <c r="G6" s="1529" t="s">
        <v>1112</v>
      </c>
      <c r="H6" s="45" t="s">
        <v>1113</v>
      </c>
      <c r="I6" s="2435" t="e">
        <f>ROUND(F31/D31,2)</f>
        <v>#DIV/0!</v>
      </c>
      <c r="J6" s="2439"/>
      <c r="K6" s="2439"/>
      <c r="L6" s="2439"/>
      <c r="M6" s="2439"/>
      <c r="N6" s="2439"/>
      <c r="O6" s="2439"/>
      <c r="P6" s="2439"/>
    </row>
    <row r="7" spans="1:16" ht="15.75" thickBot="1">
      <c r="A7" s="3295"/>
      <c r="B7" s="3296"/>
      <c r="C7" s="3297"/>
      <c r="D7" s="1524" t="s">
        <v>1107</v>
      </c>
      <c r="E7" s="1528" t="s">
        <v>1114</v>
      </c>
      <c r="F7" s="2439"/>
      <c r="G7" s="2436" t="s">
        <v>1115</v>
      </c>
      <c r="H7" s="95"/>
      <c r="I7" s="2437">
        <v>3</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63105.500000000007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35992.839999999997</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99098.34</v>
      </c>
      <c r="F16" s="2439"/>
      <c r="G16" s="2439"/>
      <c r="H16" s="1531" t="s">
        <v>1135</v>
      </c>
      <c r="I16" s="1532"/>
      <c r="J16" s="1071"/>
      <c r="K16" s="3292" t="s">
        <v>1135</v>
      </c>
      <c r="L16" s="3293"/>
      <c r="M16" s="3293"/>
      <c r="N16" s="3293"/>
      <c r="O16" s="3293"/>
      <c r="P16" s="3294"/>
    </row>
    <row r="17" spans="1:19" ht="15">
      <c r="A17" s="1533" t="s">
        <v>1136</v>
      </c>
      <c r="B17" s="1534" t="s">
        <v>1137</v>
      </c>
      <c r="C17" s="1535" t="s">
        <v>1138</v>
      </c>
      <c r="D17" s="1536" t="s">
        <v>1126</v>
      </c>
      <c r="E17" s="1537" t="s">
        <v>1127</v>
      </c>
      <c r="F17" s="1538"/>
      <c r="G17" s="1539"/>
      <c r="H17" s="1540" t="s">
        <v>1139</v>
      </c>
      <c r="I17" s="1541" t="s">
        <v>1124</v>
      </c>
      <c r="J17" s="1071"/>
      <c r="K17" s="3289" t="s">
        <v>1140</v>
      </c>
      <c r="L17" s="3290"/>
      <c r="M17" s="3291"/>
      <c r="N17" s="3289" t="s">
        <v>1141</v>
      </c>
      <c r="O17" s="3290"/>
      <c r="P17" s="329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3414</v>
      </c>
      <c r="D19" s="43">
        <f>ROUND($D$3*E19/$E$3,2)</f>
        <v>0</v>
      </c>
      <c r="E19" s="51">
        <f t="shared" ref="E19:E26" si="1">SUM(F19:G19)</f>
        <v>63105.500000000007</v>
      </c>
      <c r="F19" s="2558">
        <f>Sheet1!B19</f>
        <v>63105.500000000007</v>
      </c>
      <c r="G19" s="1243"/>
      <c r="H19" s="637">
        <f>ROUND($D$3*I19/$E$3,2)</f>
        <v>0</v>
      </c>
      <c r="I19" s="46">
        <f t="shared" ref="I19:I26" si="2">IF($I$17="自定义",P19,M19)</f>
        <v>567.66999999999996</v>
      </c>
      <c r="J19" s="1071"/>
      <c r="K19" s="637">
        <f t="shared" ref="K19:K26" si="3">ROUND(E$28*E19/E$27,2)</f>
        <v>567.66999999999996</v>
      </c>
      <c r="L19" s="43">
        <f t="shared" ref="L19:L26" si="4">ROUND(IF(COUNTIF(C19,"*住宅*")&gt;0,E$29*E19/E$32,0),2)</f>
        <v>0</v>
      </c>
      <c r="M19" s="46">
        <f>K19+L19</f>
        <v>567.66999999999996</v>
      </c>
      <c r="N19" s="1550"/>
      <c r="O19" s="1551"/>
      <c r="P19" s="46">
        <f>N19+O19</f>
        <v>0</v>
      </c>
      <c r="R19" s="43">
        <f t="shared" ref="R19:S26" si="5">D19+H19</f>
        <v>0</v>
      </c>
      <c r="S19" s="51">
        <f t="shared" si="5"/>
        <v>63673.170000000006</v>
      </c>
    </row>
    <row r="20" spans="1:19">
      <c r="A20" s="1549"/>
      <c r="B20" s="45" t="s">
        <v>1153</v>
      </c>
      <c r="C20" s="3116" t="s">
        <v>3433</v>
      </c>
      <c r="D20" s="43">
        <f t="shared" ref="D20:D26" si="6">ROUND($D$3*E20/$E$3,2)</f>
        <v>0</v>
      </c>
      <c r="E20" s="51">
        <f t="shared" si="1"/>
        <v>35992.839999999997</v>
      </c>
      <c r="F20" s="2558"/>
      <c r="G20" s="1243">
        <f>Sheet1!B20</f>
        <v>35992.839999999997</v>
      </c>
      <c r="H20" s="637">
        <f t="shared" ref="H20:H26" si="7">ROUND($D$3*I20/$E$3,2)</f>
        <v>0</v>
      </c>
      <c r="I20" s="46">
        <f t="shared" si="2"/>
        <v>323.77</v>
      </c>
      <c r="J20" s="1071"/>
      <c r="K20" s="637">
        <f t="shared" si="3"/>
        <v>323.77</v>
      </c>
      <c r="L20" s="43">
        <f t="shared" si="4"/>
        <v>0</v>
      </c>
      <c r="M20" s="46">
        <f t="shared" ref="M20:M26" si="8">K20+L20</f>
        <v>323.77</v>
      </c>
      <c r="N20" s="1550"/>
      <c r="O20" s="1551"/>
      <c r="P20" s="46">
        <f t="shared" ref="P20:P26" si="9">N20+O20</f>
        <v>0</v>
      </c>
      <c r="R20" s="43">
        <f t="shared" si="5"/>
        <v>0</v>
      </c>
      <c r="S20" s="51">
        <f t="shared" si="5"/>
        <v>36316.609999999993</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99098.34</v>
      </c>
      <c r="F27" s="1072">
        <f>IF(SUM(F19:F26)=E8,SUM(F19:F26),"地上面积有误")</f>
        <v>63105.500000000007</v>
      </c>
      <c r="G27" s="1074">
        <f>SUM(G19:G26)</f>
        <v>35992.839999999997</v>
      </c>
      <c r="H27" s="1075">
        <f>SUM(H19:H26)</f>
        <v>0</v>
      </c>
      <c r="I27" s="1076">
        <f>SUM(I19:I26)</f>
        <v>891.43999999999994</v>
      </c>
      <c r="J27" s="1071"/>
      <c r="K27" s="1077">
        <f>SUM(K19:K26)</f>
        <v>891.43999999999994</v>
      </c>
      <c r="L27" s="785">
        <f>SUM(L19:L26)</f>
        <v>0</v>
      </c>
      <c r="M27" s="1078">
        <f>SUM(M19:M26)</f>
        <v>891.43999999999994</v>
      </c>
      <c r="N27" s="1077">
        <f t="shared" ref="N27:O27" si="10">SUM(N19:N26)</f>
        <v>0</v>
      </c>
      <c r="O27" s="785">
        <f t="shared" si="10"/>
        <v>0</v>
      </c>
      <c r="P27" s="94">
        <f>SUM(P19:P26)</f>
        <v>0</v>
      </c>
      <c r="R27" s="968">
        <f>IF(SUM(R19:R26)=$D$3,SUM(R19:R26),SUM(R19:R26)&amp;"误差"&amp;ROUND(SUM(R19:R26)-$D$3,2))</f>
        <v>0</v>
      </c>
      <c r="S27" s="43">
        <f>IF(SUM(S19:S26)=$E$3,SUM(S19:S26),SUM(S19:S26)&amp;"误差"&amp;ROUND(SUM(S19:S26)-E3,2))</f>
        <v>99989.78</v>
      </c>
    </row>
    <row r="28" spans="1:19">
      <c r="A28" s="1549"/>
      <c r="B28" s="45" t="s">
        <v>1155</v>
      </c>
      <c r="C28" s="54" t="s">
        <v>1156</v>
      </c>
      <c r="D28" s="43">
        <f>ROUND($D$3*E28/$E$3,2)</f>
        <v>0</v>
      </c>
      <c r="E28" s="51">
        <f>SUM(F28:G28)</f>
        <v>891.44</v>
      </c>
      <c r="F28" s="54">
        <f>'数据-基础表'!BQ5+'数据-基础表'!BS5</f>
        <v>891.44</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891.44</v>
      </c>
      <c r="F30" s="1072">
        <f>SUM(F28:F29)</f>
        <v>891.44</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99989.78</v>
      </c>
      <c r="F31" s="644">
        <f>F27+F30</f>
        <v>63996.94000000001</v>
      </c>
      <c r="G31" s="645">
        <f>G27+G30</f>
        <v>35992.839999999997</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2:7">
      <c r="D33" s="1558"/>
      <c r="G33" s="1522">
        <f>(G31+9863)/E31</f>
        <v>0.45860526945853863</v>
      </c>
    </row>
    <row r="36" spans="2:7">
      <c r="D36" s="3633" t="s">
        <v>3953</v>
      </c>
    </row>
    <row r="37" spans="2:7">
      <c r="B37" s="3634" t="s">
        <v>3950</v>
      </c>
      <c r="C37" s="3634" t="s">
        <v>3949</v>
      </c>
      <c r="D37" s="3635">
        <v>20000</v>
      </c>
      <c r="E37" s="3635">
        <f>D37*G20/10000</f>
        <v>71985.679999999993</v>
      </c>
    </row>
    <row r="38" spans="2:7">
      <c r="B38" s="3635"/>
      <c r="C38" s="3634" t="s">
        <v>3951</v>
      </c>
      <c r="D38" s="3635">
        <v>45000</v>
      </c>
      <c r="E38" s="3635">
        <f>D38*F19/10000</f>
        <v>283974.75000000006</v>
      </c>
    </row>
    <row r="39" spans="2:7">
      <c r="B39" s="3635"/>
      <c r="C39" s="3634" t="s">
        <v>3952</v>
      </c>
      <c r="D39" s="3635">
        <f>E39/E31*10000</f>
        <v>35599.681287427586</v>
      </c>
      <c r="E39" s="3635">
        <f>E37+E38</f>
        <v>355960.43000000005</v>
      </c>
    </row>
    <row r="40" spans="2:7">
      <c r="B40" s="3635"/>
      <c r="C40" s="3635"/>
      <c r="D40" s="3635"/>
      <c r="E40" s="363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8" t="str">
        <f>项目基本情况!B1</f>
        <v>北京市房地产抵押价值预评估</v>
      </c>
      <c r="C37" s="3218"/>
      <c r="D37" s="3218"/>
      <c r="E37" s="3218"/>
      <c r="F37" s="3218"/>
      <c r="G37" s="3218"/>
      <c r="H37" s="3218"/>
      <c r="I37" s="321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673</v>
      </c>
      <c r="D6" s="805">
        <f>SUMIF(项目基本情况!C$12:I$12,C6,项目基本情况!C$14:I$14)</f>
        <v>40</v>
      </c>
      <c r="E6" s="804">
        <f>IF(B6="","",SUMIF(项目基本情况!C$12:I$12,C6,项目基本情况!C$13:I$13))</f>
        <v>52839</v>
      </c>
      <c r="F6" s="61">
        <f>SUMIF(项目基本情况!C$12:I$12,C6,项目基本情况!C$15:I$15)</f>
        <v>18.809999999999999</v>
      </c>
      <c r="G6" s="62">
        <f>IF(ISERROR(ROUND(POWER(1+H6,D6-F6)*(POWER(1+H6,F6)-1)/(POWER(1+H6,D6)-1),3)),0,ROUND(POWER(1+H6,D6-F6)*(POWER(1+H6,F6)-1)/(POWER(1+H6,D6)-1),3))</f>
        <v>0.7</v>
      </c>
      <c r="H6" s="691">
        <v>0.05</v>
      </c>
      <c r="I6" s="691">
        <v>5.5E-2</v>
      </c>
      <c r="J6" s="63">
        <v>7.0000000000000007E-2</v>
      </c>
      <c r="K6" s="970">
        <f>SUMIF('数据-汇总表'!C$19:C$33,A6,'数据-汇总表'!E$19:E$33)</f>
        <v>63105.500000000007</v>
      </c>
      <c r="L6" s="692">
        <v>8000</v>
      </c>
      <c r="M6" s="64">
        <f t="shared" ref="M6:M14" si="0">ROUND(K6*L6/10000,0)</f>
        <v>50484</v>
      </c>
      <c r="N6" s="690">
        <v>0.9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567.66999999999996</v>
      </c>
      <c r="T6" s="1092">
        <f>ROUND($L$14*S6/10000,0)</f>
        <v>341</v>
      </c>
      <c r="U6" s="3127">
        <v>10.5</v>
      </c>
      <c r="V6" s="67">
        <v>0.02</v>
      </c>
      <c r="W6" s="67">
        <v>0.1</v>
      </c>
      <c r="X6" s="979"/>
      <c r="Y6" s="68">
        <f>N6</f>
        <v>0.9</v>
      </c>
      <c r="Z6" s="69"/>
      <c r="AA6" s="63"/>
      <c r="AB6" s="63"/>
      <c r="AC6" s="979"/>
      <c r="AD6" s="70"/>
      <c r="AE6" s="980">
        <f ca="1">IF(AN6="",0,SUMIF(INDIRECT("'"&amp;AN6&amp;"'"&amp;"!E:E"),$AE$5,INDIRECT("'"&amp;AN6&amp;"'"&amp;"!F:F")))</f>
        <v>18.809999999999999</v>
      </c>
      <c r="AF6" s="74"/>
      <c r="AG6" s="130">
        <f>IF(AF6="",0,AE6-AF6)</f>
        <v>0</v>
      </c>
      <c r="AH6" s="71"/>
      <c r="AI6" s="73">
        <v>365</v>
      </c>
      <c r="AJ6" s="74"/>
      <c r="AK6" s="75">
        <v>2E-3</v>
      </c>
      <c r="AL6" s="76">
        <v>1E-3</v>
      </c>
      <c r="AM6" s="77">
        <v>0.01</v>
      </c>
      <c r="AN6" s="1589" t="s">
        <v>3416</v>
      </c>
      <c r="AO6" s="50">
        <f ca="1">SUMIF(INDIRECT("'"&amp;AN6&amp;"'"&amp;"!A:A"),"总价",INDIRECT("'"&amp;AN6&amp;"'"&amp;"!B:B"))</f>
        <v>246611</v>
      </c>
      <c r="AP6" s="1590">
        <f>IF(C6="住宅",K6*L6,0)</f>
        <v>0</v>
      </c>
      <c r="AQ6" s="50">
        <f>ROUND($L$14*$N$14*S6/10000,0)</f>
        <v>307</v>
      </c>
      <c r="AR6" s="50">
        <f>ROUND($L$14*(1-$N$14)*S6/10000,0)</f>
        <v>34</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车库</v>
      </c>
      <c r="B7" s="1587" t="str">
        <f t="shared" ref="B7:B13" si="1">IF(A7=0,"","经营性")</f>
        <v>经营性</v>
      </c>
      <c r="C7" s="1588" t="s">
        <v>3321</v>
      </c>
      <c r="D7" s="805">
        <f>SUMIF(项目基本情况!C$12:I$12,C7,项目基本情况!C$14:I$14)</f>
        <v>50</v>
      </c>
      <c r="E7" s="804">
        <f>IF(B7="","",SUMIF(项目基本情况!C$12:I$12,C7,项目基本情况!C$13:I$13))</f>
        <v>56491</v>
      </c>
      <c r="F7" s="61">
        <f>SUMIF(项目基本情况!C$12:I$12,C7,项目基本情况!C$15:I$15)</f>
        <v>28.81</v>
      </c>
      <c r="G7" s="62">
        <f t="shared" ref="G7:G11" si="2">IF(ISERROR(ROUND(POWER(1+H7,D7-F7)*(POWER(1+H7,F7)-1)/(POWER(1+H7,D7)-1),3)),0,ROUND(POWER(1+H7,D7-F7)*(POWER(1+H7,F7)-1)/(POWER(1+H7,D7)-1),3))</f>
        <v>0.80800000000000005</v>
      </c>
      <c r="H7" s="691">
        <v>4.4999999999999998E-2</v>
      </c>
      <c r="I7" s="691">
        <v>0.05</v>
      </c>
      <c r="J7" s="63">
        <v>7.0000000000000007E-2</v>
      </c>
      <c r="K7" s="970">
        <f>SUMIF('数据-汇总表'!C$19:C$33,A7,'数据-汇总表'!E$19:E$33)</f>
        <v>35992.839999999997</v>
      </c>
      <c r="L7" s="692">
        <v>6000</v>
      </c>
      <c r="M7" s="64">
        <f t="shared" si="0"/>
        <v>21596</v>
      </c>
      <c r="N7" s="690">
        <v>0.9</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323.77</v>
      </c>
      <c r="T7" s="1092">
        <f t="shared" ref="T7:T13" si="5">ROUND($L$14*S7/10000,0)</f>
        <v>194</v>
      </c>
      <c r="U7" s="3127">
        <v>1100</v>
      </c>
      <c r="V7" s="67">
        <v>1.4999999999999999E-2</v>
      </c>
      <c r="W7" s="67">
        <v>0.1</v>
      </c>
      <c r="X7" s="979"/>
      <c r="Y7" s="68">
        <f>N7</f>
        <v>0.9</v>
      </c>
      <c r="Z7" s="69"/>
      <c r="AA7" s="63"/>
      <c r="AB7" s="63"/>
      <c r="AC7" s="979"/>
      <c r="AD7" s="70"/>
      <c r="AE7" s="980">
        <f t="shared" ref="AE7:AE13" ca="1" si="6">IF(AN7="",0,SUMIF(INDIRECT("'"&amp;AN7&amp;"'"&amp;"!E:E"),$AE$5,INDIRECT("'"&amp;AN7&amp;"'"&amp;"!F:F")))</f>
        <v>28.81</v>
      </c>
      <c r="AF7" s="74"/>
      <c r="AG7" s="130">
        <f t="shared" ref="AG7:AG13" si="7">IF(AF7="",0,AE7-AF7)</f>
        <v>0</v>
      </c>
      <c r="AH7" s="71">
        <v>700</v>
      </c>
      <c r="AI7" s="73">
        <v>12</v>
      </c>
      <c r="AJ7" s="74"/>
      <c r="AK7" s="75">
        <v>2E-3</v>
      </c>
      <c r="AL7" s="76">
        <v>1E-3</v>
      </c>
      <c r="AM7" s="77">
        <v>0.01</v>
      </c>
      <c r="AN7" s="1589" t="s">
        <v>3434</v>
      </c>
      <c r="AO7" s="50">
        <f t="shared" ref="AO7:AO13" ca="1" si="8">SUMIF(INDIRECT("'"&amp;AN7&amp;"'"&amp;"!A:A"),"总价",INDIRECT("'"&amp;AN7&amp;"'"&amp;"!B:B"))</f>
        <v>12153</v>
      </c>
      <c r="AP7" s="1590">
        <f t="shared" ref="AP7:AP13" si="9">IF(C7="住宅",K7*L7,0)</f>
        <v>0</v>
      </c>
      <c r="AQ7" s="50">
        <f t="shared" ref="AQ7:AQ13" si="10">ROUND($L$14*$N$14*S7/10000,0)</f>
        <v>175</v>
      </c>
      <c r="AR7" s="50">
        <f t="shared" ref="AR7:AR13" si="11">ROUND($L$14*(1-$N$14)*S7/10000,0)</f>
        <v>19</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891.44</v>
      </c>
      <c r="L14" s="79">
        <f>L7</f>
        <v>6000</v>
      </c>
      <c r="M14" s="64">
        <f t="shared" si="0"/>
        <v>535</v>
      </c>
      <c r="N14" s="80">
        <f>N6</f>
        <v>0.9</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0.73899999999999999</v>
      </c>
      <c r="H16" s="84">
        <f>ROUND(SUMPRODUCT(H6:H13,K6:K13)/SUMPRODUCT((H6:H13&gt;0)*(K6:K13)),3)</f>
        <v>4.8000000000000001E-2</v>
      </c>
      <c r="I16" s="85"/>
      <c r="J16" s="85"/>
      <c r="K16" s="86">
        <f>SUM(K6:K15)</f>
        <v>99989.78</v>
      </c>
      <c r="L16" s="87">
        <f>ROUND(M16*10000/SUM(K6:K14),0)</f>
        <v>7262</v>
      </c>
      <c r="M16" s="87">
        <f>SUM(M6:M14)</f>
        <v>72615</v>
      </c>
      <c r="N16" s="88">
        <f>ROUND(SUMPRODUCT(M6:M14,N6:N14)/M16,3)</f>
        <v>0.9</v>
      </c>
      <c r="O16" s="87">
        <f>SUM(O6:O14)</f>
        <v>0</v>
      </c>
      <c r="P16" s="87">
        <f>SUM(P6:P14)</f>
        <v>0</v>
      </c>
      <c r="Q16" s="89">
        <f>ROUND(SUMPRODUCT(Q6:Q13,K6:K13)/SUMPRODUCT((Q6:Q13&gt;0)*(K6:K13)),2)</f>
        <v>0.16</v>
      </c>
      <c r="R16" s="974">
        <f ca="1">SUM(R6:R13)</f>
        <v>0</v>
      </c>
      <c r="S16" s="90">
        <f>SUM(S6:S13)</f>
        <v>891.43999999999994</v>
      </c>
      <c r="T16" s="91">
        <f>IF(SUMIF(T6:T13,"&lt;9E307")=M14,SUMIF(T6:T13,"&lt;9E307"),"有误，请检查")</f>
        <v>535</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f>81000/K16</f>
        <v>0.81008279046118514</v>
      </c>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3173" t="s">
        <v>3946</v>
      </c>
      <c r="L19" s="3174">
        <f>ROUND(1-(2025-2009)/60,2)</f>
        <v>0.73</v>
      </c>
      <c r="M19" s="3175">
        <v>0.2</v>
      </c>
      <c r="N19" s="2449"/>
      <c r="O19" s="2449"/>
      <c r="P19" s="2449"/>
      <c r="Q19" s="2449"/>
      <c r="R19" s="2449"/>
      <c r="S19" s="2449"/>
      <c r="T19" s="3629" t="s">
        <v>3954</v>
      </c>
      <c r="U19" s="2449">
        <f>30000/K16/365*10000</f>
        <v>8.220018168048556</v>
      </c>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2" t="s">
        <v>2291</v>
      </c>
      <c r="D20" s="2452"/>
      <c r="E20" s="2439"/>
      <c r="F20" s="2439"/>
      <c r="G20" s="2439"/>
      <c r="H20" s="2439"/>
      <c r="I20" s="2439"/>
      <c r="J20" s="2439"/>
      <c r="K20" s="3632" t="s">
        <v>3947</v>
      </c>
      <c r="L20" s="3177">
        <v>0.95</v>
      </c>
      <c r="M20" s="3178">
        <f>1-M19</f>
        <v>0.8</v>
      </c>
      <c r="N20" s="2449"/>
      <c r="O20" s="2449"/>
      <c r="P20" s="2449"/>
      <c r="Q20" s="2449"/>
      <c r="R20" s="2449"/>
      <c r="S20" s="2449"/>
      <c r="T20" s="2449"/>
      <c r="U20" s="2449">
        <f>U19/K17</f>
        <v>10.147133434804669</v>
      </c>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3631" t="s">
        <v>3948</v>
      </c>
      <c r="L21" s="3180"/>
      <c r="M21" s="3181">
        <f>ROUND(L19*M19+L20*M20,2)</f>
        <v>0.91</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3182"/>
      <c r="L22" s="3182"/>
      <c r="M22" s="3182"/>
      <c r="N22" s="2449"/>
      <c r="O22" s="2449"/>
      <c r="P22" s="2449"/>
      <c r="Q22" s="2449"/>
      <c r="R22" s="2449"/>
      <c r="S22" s="2449"/>
      <c r="T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3173" t="s">
        <v>3439</v>
      </c>
      <c r="L23" s="3183" t="s">
        <v>3437</v>
      </c>
      <c r="M23" s="3175">
        <v>3500</v>
      </c>
      <c r="N23" s="2449" t="s">
        <v>3944</v>
      </c>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3176"/>
      <c r="L24" s="3184" t="s">
        <v>3438</v>
      </c>
      <c r="M24" s="3178">
        <f>60000/K6*10000</f>
        <v>9507.887585075785</v>
      </c>
      <c r="N24" s="3629" t="s">
        <v>3943</v>
      </c>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3179"/>
      <c r="L25" s="3180"/>
      <c r="M25" s="3181">
        <f>M23+M24</f>
        <v>13007.887585075785</v>
      </c>
      <c r="N25" s="3630" t="s">
        <v>3945</v>
      </c>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2000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3.2500000000000001E-2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04" t="s">
        <v>2277</v>
      </c>
      <c r="B1" s="3305"/>
      <c r="C1" s="3305"/>
      <c r="D1" s="3305"/>
      <c r="E1" s="3305"/>
      <c r="F1" s="3305"/>
      <c r="G1" s="330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6" sqref="K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99989.78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322705</v>
      </c>
      <c r="C5" s="2300">
        <f ca="1">IF(B5=D14,结果表!H102,ROUND(B5*10000/$B$1,0))</f>
        <v>0</v>
      </c>
      <c r="D5" s="2300" t="e">
        <f ca="1">ROUND(B5*10000/$B$2,0)</f>
        <v>#DIV/0!</v>
      </c>
      <c r="E5" s="2462"/>
      <c r="F5" s="2463"/>
      <c r="G5" s="2463"/>
      <c r="H5" s="2463"/>
      <c r="I5" s="2463"/>
      <c r="J5" s="2463"/>
      <c r="K5" s="2463"/>
    </row>
    <row r="6" spans="1:11" ht="16.5">
      <c r="A6" s="2300" t="s">
        <v>656</v>
      </c>
      <c r="B6" s="2300">
        <f ca="1">SUM(G14:G23)</f>
        <v>322705</v>
      </c>
      <c r="C6" s="2300">
        <f ca="1">IF(B6=G14,结果表!H108,ROUND(B6*10000/$B$1,0))</f>
        <v>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3344</v>
      </c>
      <c r="D10" s="2300" t="s">
        <v>3345</v>
      </c>
      <c r="E10" s="3137"/>
      <c r="F10" s="3141" t="s">
        <v>3346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99989.78</v>
      </c>
      <c r="C14" s="2306">
        <f>'数据-汇总表'!D3</f>
        <v>0</v>
      </c>
      <c r="D14" s="2306">
        <f ca="1">结果表!G19</f>
        <v>322705</v>
      </c>
      <c r="E14" s="2306">
        <f ca="1">ROUND(D14*10000/B14,0)</f>
        <v>32274</v>
      </c>
      <c r="F14" s="2306" t="e">
        <f ca="1">ROUND(D14*10000/C14,0)</f>
        <v>#DIV/0!</v>
      </c>
      <c r="G14" s="2306">
        <f ca="1">D14</f>
        <v>322705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4" sqref="I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0" t="str">
        <f>项目基本情况!S2</f>
        <v>北京市房地产</v>
      </c>
      <c r="B2" s="3341"/>
      <c r="C2" s="3341"/>
      <c r="D2" s="3341"/>
      <c r="E2" s="3341"/>
      <c r="F2" s="3341"/>
      <c r="G2" s="3341"/>
      <c r="H2" s="3341"/>
      <c r="I2" s="3342"/>
    </row>
    <row r="3" spans="1:12" ht="12.75">
      <c r="A3" s="3344" t="s">
        <v>1264</v>
      </c>
      <c r="B3" s="3345"/>
      <c r="C3" s="3345"/>
      <c r="D3" s="3345"/>
      <c r="E3" s="3345"/>
      <c r="F3" s="3345"/>
      <c r="G3" s="3345"/>
      <c r="H3" s="3345"/>
      <c r="I3" s="3345"/>
    </row>
    <row r="4" spans="1:12" ht="14.25">
      <c r="A4" s="1624" t="s">
        <v>1265</v>
      </c>
      <c r="B4" s="1625" t="s">
        <v>1266</v>
      </c>
      <c r="C4" s="1626" t="s">
        <v>3942</v>
      </c>
      <c r="D4" s="1626" t="s">
        <v>3436</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20" t="s">
        <v>1268</v>
      </c>
      <c r="B5" s="3307">
        <v>25</v>
      </c>
      <c r="C5" s="3323"/>
      <c r="D5" s="3343"/>
      <c r="E5" s="123" t="s">
        <v>1269</v>
      </c>
      <c r="F5" s="1627"/>
      <c r="G5" s="1627"/>
      <c r="H5" s="1627"/>
      <c r="I5" s="1281"/>
    </row>
    <row r="6" spans="1:12" ht="12.75">
      <c r="A6" s="3320"/>
      <c r="B6" s="3307"/>
      <c r="C6" s="3324"/>
      <c r="D6" s="3343"/>
      <c r="E6" s="123" t="s">
        <v>1270</v>
      </c>
      <c r="F6" s="1627"/>
      <c r="G6" s="1627"/>
      <c r="H6" s="1627"/>
      <c r="I6" s="1281"/>
    </row>
    <row r="7" spans="1:12" ht="12.75">
      <c r="A7" s="3320"/>
      <c r="B7" s="3307"/>
      <c r="C7" s="3325"/>
      <c r="D7" s="3343"/>
      <c r="E7" s="123" t="s">
        <v>1271</v>
      </c>
      <c r="F7" s="1627"/>
      <c r="G7" s="1627"/>
      <c r="H7" s="1627"/>
      <c r="I7" s="1281"/>
    </row>
    <row r="8" spans="1:12" ht="12.75">
      <c r="A8" s="3320" t="s">
        <v>1272</v>
      </c>
      <c r="B8" s="3307">
        <v>15</v>
      </c>
      <c r="C8" s="3323"/>
      <c r="D8" s="3343"/>
      <c r="E8" s="123" t="s">
        <v>1273</v>
      </c>
      <c r="F8" s="1627"/>
      <c r="G8" s="1627"/>
      <c r="H8" s="1627"/>
      <c r="I8" s="1281"/>
    </row>
    <row r="9" spans="1:12" ht="12.75">
      <c r="A9" s="3320"/>
      <c r="B9" s="3307"/>
      <c r="C9" s="3325"/>
      <c r="D9" s="3343"/>
      <c r="E9" s="123" t="s">
        <v>1274</v>
      </c>
      <c r="F9" s="1627"/>
      <c r="G9" s="1627"/>
      <c r="H9" s="1627"/>
      <c r="I9" s="1281"/>
    </row>
    <row r="10" spans="1:12" ht="12.75">
      <c r="A10" s="3320" t="s">
        <v>1275</v>
      </c>
      <c r="B10" s="3307">
        <v>15</v>
      </c>
      <c r="C10" s="3323"/>
      <c r="D10" s="3343"/>
      <c r="E10" s="123" t="s">
        <v>1276</v>
      </c>
      <c r="F10" s="1627"/>
      <c r="G10" s="1627"/>
      <c r="H10" s="1627"/>
      <c r="I10" s="1281"/>
    </row>
    <row r="11" spans="1:12" ht="12.75">
      <c r="A11" s="3320"/>
      <c r="B11" s="3307"/>
      <c r="C11" s="3325"/>
      <c r="D11" s="3343"/>
      <c r="E11" s="123" t="s">
        <v>1277</v>
      </c>
      <c r="F11" s="1627"/>
      <c r="G11" s="1627"/>
      <c r="H11" s="1627"/>
      <c r="I11" s="1281"/>
    </row>
    <row r="12" spans="1:12" ht="12.75">
      <c r="A12" s="3320" t="s">
        <v>1278</v>
      </c>
      <c r="B12" s="3307">
        <v>15</v>
      </c>
      <c r="C12" s="3323"/>
      <c r="D12" s="3343"/>
      <c r="E12" s="123" t="s">
        <v>1279</v>
      </c>
      <c r="F12" s="1627"/>
      <c r="G12" s="1627"/>
      <c r="H12" s="1627"/>
      <c r="I12" s="1281"/>
    </row>
    <row r="13" spans="1:12" ht="12.75">
      <c r="A13" s="3320"/>
      <c r="B13" s="3307"/>
      <c r="C13" s="3325"/>
      <c r="D13" s="3343"/>
      <c r="E13" s="123" t="s">
        <v>1280</v>
      </c>
      <c r="F13" s="1627"/>
      <c r="G13" s="1627"/>
      <c r="H13" s="1627"/>
      <c r="I13" s="1281"/>
    </row>
    <row r="14" spans="1:12" ht="12.75">
      <c r="A14" s="3320" t="s">
        <v>1281</v>
      </c>
      <c r="B14" s="3307">
        <v>30</v>
      </c>
      <c r="C14" s="3323">
        <v>6</v>
      </c>
      <c r="D14" s="3343">
        <v>4</v>
      </c>
      <c r="E14" s="123" t="s">
        <v>1282</v>
      </c>
      <c r="F14" s="1627"/>
      <c r="G14" s="1627"/>
      <c r="H14" s="1627"/>
      <c r="I14" s="1281"/>
    </row>
    <row r="15" spans="1:12" ht="12.75">
      <c r="A15" s="3320"/>
      <c r="B15" s="3307"/>
      <c r="C15" s="3324"/>
      <c r="D15" s="3343"/>
      <c r="E15" s="123" t="s">
        <v>1283</v>
      </c>
      <c r="F15" s="1627"/>
      <c r="G15" s="1627"/>
      <c r="H15" s="1627"/>
      <c r="I15" s="1281"/>
    </row>
    <row r="16" spans="1:12" ht="12.75">
      <c r="A16" s="3320"/>
      <c r="B16" s="3307"/>
      <c r="C16" s="3325"/>
      <c r="D16" s="334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30" t="s">
        <v>2131</v>
      </c>
      <c r="F18" s="3331"/>
      <c r="G18" s="3331"/>
      <c r="H18" s="3331"/>
      <c r="I18" s="3331"/>
      <c r="K18" s="294" t="s">
        <v>1289</v>
      </c>
      <c r="L18" s="294">
        <f>IF(C1="",'数据-汇总表'!E3,SUMIF(项目类型,C1,'数据-汇总表'!E17:E26)+SUMIF(项目类型,C1,'数据-汇总表'!I17:I26))</f>
        <v>99989.78</v>
      </c>
      <c r="M18" s="294">
        <f>IF(C1="",'数据-汇总表'!E3,SUMIF(项目类型,C1,'数据-汇总表'!E17:E26))</f>
        <v>99989.78</v>
      </c>
    </row>
    <row r="19" spans="1:36" ht="15">
      <c r="A19" s="1630" t="s">
        <v>1290</v>
      </c>
      <c r="B19" s="1631" t="s">
        <v>1291</v>
      </c>
      <c r="C19" s="126">
        <f ca="1">SUMIF(INDIRECT("'"&amp;C4&amp;"'"&amp;"!A:A"),结果表!B19,INDIRECT("'"&amp;C4&amp;"'"&amp;"!B:B"))</f>
        <v>365333</v>
      </c>
      <c r="D19" s="127">
        <f ca="1">SUMIF(INDIRECT("'"&amp;D4&amp;"'"&amp;"!A:A"),结果表!B19,INDIRECT("'"&amp;D4&amp;"'"&amp;"!B:B"))</f>
        <v>258764</v>
      </c>
      <c r="E19" s="1630" t="s">
        <v>1292</v>
      </c>
      <c r="F19" s="1631" t="s">
        <v>1291</v>
      </c>
      <c r="G19" s="128">
        <f ca="1">ROUND(C19*$C$18+D19*$D$18,0)</f>
        <v>322705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36537</v>
      </c>
      <c r="D20" s="130">
        <f ca="1">SUMIF(INDIRECT("'"&amp;D4&amp;"'"&amp;"!A:A"),结果表!B20,INDIRECT("'"&amp;D4&amp;"'"&amp;"!B:B"))</f>
        <v>25879</v>
      </c>
      <c r="E20" s="1633"/>
      <c r="F20" s="43" t="s">
        <v>1295</v>
      </c>
      <c r="G20" s="131">
        <f ca="1">ROUND(C20*$C$18+D20*$D$18,0)</f>
        <v>32274</v>
      </c>
      <c r="H20" s="760" t="s">
        <v>1296</v>
      </c>
      <c r="I20" s="121">
        <f ca="1">G19/'数据-汇总表'!F31</f>
        <v>5.0425067198525424</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0.41183858651126126</v>
      </c>
      <c r="E22" s="121"/>
      <c r="F22" s="121"/>
      <c r="G22" s="121">
        <f>30000/0.055</f>
        <v>545454.54545454541</v>
      </c>
      <c r="H22" s="121"/>
      <c r="I22" s="121"/>
    </row>
    <row r="23" spans="1:36" ht="13.5" thickBot="1">
      <c r="A23" s="646"/>
      <c r="B23" s="646"/>
      <c r="C23" s="646"/>
      <c r="D23" s="646"/>
      <c r="E23" s="121"/>
      <c r="F23" s="121"/>
      <c r="G23" s="121"/>
      <c r="H23" s="121"/>
      <c r="I23" s="121"/>
    </row>
    <row r="24" spans="1:36" ht="14.25">
      <c r="A24" s="3314" t="s">
        <v>1299</v>
      </c>
      <c r="B24" s="1631" t="s">
        <v>1291</v>
      </c>
      <c r="C24" s="128">
        <f>IF(B30=0,0,D30)</f>
        <v>0</v>
      </c>
      <c r="D24" s="1637"/>
      <c r="E24" s="121"/>
      <c r="F24" s="121"/>
      <c r="G24" s="121"/>
      <c r="H24" s="121"/>
      <c r="I24" s="121"/>
    </row>
    <row r="25" spans="1:36" ht="14.25">
      <c r="A25" s="331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32274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4" t="s">
        <v>1312</v>
      </c>
      <c r="B36" s="1652" t="s">
        <v>1313</v>
      </c>
      <c r="C36" s="137"/>
      <c r="D36" s="1653"/>
      <c r="E36" s="1567"/>
      <c r="F36" s="1654"/>
      <c r="G36" s="121"/>
      <c r="H36" s="121"/>
      <c r="I36" s="121"/>
    </row>
    <row r="37" spans="1:15" ht="15.75" thickBot="1">
      <c r="A37" s="3335"/>
      <c r="B37" s="1555" t="s">
        <v>1314</v>
      </c>
      <c r="C37" s="139"/>
      <c r="D37" s="1071"/>
      <c r="E37" s="1071"/>
      <c r="F37" s="1654"/>
      <c r="G37" s="121"/>
      <c r="H37" s="121"/>
      <c r="I37" s="121"/>
    </row>
    <row r="38" spans="1:15" ht="15.75" thickBot="1">
      <c r="A38" s="333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1" t="s">
        <v>1326</v>
      </c>
      <c r="B45" s="3312"/>
      <c r="C45" s="3313"/>
      <c r="D45" s="147" t="e">
        <f ca="1">ROUND(H101*F45,0)</f>
        <v>#REF!</v>
      </c>
      <c r="E45" s="148" t="s">
        <v>1327</v>
      </c>
      <c r="F45" s="149">
        <v>1</v>
      </c>
      <c r="G45" s="150" t="s">
        <v>1328</v>
      </c>
      <c r="H45" s="121"/>
      <c r="I45" s="121"/>
      <c r="J45" s="3389" t="s">
        <v>1329</v>
      </c>
      <c r="K45" s="3389"/>
      <c r="L45" s="3389"/>
      <c r="M45" s="3389"/>
      <c r="N45" s="3389"/>
      <c r="O45" s="3389"/>
    </row>
    <row r="46" spans="1:15" ht="14.25" customHeight="1">
      <c r="A46" s="3308" t="s">
        <v>1330</v>
      </c>
      <c r="B46" s="3309"/>
      <c r="C46" s="3309"/>
      <c r="D46" s="3309"/>
      <c r="E46" s="3309"/>
      <c r="F46" s="3309"/>
      <c r="G46" s="3310"/>
      <c r="H46" s="1668"/>
      <c r="I46" s="151"/>
      <c r="J46" s="2310">
        <v>1</v>
      </c>
      <c r="K46" s="3370" t="s">
        <v>1331</v>
      </c>
      <c r="L46" s="3370"/>
      <c r="M46" s="3390"/>
      <c r="N46" s="3390"/>
      <c r="O46" s="3390"/>
    </row>
    <row r="47" spans="1:15" ht="12" customHeight="1">
      <c r="A47" s="152" t="s">
        <v>1332</v>
      </c>
      <c r="B47" s="153"/>
      <c r="C47" s="154"/>
      <c r="D47" s="1024" t="s">
        <v>1333</v>
      </c>
      <c r="E47" s="294" t="s">
        <v>1334</v>
      </c>
      <c r="F47" s="155" t="s">
        <v>1335</v>
      </c>
      <c r="G47" s="2333" t="s">
        <v>1336</v>
      </c>
      <c r="H47" s="2334"/>
      <c r="I47" s="151"/>
      <c r="J47" s="2310">
        <v>2</v>
      </c>
      <c r="K47" s="3370" t="s">
        <v>1337</v>
      </c>
      <c r="L47" s="3370"/>
      <c r="M47" s="3391">
        <f>'数据-取费表'!B2</f>
        <v>45973</v>
      </c>
      <c r="N47" s="3391"/>
      <c r="O47" s="3391"/>
    </row>
    <row r="48" spans="1:15" ht="25.5">
      <c r="A48" s="3339" t="s">
        <v>1338</v>
      </c>
      <c r="B48" s="3322"/>
      <c r="C48" s="332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70" t="s">
        <v>1340</v>
      </c>
      <c r="L48" s="3370"/>
      <c r="M48" s="3392" t="e">
        <f ca="1">H101</f>
        <v>#REF!</v>
      </c>
      <c r="N48" s="3392"/>
      <c r="O48" s="3392"/>
    </row>
    <row r="49" spans="1:35" ht="25.5" customHeight="1">
      <c r="A49" s="2152" t="s">
        <v>1341</v>
      </c>
      <c r="B49" s="3306" t="s">
        <v>1342</v>
      </c>
      <c r="C49" s="3306"/>
      <c r="D49" s="1478">
        <v>0</v>
      </c>
      <c r="E49" s="316" t="s">
        <v>1343</v>
      </c>
      <c r="F49" s="2233" t="s">
        <v>28</v>
      </c>
      <c r="G49" s="3376"/>
      <c r="H49" s="2134" t="s">
        <v>2134</v>
      </c>
      <c r="I49" s="2135"/>
      <c r="J49" s="2310">
        <v>4</v>
      </c>
      <c r="K49" s="3370" t="str">
        <f>IF(项目基本情况!E8="房地产抵押价值","房地产抵押价值","抵押担保权已注销时的房地产抵押价值")</f>
        <v>房地产抵押价值</v>
      </c>
      <c r="L49" s="3370"/>
      <c r="M49" s="3392" t="str">
        <f ca="1">IF(项目基本情况!E8="房地产抵押价值",H107,H109)</f>
        <v>——</v>
      </c>
      <c r="N49" s="3392"/>
      <c r="O49" s="3392"/>
    </row>
    <row r="50" spans="1:35" ht="25.5" customHeight="1">
      <c r="A50" s="2338"/>
      <c r="B50" s="3306" t="s">
        <v>1344</v>
      </c>
      <c r="C50" s="3306"/>
      <c r="D50" s="2189"/>
      <c r="E50" s="323"/>
      <c r="F50" s="2233"/>
      <c r="G50" s="3377"/>
      <c r="H50" s="2136" t="s">
        <v>2135</v>
      </c>
      <c r="I50" s="2135"/>
      <c r="J50" s="3389" t="s">
        <v>1345</v>
      </c>
      <c r="K50" s="3389"/>
      <c r="L50" s="3389"/>
      <c r="M50" s="3389"/>
      <c r="N50" s="3389"/>
      <c r="O50" s="3389"/>
    </row>
    <row r="51" spans="1:35" ht="20.45" customHeight="1">
      <c r="A51" s="2339"/>
      <c r="B51" s="3306" t="s">
        <v>1346</v>
      </c>
      <c r="C51" s="3306"/>
      <c r="D51" s="1024"/>
      <c r="E51" s="319"/>
      <c r="F51" s="2233"/>
      <c r="G51" s="3378"/>
      <c r="H51" s="2136" t="s">
        <v>2136</v>
      </c>
      <c r="I51" s="2135"/>
      <c r="J51" s="2311" t="s">
        <v>1347</v>
      </c>
      <c r="K51" s="3370" t="s">
        <v>1348</v>
      </c>
      <c r="L51" s="3370"/>
      <c r="M51" s="2311" t="s">
        <v>1349</v>
      </c>
      <c r="N51" s="2311" t="s">
        <v>1350</v>
      </c>
      <c r="O51" s="2311" t="s">
        <v>1351</v>
      </c>
    </row>
    <row r="52" spans="1:35" ht="24" customHeight="1">
      <c r="A52" s="2153" t="s">
        <v>1352</v>
      </c>
      <c r="B52" s="3306" t="s">
        <v>1353</v>
      </c>
      <c r="C52" s="3306"/>
      <c r="D52" s="1024" t="e">
        <f ca="1">ROUND(D45*'数据-取费表'!B41/(1+'数据-取费表'!C42),0)</f>
        <v>#REF!</v>
      </c>
      <c r="E52" s="1256" t="s">
        <v>1354</v>
      </c>
      <c r="F52" s="2340">
        <f>'数据-取费表'!B41</f>
        <v>5.6000000000000001E-2</v>
      </c>
      <c r="G52" s="2341"/>
      <c r="H52" s="2331"/>
      <c r="I52" s="1669"/>
      <c r="J52" s="2310">
        <v>1</v>
      </c>
      <c r="K52" s="3371" t="s">
        <v>1355</v>
      </c>
      <c r="L52" s="3371"/>
      <c r="M52" s="2312" t="b">
        <f>D48</f>
        <v>0</v>
      </c>
      <c r="N52" s="2310" t="str">
        <f>E48</f>
        <v>销售额×税（费）率</v>
      </c>
      <c r="O52" s="2313">
        <f>F48</f>
        <v>5.6000000000000001E-2</v>
      </c>
    </row>
    <row r="53" spans="1:35" ht="12" customHeight="1">
      <c r="A53" s="2153" t="s">
        <v>1356</v>
      </c>
      <c r="B53" s="3332" t="s">
        <v>2282</v>
      </c>
      <c r="C53" s="3333"/>
      <c r="D53" s="1024" t="e">
        <f ca="1">ROUND(D45*'数据-取费表'!B41/(1+'数据-取费表'!C42),0)</f>
        <v>#REF!</v>
      </c>
      <c r="E53" s="1256" t="s">
        <v>1354</v>
      </c>
      <c r="F53" s="2340">
        <f>'数据-取费表'!B41</f>
        <v>5.6000000000000001E-2</v>
      </c>
      <c r="G53" s="2341"/>
      <c r="H53" s="2331"/>
      <c r="I53" s="1669"/>
      <c r="J53" s="2310">
        <v>2</v>
      </c>
      <c r="K53" s="3371" t="s">
        <v>1357</v>
      </c>
      <c r="L53" s="3371"/>
      <c r="M53" s="2312" t="e">
        <f t="shared" ref="M53:O54" ca="1" si="0">D55</f>
        <v>#REF!</v>
      </c>
      <c r="N53" s="2310" t="str">
        <f t="shared" si="0"/>
        <v>销售额×税（费）率</v>
      </c>
      <c r="O53" s="2313" t="str">
        <f t="shared" si="0"/>
        <v>免征</v>
      </c>
    </row>
    <row r="54" spans="1:35" ht="12" customHeight="1">
      <c r="A54" s="2153" t="s">
        <v>1358</v>
      </c>
      <c r="B54" s="3332" t="s">
        <v>2283</v>
      </c>
      <c r="C54" s="3333"/>
      <c r="D54" s="1024" t="e">
        <f ca="1">C68</f>
        <v>#REF!</v>
      </c>
      <c r="E54" s="319" t="s">
        <v>1359</v>
      </c>
      <c r="F54" s="2340">
        <f>'数据-取费表'!B41</f>
        <v>5.6000000000000001E-2</v>
      </c>
      <c r="G54" s="2341"/>
      <c r="H54" s="2342"/>
      <c r="I54" s="1669"/>
      <c r="J54" s="2310">
        <v>3</v>
      </c>
      <c r="K54" s="3371" t="s">
        <v>1360</v>
      </c>
      <c r="L54" s="3371"/>
      <c r="M54" s="2312" t="e">
        <f t="shared" ca="1" si="0"/>
        <v>#REF!</v>
      </c>
      <c r="N54" s="2310" t="str">
        <f t="shared" si="0"/>
        <v>增值额×税（费）率</v>
      </c>
      <c r="O54" s="2314" t="str">
        <f t="shared" si="0"/>
        <v>免征</v>
      </c>
    </row>
    <row r="55" spans="1:35" ht="24" customHeight="1">
      <c r="A55" s="3321" t="s">
        <v>1361</v>
      </c>
      <c r="B55" s="3322"/>
      <c r="C55" s="3322"/>
      <c r="D55" s="12" t="e">
        <f ca="1">IF(H55="个人住宅",0,ROUND(D45*I55,0))</f>
        <v>#REF!</v>
      </c>
      <c r="E55" s="1256" t="s">
        <v>1362</v>
      </c>
      <c r="F55" s="2340" t="str">
        <f>IF(H55="正常",I55,"免征")</f>
        <v>免征</v>
      </c>
      <c r="G55" s="2341"/>
      <c r="H55" s="2337"/>
      <c r="I55" s="157">
        <f>'数据-取费表'!B49</f>
        <v>5.0000000000000001E-4</v>
      </c>
      <c r="J55" s="2310">
        <f>IF(H59="非个人房产","",4)</f>
        <v>4</v>
      </c>
      <c r="K55" s="3371" t="str">
        <f>IF(H59="非个人房产","——","个人所得税")</f>
        <v>个人所得税</v>
      </c>
      <c r="L55" s="3371"/>
      <c r="M55" s="2315" t="e">
        <f ca="1">D59</f>
        <v>#REF!</v>
      </c>
      <c r="N55" s="1883" t="str">
        <f>E59</f>
        <v>差额计税</v>
      </c>
      <c r="O55" s="2316">
        <f>F59</f>
        <v>0.01</v>
      </c>
    </row>
    <row r="56" spans="1:35" ht="24.75">
      <c r="A56" s="3321" t="s">
        <v>1363</v>
      </c>
      <c r="B56" s="3322"/>
      <c r="C56" s="3322"/>
      <c r="D56" s="12" t="e">
        <f ca="1">IF(H56="个人住宅",D57,D58)</f>
        <v>#REF!</v>
      </c>
      <c r="E56" s="1256" t="s">
        <v>1364</v>
      </c>
      <c r="F56" s="2340" t="str">
        <f>IF(H56="正常",F58,"免征")</f>
        <v>免征</v>
      </c>
      <c r="G56" s="2343" t="s">
        <v>1365</v>
      </c>
      <c r="H56" s="2344"/>
      <c r="I56" s="1670"/>
      <c r="J56" s="2310" t="str">
        <f>IF(项目基本情况!K6="上海银行",IF(J55="",4,J55+1),"")</f>
        <v/>
      </c>
      <c r="K56" s="3394" t="str">
        <f>IF(项目基本情况!K6="上海银行","其他处置费用","")</f>
        <v/>
      </c>
      <c r="L56" s="3395"/>
      <c r="M56" s="2312" t="str">
        <f>IF(项目基本情况!K6="上海银行",M69,"")</f>
        <v/>
      </c>
      <c r="N56" s="3394" t="str">
        <f>IF(项目基本情况!K6="上海银行","包含处置中涉及的律师、诉讼、拍卖、评估等费用","")</f>
        <v/>
      </c>
      <c r="O56" s="3397"/>
    </row>
    <row r="57" spans="1:35" ht="12.75">
      <c r="A57" s="2153" t="s">
        <v>1341</v>
      </c>
      <c r="B57" s="3332" t="s">
        <v>1366</v>
      </c>
      <c r="C57" s="3333"/>
      <c r="D57" s="1478">
        <v>0</v>
      </c>
      <c r="E57" s="316" t="s">
        <v>1343</v>
      </c>
      <c r="F57" s="294"/>
      <c r="G57" s="2341"/>
      <c r="H57" s="2345"/>
      <c r="I57" s="1670"/>
      <c r="J57" s="3371">
        <f>IF(AND(J55="",J56=""),4,IF(项目基本情况!K6="上海银行",结果表!J56+1,结果表!J55+1))</f>
        <v>5</v>
      </c>
      <c r="K57" s="3371" t="s">
        <v>1367</v>
      </c>
      <c r="L57" s="2317" t="s">
        <v>1368</v>
      </c>
      <c r="M57" s="2318"/>
      <c r="N57" s="2319">
        <f ca="1">SUMIF(M52:M56,"&lt;9e307")</f>
        <v>0</v>
      </c>
      <c r="O57" s="2320"/>
      <c r="P57" s="2465" t="e">
        <f ca="1">N57/M49</f>
        <v>#VALUE!</v>
      </c>
    </row>
    <row r="58" spans="1:35" ht="24.75">
      <c r="A58" s="2153" t="s">
        <v>1352</v>
      </c>
      <c r="B58" s="3332" t="s">
        <v>1369</v>
      </c>
      <c r="C58" s="3306"/>
      <c r="D58" s="12" t="e">
        <f ca="1">IF(H58="转让取得",C81,C97)</f>
        <v>#REF!</v>
      </c>
      <c r="E58" s="1256" t="s">
        <v>1364</v>
      </c>
      <c r="F58" s="294" t="s">
        <v>28</v>
      </c>
      <c r="G58" s="2341"/>
      <c r="H58" s="2344"/>
      <c r="I58" s="1670"/>
      <c r="J58" s="3371"/>
      <c r="K58" s="3371"/>
      <c r="L58" s="2317" t="s">
        <v>1370</v>
      </c>
      <c r="M58" s="2321"/>
      <c r="N58" s="2322" t="str">
        <f ca="1">NUMBERSTRING(INT(N57*10000),2)&amp;"元整"</f>
        <v>零元整</v>
      </c>
      <c r="O58" s="2323"/>
    </row>
    <row r="59" spans="1:35" ht="24.75" thickBot="1">
      <c r="A59" s="3374" t="s">
        <v>1371</v>
      </c>
      <c r="B59" s="3375"/>
      <c r="C59" s="337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72">
        <f>J57+1</f>
        <v>6</v>
      </c>
      <c r="K59" s="3371" t="s">
        <v>1372</v>
      </c>
      <c r="L59" s="2310" t="s">
        <v>1368</v>
      </c>
      <c r="M59" s="2324"/>
      <c r="N59" s="2325" t="e">
        <f ca="1">M49-N57</f>
        <v>#VALUE!</v>
      </c>
      <c r="O59" s="2326"/>
    </row>
    <row r="60" spans="1:35" ht="12" customHeight="1">
      <c r="A60" s="1671"/>
      <c r="B60" s="646"/>
      <c r="C60" s="646"/>
      <c r="D60" s="646"/>
      <c r="E60" s="1466"/>
      <c r="F60" s="1670"/>
      <c r="G60" s="1670"/>
      <c r="H60" s="151"/>
      <c r="I60" s="121"/>
      <c r="J60" s="3373"/>
      <c r="K60" s="3371"/>
      <c r="L60" s="2317" t="s">
        <v>1370</v>
      </c>
      <c r="M60" s="2321"/>
      <c r="N60" s="2322" t="e">
        <f ca="1">NUMBERSTRING(INT(N59*10000),2)&amp;"元整"</f>
        <v>#VALUE!</v>
      </c>
      <c r="O60" s="2323"/>
    </row>
    <row r="61" spans="1:35" ht="13.5" thickBot="1">
      <c r="A61" s="3319" t="s">
        <v>1373</v>
      </c>
      <c r="B61" s="3319"/>
      <c r="C61" s="3319"/>
      <c r="D61" s="3319"/>
      <c r="E61" s="3319"/>
      <c r="F61" s="1670"/>
      <c r="G61" s="1670"/>
      <c r="H61" s="151"/>
      <c r="I61" s="121"/>
      <c r="J61" s="2310">
        <f>J59+1</f>
        <v>7</v>
      </c>
      <c r="K61" s="3371" t="s">
        <v>1374</v>
      </c>
      <c r="L61" s="3371"/>
      <c r="M61" s="2327"/>
      <c r="N61" s="2328" t="e">
        <f ca="1">ROUND(N59*10000/'数据-汇总表'!E3,0)</f>
        <v>#VALUE!</v>
      </c>
      <c r="O61" s="2329"/>
    </row>
    <row r="62" spans="1:35" ht="12.75">
      <c r="A62" s="3337" t="s">
        <v>1375</v>
      </c>
      <c r="B62" s="333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96"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9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96"/>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96"/>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9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96"/>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96"/>
      <c r="K69" s="1245" t="s">
        <v>1393</v>
      </c>
      <c r="L69" s="1245"/>
      <c r="M69" s="294" t="e">
        <f ca="1">ROUND(SUM(M63:M68),0)</f>
        <v>#VALUE!</v>
      </c>
      <c r="N69" s="2332" t="e">
        <f ca="1">M69/M49</f>
        <v>#VALUE!</v>
      </c>
      <c r="Z69" s="1623"/>
      <c r="AI69" s="1561"/>
    </row>
    <row r="70" spans="1:35" s="642" customFormat="1" ht="15" thickBot="1">
      <c r="A70" s="3358" t="s">
        <v>1394</v>
      </c>
      <c r="B70" s="3359"/>
      <c r="C70" s="3359"/>
      <c r="D70" s="3359"/>
      <c r="E70" s="3359"/>
      <c r="F70" s="3359"/>
      <c r="G70" s="3359"/>
      <c r="H70" s="335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7" t="s">
        <v>1375</v>
      </c>
      <c r="B71" s="333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2" t="s">
        <v>1402</v>
      </c>
      <c r="F76" s="3306"/>
      <c r="G76" s="3306"/>
      <c r="H76" s="335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16" t="s">
        <v>1406</v>
      </c>
      <c r="F78" s="3317"/>
      <c r="G78" s="3317"/>
      <c r="H78" s="332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8" t="s">
        <v>1410</v>
      </c>
      <c r="B83" s="3359"/>
      <c r="C83" s="3359"/>
      <c r="D83" s="3359"/>
      <c r="E83" s="3359"/>
      <c r="F83" s="3359"/>
      <c r="G83" s="3359"/>
      <c r="H83" s="335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7" t="s">
        <v>1375</v>
      </c>
      <c r="B84" s="333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98" t="s">
        <v>2129</v>
      </c>
      <c r="H90" s="3399"/>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6" t="s">
        <v>1422</v>
      </c>
      <c r="F92" s="3317"/>
      <c r="G92" s="3317"/>
      <c r="H92" s="3326"/>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16" t="s">
        <v>1406</v>
      </c>
      <c r="F93" s="3317"/>
      <c r="G93" s="3317"/>
      <c r="H93" s="332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7" t="s">
        <v>1426</v>
      </c>
      <c r="F94" s="3328"/>
      <c r="G94" s="3328"/>
      <c r="H94" s="332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0" t="s">
        <v>1428</v>
      </c>
      <c r="B100" s="3301"/>
      <c r="C100" s="3301"/>
      <c r="D100" s="3318"/>
      <c r="E100" s="3301" t="s">
        <v>1429</v>
      </c>
      <c r="F100" s="3301"/>
      <c r="G100" s="3301"/>
      <c r="H100" s="3318"/>
      <c r="I100" s="121"/>
    </row>
    <row r="101" spans="1:35" ht="18.75" customHeight="1">
      <c r="A101" s="3379" t="s">
        <v>1430</v>
      </c>
      <c r="B101" s="3380"/>
      <c r="C101" s="2371" t="str">
        <f>C4</f>
        <v>比较法-办公</v>
      </c>
      <c r="D101" s="2372" t="str">
        <f>D4</f>
        <v>收益法（汇总）</v>
      </c>
      <c r="E101" s="3393" t="s">
        <v>1431</v>
      </c>
      <c r="F101" s="3350"/>
      <c r="G101" s="1687" t="s">
        <v>1432</v>
      </c>
      <c r="H101" s="2381" t="e">
        <f ca="1">H118</f>
        <v>#REF!</v>
      </c>
      <c r="I101" s="121"/>
    </row>
    <row r="102" spans="1:35" ht="18.75" customHeight="1">
      <c r="A102" s="3352" t="s">
        <v>1433</v>
      </c>
      <c r="B102" s="2370" t="s">
        <v>1432</v>
      </c>
      <c r="C102" s="2371">
        <f ca="1">IF(D32="楼面单价",ROUND(C19,0),C19)</f>
        <v>365333</v>
      </c>
      <c r="D102" s="2372">
        <f ca="1">IF(D32="楼面单价",ROUND(D19,0),D19)</f>
        <v>258764</v>
      </c>
      <c r="E102" s="3393"/>
      <c r="F102" s="3350"/>
      <c r="G102" s="1687" t="s">
        <v>1434</v>
      </c>
      <c r="H102" s="2341" t="e">
        <f ca="1">I118</f>
        <v>#REF!</v>
      </c>
      <c r="I102" s="121"/>
    </row>
    <row r="103" spans="1:35" ht="42.75" customHeight="1">
      <c r="A103" s="3352"/>
      <c r="B103" s="2370" t="s">
        <v>1434</v>
      </c>
      <c r="C103" s="2373">
        <f ca="1">C20</f>
        <v>36537</v>
      </c>
      <c r="D103" s="2374">
        <f ca="1">D20</f>
        <v>25879</v>
      </c>
      <c r="E103" s="3387" t="s">
        <v>1435</v>
      </c>
      <c r="F103" s="3388"/>
      <c r="G103" s="1688" t="s">
        <v>1436</v>
      </c>
      <c r="H103" s="2381">
        <f>IF(D36="正常操作",H104+H105+H106,H105+H106)</f>
        <v>0</v>
      </c>
      <c r="I103" s="121"/>
    </row>
    <row r="104" spans="1:35" ht="18.75" customHeight="1">
      <c r="A104" s="335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5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9" t="str">
        <f>IF(项目基本情况!E8="已注销","——","3.房地产抵押价值")</f>
        <v>3.房地产抵押价值</v>
      </c>
      <c r="F107" s="3350"/>
      <c r="G107" s="1687" t="s">
        <v>1432</v>
      </c>
      <c r="H107" s="2381" t="e">
        <f ca="1">IF(E107="——","——",H101-H103)</f>
        <v>#REF!</v>
      </c>
      <c r="I107" s="121"/>
    </row>
    <row r="108" spans="1:35" ht="18.75" customHeight="1">
      <c r="A108" s="121"/>
      <c r="B108" s="121"/>
      <c r="C108" s="121"/>
      <c r="D108" s="121"/>
      <c r="E108" s="3349"/>
      <c r="F108" s="3350"/>
      <c r="G108" s="1687" t="s">
        <v>1434</v>
      </c>
      <c r="H108" s="2341">
        <f ca="1">IF(H107=H101,H102,ROUND(H107*10000/'数据-汇总表'!E3,0))</f>
        <v>0</v>
      </c>
      <c r="I108" s="121"/>
    </row>
    <row r="109" spans="1:35" ht="18.75" customHeight="1">
      <c r="A109" s="121"/>
      <c r="B109" s="121"/>
      <c r="C109" s="121"/>
      <c r="D109" s="121"/>
      <c r="E109" s="3349" t="str">
        <f>IF(项目基本情况!E8="已注销及未注销","4.抵押担保权已注销时的房地产抵押价值",IF(项目基本情况!E8="已注销","3.抵押担保权已注销时的房地产抵押价值","——"))</f>
        <v>——</v>
      </c>
      <c r="F109" s="3350"/>
      <c r="G109" s="1687" t="s">
        <v>1432</v>
      </c>
      <c r="H109" s="2384" t="str">
        <f>IF(E109="——","——",H101-H105-H106)</f>
        <v>——</v>
      </c>
      <c r="I109" s="121"/>
    </row>
    <row r="110" spans="1:35" ht="18.75" customHeight="1">
      <c r="A110" s="121"/>
      <c r="B110" s="121"/>
      <c r="C110" s="121"/>
      <c r="D110" s="121"/>
      <c r="E110" s="3349"/>
      <c r="F110" s="3350"/>
      <c r="G110" s="1687" t="s">
        <v>1434</v>
      </c>
      <c r="H110" s="2341" t="str">
        <f>IF(H109="——","——",ROUND(H109*10000/'数据-汇总表'!E3,0))</f>
        <v>——</v>
      </c>
      <c r="I110" s="121"/>
    </row>
    <row r="111" spans="1:35" ht="18.75" customHeight="1">
      <c r="A111" s="121"/>
      <c r="B111" s="121"/>
      <c r="C111" s="121"/>
      <c r="D111" s="121"/>
      <c r="E111" s="3381" t="str">
        <f>IF(项目基本情况!E9="抵押净值",IF(OR(项目基本情况!E8="已注销",项目基本情况!E8="房地产抵押价值"),"4.抵押净值","5.抵押净值"),"——")</f>
        <v>——</v>
      </c>
      <c r="F111" s="3351"/>
      <c r="G111" s="1687" t="s">
        <v>1432</v>
      </c>
      <c r="H111" s="2381" t="str">
        <f>IF(E111="——","——",N59)</f>
        <v>——</v>
      </c>
      <c r="I111" s="121"/>
    </row>
    <row r="112" spans="1:35" ht="18.75" customHeight="1" thickBot="1">
      <c r="A112" s="121"/>
      <c r="B112" s="121"/>
      <c r="C112" s="121"/>
      <c r="D112" s="121"/>
      <c r="E112" s="3382"/>
      <c r="F112" s="3383"/>
      <c r="G112" s="1690" t="s">
        <v>1434</v>
      </c>
      <c r="H112" s="2385" t="str">
        <f>IF(E111="——","——",N61)</f>
        <v>——</v>
      </c>
      <c r="I112" s="121"/>
    </row>
    <row r="113" spans="1:27" ht="18.75" customHeight="1">
      <c r="A113" s="121"/>
      <c r="B113" s="121"/>
      <c r="C113" s="121"/>
      <c r="D113" s="121"/>
      <c r="E113" s="3354" t="s">
        <v>1440</v>
      </c>
      <c r="F113" s="3354"/>
      <c r="G113" s="3354"/>
      <c r="H113" s="3354"/>
      <c r="I113" s="121"/>
    </row>
    <row r="114" spans="1:27" ht="3.75" customHeight="1">
      <c r="A114" s="646"/>
      <c r="B114" s="646"/>
      <c r="C114" s="646"/>
      <c r="D114" s="646"/>
      <c r="E114" s="1671"/>
      <c r="F114" s="1671"/>
      <c r="G114" s="1671"/>
      <c r="H114" s="1671"/>
      <c r="I114" s="646"/>
    </row>
    <row r="115" spans="1:27" ht="18.75" customHeight="1">
      <c r="A115" s="3364" t="s">
        <v>1442</v>
      </c>
      <c r="B115" s="3365"/>
      <c r="C115" s="3365"/>
      <c r="D115" s="3365"/>
      <c r="E115" s="3365"/>
      <c r="F115" s="3365"/>
      <c r="G115" s="3365"/>
      <c r="H115" s="3365"/>
      <c r="I115" s="3366"/>
    </row>
    <row r="116" spans="1:27" ht="27" customHeight="1">
      <c r="A116" s="3320" t="s">
        <v>1443</v>
      </c>
      <c r="B116" s="3355" t="s">
        <v>1444</v>
      </c>
      <c r="C116" s="3355" t="s">
        <v>1445</v>
      </c>
      <c r="D116" s="3368" t="s">
        <v>1446</v>
      </c>
      <c r="E116" s="3369"/>
      <c r="F116" s="3363" t="s">
        <v>1447</v>
      </c>
      <c r="G116" s="3363"/>
      <c r="H116" s="3320" t="s">
        <v>1448</v>
      </c>
      <c r="I116" s="3320"/>
    </row>
    <row r="117" spans="1:27" ht="18.75" customHeight="1">
      <c r="A117" s="3320"/>
      <c r="B117" s="3356"/>
      <c r="C117" s="335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99989.78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0" t="s">
        <v>1452</v>
      </c>
      <c r="B119" s="3320"/>
      <c r="C119" s="3320"/>
      <c r="D119" s="3360" t="e">
        <f ca="1">NUMBERSTRING(INT(D118*10000),2)&amp;"元整"</f>
        <v>#REF!</v>
      </c>
      <c r="E119" s="3362"/>
      <c r="F119" s="3360" t="e">
        <f ca="1">NUMBERSTRING(INT(F118*10000),2)&amp;"元整"</f>
        <v>#REF!</v>
      </c>
      <c r="G119" s="3362"/>
      <c r="H119" s="3360" t="e">
        <f ca="1">NUMBERSTRING(INT(H118*10000),2)&amp;"元整"</f>
        <v>#REF!</v>
      </c>
      <c r="I119" s="3362"/>
    </row>
    <row r="120" spans="1:27" ht="18.75" customHeight="1">
      <c r="A120" s="3384" t="str">
        <f>IF(项目基本情况!B9="房地产市场价值","",MID(E103,3,LEN(E103)-2))</f>
        <v>估价师知悉的法定优先受偿款</v>
      </c>
      <c r="B120" s="3385"/>
      <c r="C120" s="3386"/>
      <c r="D120" s="3384">
        <f>H103</f>
        <v>0</v>
      </c>
      <c r="E120" s="3385"/>
      <c r="F120" s="3385"/>
      <c r="G120" s="3385"/>
      <c r="H120" s="3385"/>
      <c r="I120" s="338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60" t="s">
        <v>1452</v>
      </c>
      <c r="B121" s="3361"/>
      <c r="C121" s="3362"/>
      <c r="D121" s="3360" t="str">
        <f>IF(D120=0,"零元整",NUMBERSTRING(INT(D120*10000),2)&amp;"元整")</f>
        <v>零元整</v>
      </c>
      <c r="E121" s="3361"/>
      <c r="F121" s="3361"/>
      <c r="G121" s="3361"/>
      <c r="H121" s="3361"/>
      <c r="I121" s="3362"/>
      <c r="AA121" s="684"/>
    </row>
    <row r="122" spans="1:27" ht="18.75" customHeight="1">
      <c r="A122" s="3351" t="str">
        <f>IF(项目基本情况!B9="房地产市场价值","",MID(E107,3,LEN(E107)-2))</f>
        <v>房地产抵押价值</v>
      </c>
      <c r="B122" s="3351"/>
      <c r="C122" s="3351"/>
      <c r="D122" s="3384" t="e">
        <f ca="1">H107</f>
        <v>#REF!</v>
      </c>
      <c r="E122" s="3385"/>
      <c r="F122" s="3385"/>
      <c r="G122" s="3385"/>
      <c r="H122" s="3385"/>
      <c r="I122" s="3386"/>
      <c r="AA122" s="684"/>
    </row>
    <row r="123" spans="1:27" ht="18.75" customHeight="1">
      <c r="A123" s="3320" t="s">
        <v>1452</v>
      </c>
      <c r="B123" s="3320"/>
      <c r="C123" s="3320"/>
      <c r="D123" s="3360" t="e">
        <f ca="1">NUMBERSTRING(INT(D122*10000),2)&amp;"元整"</f>
        <v>#REF!</v>
      </c>
      <c r="E123" s="3361"/>
      <c r="F123" s="3361"/>
      <c r="G123" s="3361"/>
      <c r="H123" s="3361"/>
      <c r="I123" s="3362"/>
      <c r="AA123" s="684"/>
    </row>
    <row r="124" spans="1:27" ht="18.75" customHeight="1">
      <c r="A124" s="3351" t="str">
        <f>IF(项目基本情况!B9="房地产市场价值","",MID(E109,3,LEN(E109)-2))</f>
        <v/>
      </c>
      <c r="B124" s="3351"/>
      <c r="C124" s="3351"/>
      <c r="D124" s="3384" t="str">
        <f>H109</f>
        <v>——</v>
      </c>
      <c r="E124" s="3385"/>
      <c r="F124" s="3385"/>
      <c r="G124" s="3385"/>
      <c r="H124" s="3385"/>
      <c r="I124" s="3386"/>
      <c r="AA124" s="684"/>
    </row>
    <row r="125" spans="1:27" ht="18.75" customHeight="1">
      <c r="A125" s="3320" t="s">
        <v>1452</v>
      </c>
      <c r="B125" s="3320"/>
      <c r="C125" s="3320"/>
      <c r="D125" s="3360" t="e">
        <f>NUMBERSTRING(INT(D124*10000),2)&amp;"元整"</f>
        <v>#VALUE!</v>
      </c>
      <c r="E125" s="3361"/>
      <c r="F125" s="3361"/>
      <c r="G125" s="3361"/>
      <c r="H125" s="3361"/>
      <c r="I125" s="3362"/>
      <c r="AA125" s="684"/>
    </row>
    <row r="126" spans="1:27" ht="18.75" customHeight="1">
      <c r="A126" s="3351" t="str">
        <f>IF(项目基本情况!B9="房地产市场价值","",MID(E111,3,LEN(E111)-2))</f>
        <v/>
      </c>
      <c r="B126" s="3351"/>
      <c r="C126" s="3351"/>
      <c r="D126" s="3384" t="str">
        <f>H111</f>
        <v>——</v>
      </c>
      <c r="E126" s="3385"/>
      <c r="F126" s="3385"/>
      <c r="G126" s="3385"/>
      <c r="H126" s="3385"/>
      <c r="I126" s="3386"/>
      <c r="AA126" s="684"/>
    </row>
    <row r="127" spans="1:27" ht="18.75" customHeight="1">
      <c r="A127" s="3320" t="s">
        <v>1452</v>
      </c>
      <c r="B127" s="3320"/>
      <c r="C127" s="3320"/>
      <c r="D127" s="3360" t="e">
        <f>NUMBERSTRING(INT(D126*10000),2)&amp;"元整"</f>
        <v>#VALUE!</v>
      </c>
      <c r="E127" s="3361"/>
      <c r="F127" s="3361"/>
      <c r="G127" s="3361"/>
      <c r="H127" s="3361"/>
      <c r="I127" s="3362"/>
      <c r="AA127" s="684"/>
    </row>
    <row r="128" spans="1:27" ht="21.75" customHeight="1">
      <c r="A128" s="3367" t="s">
        <v>1453</v>
      </c>
      <c r="B128" s="3367"/>
      <c r="C128" s="3367"/>
      <c r="D128" s="3367"/>
      <c r="E128" s="3367"/>
      <c r="F128" s="3367"/>
      <c r="G128" s="3367"/>
      <c r="H128" s="3367"/>
      <c r="I128" s="336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M17" sqref="M1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t="s">
        <v>3440</v>
      </c>
      <c r="F1" s="1735" t="s">
        <v>3441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365333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36537</v>
      </c>
      <c r="C3" s="344" t="s">
        <v>1768</v>
      </c>
      <c r="D3" s="343">
        <f>IF(D1="",'数据-汇总表'!E3,SUMIF('数据-汇总表'!$C19:$C33,D1,'数据-汇总表'!$E19:$E33))</f>
        <v>99989.78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80" t="s">
        <v>1775</v>
      </c>
      <c r="Q4" s="3481"/>
      <c r="R4" s="3484" t="s">
        <v>1771</v>
      </c>
      <c r="S4" s="3485"/>
      <c r="T4" s="3484" t="s">
        <v>1772</v>
      </c>
      <c r="U4" s="3485"/>
      <c r="V4" s="3486" t="s">
        <v>1773</v>
      </c>
      <c r="W4" s="3486"/>
      <c r="X4" s="1809"/>
      <c r="Y4" s="3484" t="s">
        <v>1775</v>
      </c>
      <c r="Z4" s="3485"/>
      <c r="AA4" s="3488" t="s">
        <v>1771</v>
      </c>
      <c r="AB4" s="3488" t="s">
        <v>1772</v>
      </c>
      <c r="AC4" s="3477" t="s">
        <v>1773</v>
      </c>
    </row>
    <row r="5" spans="1:29" ht="15">
      <c r="A5" s="348"/>
      <c r="B5" s="349"/>
      <c r="C5" s="3465" t="s">
        <v>1673</v>
      </c>
      <c r="D5" s="3466"/>
      <c r="E5" s="3624" t="s">
        <v>3935</v>
      </c>
      <c r="F5" s="3473"/>
      <c r="G5" s="3625" t="s">
        <v>3936</v>
      </c>
      <c r="H5" s="3466"/>
      <c r="I5" s="3625" t="s">
        <v>3937</v>
      </c>
      <c r="J5" s="3466"/>
      <c r="K5" s="537"/>
      <c r="L5" s="2487"/>
      <c r="M5" s="2488"/>
      <c r="N5" s="2488"/>
      <c r="O5" s="2488"/>
      <c r="P5" s="3482"/>
      <c r="Q5" s="3454"/>
      <c r="R5" s="3459"/>
      <c r="S5" s="3460"/>
      <c r="T5" s="3459"/>
      <c r="U5" s="3460"/>
      <c r="V5" s="3433"/>
      <c r="W5" s="3433"/>
      <c r="X5" s="1265"/>
      <c r="Y5" s="3459"/>
      <c r="Z5" s="3460"/>
      <c r="AA5" s="3445"/>
      <c r="AB5" s="3445"/>
      <c r="AC5" s="3478"/>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83"/>
      <c r="Q6" s="3456"/>
      <c r="R6" s="3459"/>
      <c r="S6" s="3460"/>
      <c r="T6" s="3461"/>
      <c r="U6" s="3462"/>
      <c r="V6" s="3433"/>
      <c r="W6" s="3433"/>
      <c r="X6" s="1265"/>
      <c r="Y6" s="3461"/>
      <c r="Z6" s="3462"/>
      <c r="AA6" s="3446"/>
      <c r="AB6" s="3446"/>
      <c r="AC6" s="3479"/>
    </row>
    <row r="7" spans="1:29" s="102" customFormat="1" ht="15.75" thickBot="1">
      <c r="A7" s="352" t="s">
        <v>1679</v>
      </c>
      <c r="B7" s="353"/>
      <c r="C7" s="354">
        <f>'数据-取费表'!B2</f>
        <v>45973</v>
      </c>
      <c r="D7" s="355">
        <v>100</v>
      </c>
      <c r="E7" s="356">
        <f>乐华大厦!A2</f>
        <v>45195.333831018499</v>
      </c>
      <c r="F7" s="357">
        <f>SUMIF(59:59,YEAR(E7)&amp;"-"&amp;MONTH(E7),60:60)</f>
        <v>100</v>
      </c>
      <c r="G7" s="356">
        <f>悦荣中心!A2</f>
        <v>45308.333831018499</v>
      </c>
      <c r="H7" s="355">
        <f>SUMIF(59:59,YEAR(G7)&amp;"-"&amp;MONTH(G7),60:60)</f>
        <v>100</v>
      </c>
      <c r="I7" s="356">
        <f>中海金融中心!$A$2</f>
        <v>45657.333831018499</v>
      </c>
      <c r="J7" s="355">
        <f>SUMIF(59:59,YEAR(I7)&amp;"-"&amp;MONTH(I7),60:60)</f>
        <v>100</v>
      </c>
      <c r="K7" s="38"/>
      <c r="L7" s="2489"/>
      <c r="M7" s="2440"/>
      <c r="N7" s="2440"/>
      <c r="O7" s="2440"/>
      <c r="P7" s="3487" t="s">
        <v>1680</v>
      </c>
      <c r="Q7" s="3469"/>
      <c r="R7" s="664" t="s">
        <v>14</v>
      </c>
      <c r="S7" s="665">
        <f t="shared" ref="S7:S15" si="0">F7</f>
        <v>100</v>
      </c>
      <c r="T7" s="664" t="s">
        <v>14</v>
      </c>
      <c r="U7" s="665">
        <f t="shared" ref="U7:U15" si="1">H7</f>
        <v>100</v>
      </c>
      <c r="V7" s="664" t="s">
        <v>14</v>
      </c>
      <c r="W7" s="665">
        <f t="shared" ref="W7:W15" si="2">J7</f>
        <v>100</v>
      </c>
      <c r="X7" s="666"/>
      <c r="Y7" s="3467" t="s">
        <v>1680</v>
      </c>
      <c r="Z7" s="3468"/>
      <c r="AA7" s="50">
        <f>D7/F7</f>
        <v>1</v>
      </c>
      <c r="AB7" s="50">
        <f>D7/H7</f>
        <v>1</v>
      </c>
      <c r="AC7" s="802">
        <f>D7/J7</f>
        <v>1</v>
      </c>
    </row>
    <row r="8" spans="1:29" s="102" customFormat="1" ht="15.75" thickBot="1">
      <c r="A8" s="352" t="s">
        <v>1681</v>
      </c>
      <c r="B8" s="353"/>
      <c r="C8" s="358" t="s">
        <v>3442</v>
      </c>
      <c r="D8" s="355">
        <v>100</v>
      </c>
      <c r="E8" s="358" t="s">
        <v>3442</v>
      </c>
      <c r="F8" s="357">
        <f>SUMIF(62:62,E8,63:63)-SUMIF(62:62,C8,63:63)+100</f>
        <v>100</v>
      </c>
      <c r="G8" s="358" t="s">
        <v>3442</v>
      </c>
      <c r="H8" s="355">
        <f>SUMIF(62:62,G8,63:63)-SUMIF(62:62,C8,63:63)+100</f>
        <v>100</v>
      </c>
      <c r="I8" s="358" t="s">
        <v>3442</v>
      </c>
      <c r="J8" s="355">
        <f>SUMIF(62:62,I8,63:63)-SUMIF(62:62,C8,63:63)+100</f>
        <v>100</v>
      </c>
      <c r="K8" s="38"/>
      <c r="L8" s="2489"/>
      <c r="M8" s="2440"/>
      <c r="N8" s="2440"/>
      <c r="O8" s="2440"/>
      <c r="P8" s="3487" t="s">
        <v>1683</v>
      </c>
      <c r="Q8" s="3468"/>
      <c r="R8" s="664" t="s">
        <v>14</v>
      </c>
      <c r="S8" s="665">
        <f t="shared" si="0"/>
        <v>100</v>
      </c>
      <c r="T8" s="664" t="s">
        <v>14</v>
      </c>
      <c r="U8" s="665">
        <f t="shared" si="1"/>
        <v>100</v>
      </c>
      <c r="V8" s="664" t="s">
        <v>14</v>
      </c>
      <c r="W8" s="665">
        <f t="shared" si="2"/>
        <v>100</v>
      </c>
      <c r="X8" s="666"/>
      <c r="Y8" s="3467" t="s">
        <v>1683</v>
      </c>
      <c r="Z8" s="3468"/>
      <c r="AA8" s="50">
        <f t="shared" ref="AA8:AA47" si="3">D8/F8</f>
        <v>1</v>
      </c>
      <c r="AB8" s="50">
        <f t="shared" ref="AB8:AB47" si="4">D8/H8</f>
        <v>1</v>
      </c>
      <c r="AC8" s="802">
        <f t="shared" ref="AC8:AC47" si="5">D8/J8</f>
        <v>1</v>
      </c>
    </row>
    <row r="9" spans="1:29" s="102" customFormat="1" ht="15">
      <c r="A9" s="359" t="s">
        <v>1684</v>
      </c>
      <c r="B9" s="60" t="s">
        <v>1685</v>
      </c>
      <c r="C9" s="3626" t="s">
        <v>3938</v>
      </c>
      <c r="D9" s="59">
        <v>100</v>
      </c>
      <c r="E9" s="362" t="s">
        <v>3443</v>
      </c>
      <c r="F9" s="59">
        <f>SUMIF(64:64,E9,65:65)-SUMIF(64:64,C9,65:65)+100</f>
        <v>100</v>
      </c>
      <c r="G9" s="361" t="s">
        <v>3443</v>
      </c>
      <c r="H9" s="59">
        <f>SUMIF(64:64,G9,65:65)-SUMIF(64:64,C9,65:65)+100</f>
        <v>100</v>
      </c>
      <c r="I9" s="361" t="s">
        <v>3443</v>
      </c>
      <c r="J9" s="59">
        <f>SUMIF(64:64,I9,65:65)-SUMIF(64:64,C9,65:65)+100</f>
        <v>100</v>
      </c>
      <c r="K9" s="38"/>
      <c r="L9" s="2489"/>
      <c r="M9" s="2440"/>
      <c r="N9" s="2440"/>
      <c r="O9" s="2440"/>
      <c r="P9" s="3443"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43"/>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43"/>
      <c r="Q11" s="530" t="str">
        <f t="shared" si="6"/>
        <v>容积率</v>
      </c>
      <c r="R11" s="664" t="s">
        <v>14</v>
      </c>
      <c r="S11" s="665">
        <f t="shared" si="0"/>
        <v>100</v>
      </c>
      <c r="T11" s="664" t="s">
        <v>14</v>
      </c>
      <c r="U11" s="665">
        <f t="shared" si="1"/>
        <v>100</v>
      </c>
      <c r="V11" s="664" t="s">
        <v>14</v>
      </c>
      <c r="W11" s="665">
        <f t="shared" si="2"/>
        <v>100</v>
      </c>
      <c r="X11" s="666"/>
      <c r="Y11" s="3307"/>
      <c r="Z11" s="50" t="str">
        <f t="shared" si="7"/>
        <v>容积率</v>
      </c>
      <c r="AA11" s="50">
        <f t="shared" si="3"/>
        <v>1</v>
      </c>
      <c r="AB11" s="50">
        <f t="shared" si="4"/>
        <v>1</v>
      </c>
      <c r="AC11" s="802">
        <f t="shared" si="5"/>
        <v>1</v>
      </c>
    </row>
    <row r="12" spans="1:29" s="102" customFormat="1" ht="15">
      <c r="A12" s="370"/>
      <c r="B12" s="3187" t="s">
        <v>3444</v>
      </c>
      <c r="C12" s="3188">
        <v>2000</v>
      </c>
      <c r="D12" s="372">
        <v>100</v>
      </c>
      <c r="E12" s="3188">
        <v>2021</v>
      </c>
      <c r="F12" s="119">
        <f>SUMIF(71:71,E12,72:72)-SUMIF(71:71,C12,72:72)+100</f>
        <v>100</v>
      </c>
      <c r="G12" s="3189">
        <v>2021</v>
      </c>
      <c r="H12" s="119">
        <f>SUMIF(71:71,G12,72:72)-SUMIF(71:71,C12,72:72)+100</f>
        <v>100</v>
      </c>
      <c r="I12" s="3188">
        <v>2025</v>
      </c>
      <c r="J12" s="119">
        <f>SUMIF(71:71,I12,72:72)-SUMIF(71:71,C12,72:72)+100</f>
        <v>100</v>
      </c>
      <c r="K12" s="539"/>
      <c r="L12" s="2489"/>
      <c r="M12" s="2440"/>
      <c r="N12" s="2440"/>
      <c r="O12" s="2440"/>
      <c r="P12" s="3443"/>
      <c r="Q12" s="530" t="str">
        <f t="shared" si="6"/>
        <v>建成年代</v>
      </c>
      <c r="R12" s="664" t="s">
        <v>14</v>
      </c>
      <c r="S12" s="665">
        <f t="shared" si="0"/>
        <v>100</v>
      </c>
      <c r="T12" s="664" t="s">
        <v>14</v>
      </c>
      <c r="U12" s="665">
        <f t="shared" si="1"/>
        <v>100</v>
      </c>
      <c r="V12" s="664" t="s">
        <v>14</v>
      </c>
      <c r="W12" s="665">
        <f t="shared" si="2"/>
        <v>100</v>
      </c>
      <c r="X12" s="666"/>
      <c r="Y12" s="3307"/>
      <c r="Z12" s="50" t="str">
        <f t="shared" si="7"/>
        <v>建成年代</v>
      </c>
      <c r="AA12" s="50">
        <f>D12/F12</f>
        <v>1</v>
      </c>
      <c r="AB12" s="50">
        <f>D12/H12</f>
        <v>1</v>
      </c>
      <c r="AC12" s="802">
        <f>D12/J12</f>
        <v>1</v>
      </c>
    </row>
    <row r="13" spans="1:29" ht="15.75" thickBot="1">
      <c r="A13" s="367"/>
      <c r="B13" s="3190" t="s">
        <v>3445</v>
      </c>
      <c r="C13" s="3191" t="s">
        <v>3488</v>
      </c>
      <c r="D13" s="374">
        <v>100</v>
      </c>
      <c r="E13" s="3188" t="str">
        <f>H73</f>
        <v>40-45</v>
      </c>
      <c r="F13" s="119">
        <f>SUMIF(73:73,E13,74:74)-SUMIF(73:73,C13,74:74)+100</f>
        <v>115</v>
      </c>
      <c r="G13" s="3189" t="str">
        <f>I73</f>
        <v>45-50</v>
      </c>
      <c r="H13" s="374">
        <f>SUMIF(73:73,G13,74:74)-SUMIF(73:73,C13,74:74)+100</f>
        <v>118</v>
      </c>
      <c r="I13" s="3188" t="s">
        <v>3448</v>
      </c>
      <c r="J13" s="374">
        <f>SUMIF(73:73,I13,74:74)-SUMIF(73:73,C13,74:74)+100</f>
        <v>106</v>
      </c>
      <c r="K13" s="539"/>
      <c r="L13" s="2493"/>
      <c r="M13" s="2488"/>
      <c r="N13" s="2488"/>
      <c r="O13" s="2488"/>
      <c r="P13" s="3443"/>
      <c r="Q13" s="530" t="str">
        <f t="shared" si="6"/>
        <v>土地剩余年期</v>
      </c>
      <c r="R13" s="664" t="s">
        <v>14</v>
      </c>
      <c r="S13" s="665">
        <f t="shared" si="0"/>
        <v>115</v>
      </c>
      <c r="T13" s="664" t="s">
        <v>14</v>
      </c>
      <c r="U13" s="665">
        <f t="shared" si="1"/>
        <v>118</v>
      </c>
      <c r="V13" s="664" t="s">
        <v>14</v>
      </c>
      <c r="W13" s="665">
        <f t="shared" si="2"/>
        <v>106</v>
      </c>
      <c r="X13" s="666"/>
      <c r="Y13" s="3307"/>
      <c r="Z13" s="50" t="str">
        <f t="shared" si="7"/>
        <v>土地剩余年期</v>
      </c>
      <c r="AA13" s="50">
        <f t="shared" si="3"/>
        <v>0.86956521739130432</v>
      </c>
      <c r="AB13" s="50">
        <f t="shared" si="4"/>
        <v>0.84745762711864403</v>
      </c>
      <c r="AC13" s="802">
        <f t="shared" si="5"/>
        <v>0.94339622641509435</v>
      </c>
    </row>
    <row r="14" spans="1:29" ht="15.75" thickBot="1">
      <c r="A14" s="375"/>
      <c r="B14" s="3190" t="s">
        <v>3445</v>
      </c>
      <c r="C14" s="3192">
        <f>项目基本情况!D15</f>
        <v>18.809999999999999</v>
      </c>
      <c r="D14" s="377">
        <v>100</v>
      </c>
      <c r="E14" s="3193">
        <f>50-(2025-2018)</f>
        <v>43</v>
      </c>
      <c r="F14" s="377">
        <f>SUMIF(75:75,E14,76:76)-SUMIF(75:75,C14,76:76)+100</f>
        <v>100</v>
      </c>
      <c r="G14" s="3189">
        <f>50-(2025-2017)</f>
        <v>42</v>
      </c>
      <c r="H14" s="377">
        <f>SUMIF(75:75,G14,76:76)-SUMIF(75:75,C14,76:76)+100</f>
        <v>100</v>
      </c>
      <c r="I14" s="3188">
        <f>50-(2025-2004)</f>
        <v>29</v>
      </c>
      <c r="J14" s="377">
        <f>SUMIF(75:75,I14,76:76)-SUMIF(75:75,C14,76:76)+100</f>
        <v>100</v>
      </c>
      <c r="K14" s="539"/>
      <c r="L14" s="2493"/>
      <c r="M14" s="2488"/>
      <c r="N14" s="2488"/>
      <c r="O14" s="2488"/>
      <c r="P14" s="3443"/>
      <c r="Q14" s="530" t="str">
        <f t="shared" si="6"/>
        <v>土地剩余年期</v>
      </c>
      <c r="R14" s="664" t="s">
        <v>14</v>
      </c>
      <c r="S14" s="665">
        <f t="shared" si="0"/>
        <v>100</v>
      </c>
      <c r="T14" s="664" t="s">
        <v>14</v>
      </c>
      <c r="U14" s="665">
        <f t="shared" si="1"/>
        <v>100</v>
      </c>
      <c r="V14" s="664" t="s">
        <v>14</v>
      </c>
      <c r="W14" s="665">
        <f t="shared" si="2"/>
        <v>100</v>
      </c>
      <c r="X14" s="666"/>
      <c r="Y14" s="3307"/>
      <c r="Z14" s="50" t="str">
        <f t="shared" si="7"/>
        <v>土地剩余年期</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98</v>
      </c>
      <c r="G15" s="381"/>
      <c r="H15" s="380">
        <f>SUMIF(77:77,G16,78:78)-SUMIF(77:77,C16,78:78)+100</f>
        <v>96</v>
      </c>
      <c r="I15" s="381"/>
      <c r="J15" s="380">
        <f>SUMIF(77:77,I16,78:78)-SUMIF(77:77,C16,78:78)+100</f>
        <v>100</v>
      </c>
      <c r="K15" s="540">
        <v>2</v>
      </c>
      <c r="L15" s="2493"/>
      <c r="M15" s="2488"/>
      <c r="N15" s="2488"/>
      <c r="O15" s="2488"/>
      <c r="P15" s="3441" t="s">
        <v>1691</v>
      </c>
      <c r="Q15" s="1263" t="str">
        <f t="shared" si="6"/>
        <v>办公集聚程度</v>
      </c>
      <c r="R15" s="667" t="s">
        <v>14</v>
      </c>
      <c r="S15" s="668">
        <f t="shared" si="0"/>
        <v>98</v>
      </c>
      <c r="T15" s="667" t="s">
        <v>14</v>
      </c>
      <c r="U15" s="668">
        <f t="shared" si="1"/>
        <v>96</v>
      </c>
      <c r="V15" s="667" t="s">
        <v>14</v>
      </c>
      <c r="W15" s="668">
        <f t="shared" si="2"/>
        <v>100</v>
      </c>
      <c r="X15" s="1265"/>
      <c r="Y15" s="3434" t="s">
        <v>1691</v>
      </c>
      <c r="Z15" s="1264" t="str">
        <f t="shared" si="7"/>
        <v>办公集聚程度</v>
      </c>
      <c r="AA15" s="1264">
        <f t="shared" si="3"/>
        <v>1.0204081632653061</v>
      </c>
      <c r="AB15" s="1264">
        <f t="shared" si="4"/>
        <v>1.0416666666666667</v>
      </c>
      <c r="AC15" s="1812">
        <f t="shared" si="5"/>
        <v>1</v>
      </c>
    </row>
    <row r="16" spans="1:29" ht="15">
      <c r="A16" s="367"/>
      <c r="B16" s="555"/>
      <c r="C16" s="1758" t="s">
        <v>3422</v>
      </c>
      <c r="D16" s="387"/>
      <c r="E16" s="386" t="s">
        <v>3449</v>
      </c>
      <c r="F16" s="387"/>
      <c r="G16" s="1758" t="s">
        <v>3450</v>
      </c>
      <c r="H16" s="389"/>
      <c r="I16" s="386" t="s">
        <v>3422</v>
      </c>
      <c r="J16" s="387"/>
      <c r="K16" s="541"/>
      <c r="L16" s="2493"/>
      <c r="M16" s="2488"/>
      <c r="N16" s="2488"/>
      <c r="O16" s="2488"/>
      <c r="P16" s="3442"/>
      <c r="Q16" s="1263"/>
      <c r="R16" s="667"/>
      <c r="S16" s="668"/>
      <c r="T16" s="667"/>
      <c r="U16" s="668"/>
      <c r="V16" s="667"/>
      <c r="W16" s="668"/>
      <c r="X16" s="1265"/>
      <c r="Y16" s="343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442"/>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812">
        <f t="shared" si="5"/>
        <v>1</v>
      </c>
    </row>
    <row r="18" spans="1:29" ht="15">
      <c r="A18" s="367"/>
      <c r="B18" s="401"/>
      <c r="C18" s="1814" t="s">
        <v>3422</v>
      </c>
      <c r="D18" s="389"/>
      <c r="E18" s="1814" t="s">
        <v>3422</v>
      </c>
      <c r="F18" s="389"/>
      <c r="G18" s="1814" t="s">
        <v>3422</v>
      </c>
      <c r="H18" s="387"/>
      <c r="I18" s="1814" t="s">
        <v>3422</v>
      </c>
      <c r="J18" s="387"/>
      <c r="K18" s="541"/>
      <c r="L18" s="2493"/>
      <c r="M18" s="2488"/>
      <c r="N18" s="2488"/>
      <c r="O18" s="2488"/>
      <c r="P18" s="3442"/>
      <c r="Q18" s="1263"/>
      <c r="R18" s="667"/>
      <c r="S18" s="668"/>
      <c r="T18" s="667"/>
      <c r="U18" s="668"/>
      <c r="V18" s="667"/>
      <c r="W18" s="668"/>
      <c r="X18" s="1265"/>
      <c r="Y18" s="3435"/>
      <c r="Z18" s="1264"/>
      <c r="AA18" s="1264">
        <v>1</v>
      </c>
      <c r="AB18" s="1264">
        <v>1</v>
      </c>
      <c r="AC18" s="1812">
        <v>1</v>
      </c>
    </row>
    <row r="19" spans="1:29" ht="15">
      <c r="A19" s="367"/>
      <c r="B19" s="556" t="s">
        <v>1812</v>
      </c>
      <c r="C19" s="1813">
        <f>估价对象房地状况!C7</f>
        <v>0</v>
      </c>
      <c r="D19" s="394">
        <v>100</v>
      </c>
      <c r="E19" s="398"/>
      <c r="F19" s="394">
        <f>SUMIF(81:81,E20,82:82)-SUMIF(81:81,C20,82:82)+100</f>
        <v>98</v>
      </c>
      <c r="G19" s="396"/>
      <c r="H19" s="389">
        <f>SUMIF(81:81,G20,82:82)-SUMIF(81:81,C20,82:82)+100</f>
        <v>98</v>
      </c>
      <c r="I19" s="396"/>
      <c r="J19" s="389">
        <f>SUMIF(81:81,I20,82:82)-SUMIF(81:81,C20,82:82)+100</f>
        <v>100</v>
      </c>
      <c r="K19" s="540">
        <v>2</v>
      </c>
      <c r="L19" s="2493"/>
      <c r="M19" s="2488"/>
      <c r="N19" s="2488"/>
      <c r="O19" s="2488"/>
      <c r="P19" s="3442"/>
      <c r="Q19" s="1263" t="str">
        <f>B19</f>
        <v>公共配套设施</v>
      </c>
      <c r="R19" s="667" t="s">
        <v>14</v>
      </c>
      <c r="S19" s="668">
        <f>F19</f>
        <v>98</v>
      </c>
      <c r="T19" s="667" t="s">
        <v>14</v>
      </c>
      <c r="U19" s="668">
        <f>H19</f>
        <v>98</v>
      </c>
      <c r="V19" s="667" t="s">
        <v>14</v>
      </c>
      <c r="W19" s="668">
        <f>J19</f>
        <v>100</v>
      </c>
      <c r="X19" s="1265"/>
      <c r="Y19" s="3435"/>
      <c r="Z19" s="1264" t="str">
        <f>Q19</f>
        <v>公共配套设施</v>
      </c>
      <c r="AA19" s="1264">
        <f t="shared" si="3"/>
        <v>1.0204081632653061</v>
      </c>
      <c r="AB19" s="1264">
        <f t="shared" si="4"/>
        <v>1.0204081632653061</v>
      </c>
      <c r="AC19" s="1812">
        <f t="shared" si="5"/>
        <v>1</v>
      </c>
    </row>
    <row r="20" spans="1:29" ht="15">
      <c r="A20" s="367"/>
      <c r="B20" s="401"/>
      <c r="C20" s="1758" t="s">
        <v>3422</v>
      </c>
      <c r="D20" s="387"/>
      <c r="E20" s="1751" t="s">
        <v>3449</v>
      </c>
      <c r="F20" s="387"/>
      <c r="G20" s="1752" t="s">
        <v>3449</v>
      </c>
      <c r="H20" s="387"/>
      <c r="I20" s="1752" t="s">
        <v>3422</v>
      </c>
      <c r="J20" s="387"/>
      <c r="K20" s="541"/>
      <c r="L20" s="2493"/>
      <c r="M20" s="2488"/>
      <c r="N20" s="2488"/>
      <c r="O20" s="2488"/>
      <c r="P20" s="3442"/>
      <c r="Q20" s="1263"/>
      <c r="R20" s="667"/>
      <c r="S20" s="668"/>
      <c r="T20" s="667"/>
      <c r="U20" s="668"/>
      <c r="V20" s="667"/>
      <c r="W20" s="668"/>
      <c r="X20" s="1265"/>
      <c r="Y20" s="3435"/>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812">
        <f t="shared" ref="AC21" si="10">D21/J21</f>
        <v>1</v>
      </c>
    </row>
    <row r="22" spans="1:29" ht="15">
      <c r="A22" s="367"/>
      <c r="B22" s="557"/>
      <c r="C22" s="1814" t="s">
        <v>3451</v>
      </c>
      <c r="D22" s="387"/>
      <c r="E22" s="1814" t="s">
        <v>3451</v>
      </c>
      <c r="F22" s="387"/>
      <c r="G22" s="1814" t="s">
        <v>3451</v>
      </c>
      <c r="H22" s="387"/>
      <c r="I22" s="1814" t="s">
        <v>3451</v>
      </c>
      <c r="J22" s="387"/>
      <c r="K22" s="1064"/>
      <c r="L22" s="2493"/>
      <c r="M22" s="2488"/>
      <c r="N22" s="2488"/>
      <c r="O22" s="2488"/>
      <c r="P22" s="3442"/>
      <c r="Q22" s="1263"/>
      <c r="R22" s="667"/>
      <c r="S22" s="668"/>
      <c r="T22" s="667"/>
      <c r="U22" s="668"/>
      <c r="V22" s="667"/>
      <c r="W22" s="668"/>
      <c r="X22" s="1265"/>
      <c r="Y22" s="3435"/>
      <c r="Z22" s="1264"/>
      <c r="AA22" s="1264">
        <v>1</v>
      </c>
      <c r="AB22" s="1264">
        <v>1</v>
      </c>
      <c r="AC22" s="1812">
        <v>1</v>
      </c>
    </row>
    <row r="23" spans="1:29" ht="15">
      <c r="A23" s="367"/>
      <c r="B23" s="556" t="s">
        <v>1814</v>
      </c>
      <c r="C23" s="1813">
        <f>估价对象房地状况!C9</f>
        <v>0</v>
      </c>
      <c r="D23" s="389">
        <v>100</v>
      </c>
      <c r="E23" s="393"/>
      <c r="F23" s="389">
        <f>SUMIF(85:85,E24,86:86)-SUMIF(85:85,C24,86:86)+100</f>
        <v>98</v>
      </c>
      <c r="G23" s="391"/>
      <c r="H23" s="389">
        <f>SUMIF(85:85,G24,86:86)-SUMIF(85:85,C24,86:86)+100</f>
        <v>98</v>
      </c>
      <c r="I23" s="391"/>
      <c r="J23" s="389">
        <f>SUMIF(85:85,I24,86:86)-SUMIF(85:85,C24,86:86)+100</f>
        <v>100</v>
      </c>
      <c r="K23" s="540">
        <v>2</v>
      </c>
      <c r="L23" s="2493"/>
      <c r="M23" s="2488"/>
      <c r="N23" s="2488"/>
      <c r="O23" s="2488"/>
      <c r="P23" s="3442"/>
      <c r="Q23" s="1263" t="str">
        <f>B23</f>
        <v>环境质量</v>
      </c>
      <c r="R23" s="667" t="s">
        <v>14</v>
      </c>
      <c r="S23" s="668">
        <f>F23</f>
        <v>98</v>
      </c>
      <c r="T23" s="667" t="s">
        <v>14</v>
      </c>
      <c r="U23" s="668">
        <f>H23</f>
        <v>98</v>
      </c>
      <c r="V23" s="667" t="s">
        <v>14</v>
      </c>
      <c r="W23" s="668">
        <f>J23</f>
        <v>100</v>
      </c>
      <c r="X23" s="1265"/>
      <c r="Y23" s="3435"/>
      <c r="Z23" s="1264" t="str">
        <f>Q23</f>
        <v>环境质量</v>
      </c>
      <c r="AA23" s="1264">
        <f t="shared" si="3"/>
        <v>1.0204081632653061</v>
      </c>
      <c r="AB23" s="1264">
        <f t="shared" si="4"/>
        <v>1.0204081632653061</v>
      </c>
      <c r="AC23" s="1812">
        <f t="shared" si="5"/>
        <v>1</v>
      </c>
    </row>
    <row r="24" spans="1:29" ht="15.75" thickBot="1">
      <c r="A24" s="367"/>
      <c r="B24" s="557"/>
      <c r="C24" s="1758" t="s">
        <v>3422</v>
      </c>
      <c r="D24" s="387"/>
      <c r="E24" s="1751" t="s">
        <v>3449</v>
      </c>
      <c r="F24" s="387"/>
      <c r="G24" s="1751" t="s">
        <v>3449</v>
      </c>
      <c r="H24" s="387"/>
      <c r="I24" s="1758" t="s">
        <v>3422</v>
      </c>
      <c r="J24" s="387"/>
      <c r="K24" s="541"/>
      <c r="L24" s="2493"/>
      <c r="M24" s="2488"/>
      <c r="N24" s="2488"/>
      <c r="O24" s="2488"/>
      <c r="P24" s="3442"/>
      <c r="Q24" s="1263"/>
      <c r="R24" s="667"/>
      <c r="S24" s="668"/>
      <c r="T24" s="667"/>
      <c r="U24" s="668"/>
      <c r="V24" s="667"/>
      <c r="W24" s="668"/>
      <c r="X24" s="1265"/>
      <c r="Y24" s="3435"/>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2"/>
      <c r="Q25" s="1263" t="str">
        <f>B25</f>
        <v>毗邻道路的类型与等级</v>
      </c>
      <c r="R25" s="667" t="s">
        <v>14</v>
      </c>
      <c r="S25" s="668">
        <f>F25</f>
        <v>100</v>
      </c>
      <c r="T25" s="667" t="s">
        <v>14</v>
      </c>
      <c r="U25" s="668">
        <f>H25</f>
        <v>100</v>
      </c>
      <c r="V25" s="667" t="s">
        <v>14</v>
      </c>
      <c r="W25" s="668">
        <f>J25</f>
        <v>100</v>
      </c>
      <c r="X25" s="1265"/>
      <c r="Y25" s="3435"/>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442"/>
      <c r="Q26" s="1263"/>
      <c r="R26" s="667"/>
      <c r="S26" s="668"/>
      <c r="T26" s="667"/>
      <c r="U26" s="668"/>
      <c r="V26" s="667"/>
      <c r="W26" s="668"/>
      <c r="X26" s="1265"/>
      <c r="Y26" s="3435"/>
      <c r="Z26" s="1264"/>
      <c r="AA26" s="1264">
        <v>1</v>
      </c>
      <c r="AB26" s="1264">
        <v>1</v>
      </c>
      <c r="AC26" s="1812">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2"/>
      <c r="Q27" s="1263" t="str">
        <f t="shared" ref="Q27:Q47" si="11">B27</f>
        <v>楼层</v>
      </c>
      <c r="R27" s="667" t="s">
        <v>14</v>
      </c>
      <c r="S27" s="668">
        <f>F27</f>
        <v>100</v>
      </c>
      <c r="T27" s="667" t="s">
        <v>14</v>
      </c>
      <c r="U27" s="668">
        <f>H27</f>
        <v>100</v>
      </c>
      <c r="V27" s="667" t="s">
        <v>14</v>
      </c>
      <c r="W27" s="668">
        <f>J27</f>
        <v>100</v>
      </c>
      <c r="X27" s="1265"/>
      <c r="Y27" s="3435"/>
      <c r="Z27" s="1264" t="str">
        <f>Q27</f>
        <v>楼层</v>
      </c>
      <c r="AA27" s="1264">
        <f t="shared" si="3"/>
        <v>1</v>
      </c>
      <c r="AB27" s="1264">
        <f t="shared" si="4"/>
        <v>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2"/>
      <c r="Q28" s="530" t="str">
        <f t="shared" si="11"/>
        <v>朝向</v>
      </c>
      <c r="R28" s="664" t="s">
        <v>14</v>
      </c>
      <c r="S28" s="665">
        <f>F28</f>
        <v>100</v>
      </c>
      <c r="T28" s="664" t="s">
        <v>14</v>
      </c>
      <c r="U28" s="665">
        <f>H28</f>
        <v>100</v>
      </c>
      <c r="V28" s="664" t="s">
        <v>14</v>
      </c>
      <c r="W28" s="665">
        <f>J28</f>
        <v>100</v>
      </c>
      <c r="X28" s="666"/>
      <c r="Y28" s="3435"/>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2"/>
      <c r="Q29" s="1263">
        <f t="shared" si="11"/>
        <v>111</v>
      </c>
      <c r="R29" s="667" t="s">
        <v>14</v>
      </c>
      <c r="S29" s="668">
        <f t="shared" ref="S29:S47" si="12">F29</f>
        <v>100</v>
      </c>
      <c r="T29" s="667" t="s">
        <v>14</v>
      </c>
      <c r="U29" s="668">
        <f t="shared" ref="U29:U47" si="13">H29</f>
        <v>100</v>
      </c>
      <c r="V29" s="667" t="s">
        <v>14</v>
      </c>
      <c r="W29" s="668">
        <f t="shared" ref="W29:W47" si="14">J29</f>
        <v>100</v>
      </c>
      <c r="X29" s="1265"/>
      <c r="Y29" s="3435"/>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2"/>
      <c r="Q30" s="1263">
        <f t="shared" si="11"/>
        <v>111</v>
      </c>
      <c r="R30" s="667" t="s">
        <v>14</v>
      </c>
      <c r="S30" s="668">
        <f t="shared" si="12"/>
        <v>100</v>
      </c>
      <c r="T30" s="667" t="s">
        <v>14</v>
      </c>
      <c r="U30" s="668">
        <f t="shared" si="13"/>
        <v>100</v>
      </c>
      <c r="V30" s="667" t="s">
        <v>14</v>
      </c>
      <c r="W30" s="668">
        <f t="shared" si="14"/>
        <v>100</v>
      </c>
      <c r="X30" s="1265"/>
      <c r="Y30" s="3435"/>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2"/>
      <c r="Q31" s="1263">
        <f t="shared" si="11"/>
        <v>111</v>
      </c>
      <c r="R31" s="667" t="s">
        <v>14</v>
      </c>
      <c r="S31" s="668">
        <f t="shared" si="12"/>
        <v>100</v>
      </c>
      <c r="T31" s="667" t="s">
        <v>14</v>
      </c>
      <c r="U31" s="668">
        <f t="shared" si="13"/>
        <v>100</v>
      </c>
      <c r="V31" s="667" t="s">
        <v>14</v>
      </c>
      <c r="W31" s="668">
        <f t="shared" si="14"/>
        <v>100</v>
      </c>
      <c r="X31" s="1265"/>
      <c r="Y31" s="3435"/>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2"/>
      <c r="Q32" s="1263">
        <f t="shared" si="11"/>
        <v>111</v>
      </c>
      <c r="R32" s="667" t="s">
        <v>14</v>
      </c>
      <c r="S32" s="668">
        <f t="shared" si="12"/>
        <v>100</v>
      </c>
      <c r="T32" s="667" t="s">
        <v>14</v>
      </c>
      <c r="U32" s="668">
        <f t="shared" si="13"/>
        <v>100</v>
      </c>
      <c r="V32" s="667" t="s">
        <v>14</v>
      </c>
      <c r="W32" s="668">
        <f t="shared" si="14"/>
        <v>100</v>
      </c>
      <c r="X32" s="1265"/>
      <c r="Y32" s="3435"/>
      <c r="Z32" s="1264">
        <f t="shared" si="15"/>
        <v>111</v>
      </c>
      <c r="AA32" s="1264">
        <f t="shared" si="3"/>
        <v>1</v>
      </c>
      <c r="AB32" s="1264">
        <f t="shared" si="4"/>
        <v>1</v>
      </c>
      <c r="AC32" s="1812">
        <f t="shared" si="5"/>
        <v>1</v>
      </c>
    </row>
    <row r="33" spans="1:29" ht="15">
      <c r="A33" s="379" t="s">
        <v>1694</v>
      </c>
      <c r="B33" s="60" t="s">
        <v>1817</v>
      </c>
      <c r="C33" s="3195" t="s">
        <v>3452</v>
      </c>
      <c r="D33" s="405">
        <v>100</v>
      </c>
      <c r="E33" s="3195" t="s">
        <v>3452</v>
      </c>
      <c r="F33" s="400">
        <f>SUMIF(101:101,E33,102:102)-SUMIF(101:101,C33,102:102)+100</f>
        <v>100</v>
      </c>
      <c r="G33" s="3195" t="s">
        <v>3452</v>
      </c>
      <c r="H33" s="374">
        <f>SUMIF(101:101,G33,102:102)-SUMIF(101:101,C33,102:102)+100</f>
        <v>100</v>
      </c>
      <c r="I33" s="3195" t="s">
        <v>3452</v>
      </c>
      <c r="J33" s="405">
        <f>SUMIF(101:101,I33,102:102)-SUMIF(101:101,C33,102:102)+100</f>
        <v>100</v>
      </c>
      <c r="K33" s="538">
        <v>5</v>
      </c>
      <c r="L33" s="2493"/>
      <c r="M33" s="2488"/>
      <c r="N33" s="2488"/>
      <c r="O33" s="2488"/>
      <c r="P33" s="3436" t="s">
        <v>1696</v>
      </c>
      <c r="Q33" s="1263" t="str">
        <f t="shared" si="11"/>
        <v>建筑类型</v>
      </c>
      <c r="R33" s="667" t="s">
        <v>14</v>
      </c>
      <c r="S33" s="668">
        <f t="shared" si="12"/>
        <v>100</v>
      </c>
      <c r="T33" s="667" t="s">
        <v>14</v>
      </c>
      <c r="U33" s="668">
        <f t="shared" si="13"/>
        <v>100</v>
      </c>
      <c r="V33" s="667" t="s">
        <v>14</v>
      </c>
      <c r="W33" s="668">
        <f t="shared" si="14"/>
        <v>100</v>
      </c>
      <c r="X33" s="1265"/>
      <c r="Y33" s="3439" t="s">
        <v>1696</v>
      </c>
      <c r="Z33" s="1264" t="str">
        <f t="shared" si="15"/>
        <v>建筑类型</v>
      </c>
      <c r="AA33" s="1264">
        <f t="shared" si="3"/>
        <v>1</v>
      </c>
      <c r="AB33" s="1264">
        <f t="shared" si="4"/>
        <v>1</v>
      </c>
      <c r="AC33" s="1812">
        <f t="shared" si="5"/>
        <v>1</v>
      </c>
    </row>
    <row r="34" spans="1:29" s="408" customFormat="1" ht="15">
      <c r="A34" s="406"/>
      <c r="B34" s="364" t="s">
        <v>1697</v>
      </c>
      <c r="C34" s="3196">
        <f>'数据-汇总表'!E31</f>
        <v>99989.78</v>
      </c>
      <c r="D34" s="119">
        <v>100</v>
      </c>
      <c r="E34" s="3186">
        <f>[2]乐华大厦!M14</f>
        <v>10575.420000000002</v>
      </c>
      <c r="F34" s="364">
        <f>LOOKUP(E34,104:104,105:105)-LOOKUP(C34,104:104,105:105)+100</f>
        <v>100</v>
      </c>
      <c r="G34" s="3185">
        <f>[2]悦荣中心!M20</f>
        <v>15106.53</v>
      </c>
      <c r="H34" s="119">
        <f>LOOKUP(G34,104:104,105:105)-LOOKUP(C34,104:104,105:105)+100</f>
        <v>100</v>
      </c>
      <c r="I34" s="3185">
        <f>[2]中海金融中心!$L$42</f>
        <v>32725.310000000005</v>
      </c>
      <c r="J34" s="119">
        <f>LOOKUP(I34,104:104,105:105)-LOOKUP(C34,104:104,105:105)+100</f>
        <v>100</v>
      </c>
      <c r="K34" s="539"/>
      <c r="L34" s="2492"/>
      <c r="M34" s="2494"/>
      <c r="N34" s="2494"/>
      <c r="O34" s="2494"/>
      <c r="P34" s="3437"/>
      <c r="Q34" s="531" t="str">
        <f t="shared" si="11"/>
        <v>项目建筑规模</v>
      </c>
      <c r="R34" s="669" t="s">
        <v>14</v>
      </c>
      <c r="S34" s="670">
        <f t="shared" si="12"/>
        <v>100</v>
      </c>
      <c r="T34" s="669" t="s">
        <v>14</v>
      </c>
      <c r="U34" s="670">
        <f t="shared" si="13"/>
        <v>100</v>
      </c>
      <c r="V34" s="669" t="s">
        <v>14</v>
      </c>
      <c r="W34" s="670">
        <f t="shared" si="14"/>
        <v>100</v>
      </c>
      <c r="X34" s="671"/>
      <c r="Y34" s="3439"/>
      <c r="Z34" s="672" t="str">
        <f t="shared" si="15"/>
        <v>项目建筑规模</v>
      </c>
      <c r="AA34" s="1264">
        <f t="shared" si="3"/>
        <v>1</v>
      </c>
      <c r="AB34" s="1264">
        <f t="shared" si="4"/>
        <v>1</v>
      </c>
      <c r="AC34" s="1812">
        <f t="shared" si="5"/>
        <v>1</v>
      </c>
    </row>
    <row r="35" spans="1:29" ht="15">
      <c r="A35" s="409"/>
      <c r="B35" s="364" t="s">
        <v>1698</v>
      </c>
      <c r="C35" s="3198" t="s">
        <v>3428</v>
      </c>
      <c r="D35" s="374">
        <v>100</v>
      </c>
      <c r="E35" s="3198" t="s">
        <v>3428</v>
      </c>
      <c r="F35" s="400">
        <f>SUMIF(106:106,E35,107:107)-SUMIF(106:106,C35,107:107)+100</f>
        <v>100</v>
      </c>
      <c r="G35" s="3198" t="s">
        <v>3428</v>
      </c>
      <c r="H35" s="374">
        <f>SUMIF(106:106,G35,107:107)-SUMIF(106:106,C35,107:107)+100</f>
        <v>100</v>
      </c>
      <c r="I35" s="3198" t="s">
        <v>3428</v>
      </c>
      <c r="J35" s="374">
        <f>SUMIF(106:106,I35,107:107)-SUMIF(106:106,C35,107:107)+100</f>
        <v>100</v>
      </c>
      <c r="K35" s="538">
        <v>1</v>
      </c>
      <c r="L35" s="2493"/>
      <c r="M35" s="2488"/>
      <c r="N35" s="2488"/>
      <c r="O35" s="2488"/>
      <c r="P35" s="3437"/>
      <c r="Q35" s="1263" t="str">
        <f t="shared" si="11"/>
        <v>建筑结构</v>
      </c>
      <c r="R35" s="667" t="s">
        <v>14</v>
      </c>
      <c r="S35" s="668">
        <f t="shared" si="12"/>
        <v>100</v>
      </c>
      <c r="T35" s="667" t="s">
        <v>14</v>
      </c>
      <c r="U35" s="668">
        <f t="shared" si="13"/>
        <v>100</v>
      </c>
      <c r="V35" s="667" t="s">
        <v>14</v>
      </c>
      <c r="W35" s="668">
        <f t="shared" si="14"/>
        <v>100</v>
      </c>
      <c r="X35" s="1265"/>
      <c r="Y35" s="3439"/>
      <c r="Z35" s="1264" t="str">
        <f t="shared" si="15"/>
        <v>建筑结构</v>
      </c>
      <c r="AA35" s="1264">
        <f t="shared" si="3"/>
        <v>1</v>
      </c>
      <c r="AB35" s="1264">
        <f t="shared" si="4"/>
        <v>1</v>
      </c>
      <c r="AC35" s="1812">
        <f t="shared" si="5"/>
        <v>1</v>
      </c>
    </row>
    <row r="36" spans="1:29" ht="15">
      <c r="A36" s="409"/>
      <c r="B36" s="364" t="s">
        <v>1785</v>
      </c>
      <c r="C36" s="3198" t="s">
        <v>3453</v>
      </c>
      <c r="D36" s="374">
        <v>100</v>
      </c>
      <c r="E36" s="3198" t="s">
        <v>3453</v>
      </c>
      <c r="F36" s="400">
        <f>SUMIF(108:108,E36,109:109)-SUMIF(108:108,C36,109:109)+100</f>
        <v>100</v>
      </c>
      <c r="G36" s="3198" t="s">
        <v>3453</v>
      </c>
      <c r="H36" s="374">
        <f>SUMIF(108:108,G36,109:109)-SUMIF(108:108,C36,109:109)+100</f>
        <v>100</v>
      </c>
      <c r="I36" s="3198" t="s">
        <v>3453</v>
      </c>
      <c r="J36" s="374">
        <f>SUMIF(108:108,I36,109:109)-SUMIF(108:108,C36,109:109)+100</f>
        <v>100</v>
      </c>
      <c r="K36" s="538">
        <v>1</v>
      </c>
      <c r="L36" s="2493"/>
      <c r="M36" s="2488"/>
      <c r="N36" s="2488"/>
      <c r="O36" s="2488"/>
      <c r="P36" s="3437"/>
      <c r="Q36" s="1263" t="str">
        <f t="shared" si="11"/>
        <v>公共部分装修</v>
      </c>
      <c r="R36" s="667" t="s">
        <v>14</v>
      </c>
      <c r="S36" s="668">
        <f t="shared" si="12"/>
        <v>100</v>
      </c>
      <c r="T36" s="667" t="s">
        <v>14</v>
      </c>
      <c r="U36" s="668">
        <f t="shared" si="13"/>
        <v>100</v>
      </c>
      <c r="V36" s="667" t="s">
        <v>14</v>
      </c>
      <c r="W36" s="668">
        <f t="shared" si="14"/>
        <v>100</v>
      </c>
      <c r="X36" s="1265"/>
      <c r="Y36" s="3439"/>
      <c r="Z36" s="1264" t="str">
        <f t="shared" si="15"/>
        <v>公共部分装修</v>
      </c>
      <c r="AA36" s="1264">
        <f t="shared" si="3"/>
        <v>1</v>
      </c>
      <c r="AB36" s="1264">
        <f t="shared" si="4"/>
        <v>1</v>
      </c>
      <c r="AC36" s="1812">
        <f t="shared" si="5"/>
        <v>1</v>
      </c>
    </row>
    <row r="37" spans="1:29" ht="15">
      <c r="A37" s="409"/>
      <c r="B37" s="364" t="s">
        <v>1786</v>
      </c>
      <c r="C37" s="3199">
        <v>0.9</v>
      </c>
      <c r="D37" s="374">
        <v>100</v>
      </c>
      <c r="E37" s="3199">
        <f>ROUND(1-(1-0%)*(2025-E12)/60,2)</f>
        <v>0.93</v>
      </c>
      <c r="F37" s="400">
        <f>LOOKUP(E37,111:111,112:112)-LOOKUP(C37,111:111,112:112)+100</f>
        <v>100</v>
      </c>
      <c r="G37" s="3199">
        <f>ROUND(1-(1-0%)*(2025-G12)/60,2)</f>
        <v>0.93</v>
      </c>
      <c r="H37" s="400">
        <f>LOOKUP(G37,111:111,112:112)-LOOKUP(C37,111:111,112:112)+100</f>
        <v>100</v>
      </c>
      <c r="I37" s="3199">
        <f>ROUND(1-(1-0%)*(2025-I12)/60,2)</f>
        <v>1</v>
      </c>
      <c r="J37" s="374">
        <f>LOOKUP(I37,111:111,112:112)-LOOKUP(C37,111:111,112:112)+100</f>
        <v>100</v>
      </c>
      <c r="K37" s="538">
        <v>1</v>
      </c>
      <c r="L37" s="2493"/>
      <c r="M37" s="2488"/>
      <c r="N37" s="2488"/>
      <c r="O37" s="2488"/>
      <c r="P37" s="3437"/>
      <c r="Q37" s="1263" t="str">
        <f t="shared" si="11"/>
        <v>成新度</v>
      </c>
      <c r="R37" s="667" t="s">
        <v>14</v>
      </c>
      <c r="S37" s="668">
        <f t="shared" si="12"/>
        <v>100</v>
      </c>
      <c r="T37" s="667" t="s">
        <v>14</v>
      </c>
      <c r="U37" s="668">
        <f t="shared" si="13"/>
        <v>100</v>
      </c>
      <c r="V37" s="667" t="s">
        <v>14</v>
      </c>
      <c r="W37" s="668">
        <f t="shared" si="14"/>
        <v>100</v>
      </c>
      <c r="X37" s="1265"/>
      <c r="Y37" s="3439"/>
      <c r="Z37" s="1264" t="str">
        <f t="shared" si="15"/>
        <v>成新度</v>
      </c>
      <c r="AA37" s="1264">
        <f t="shared" si="3"/>
        <v>1</v>
      </c>
      <c r="AB37" s="1264">
        <f t="shared" si="4"/>
        <v>1</v>
      </c>
      <c r="AC37" s="1812">
        <f t="shared" si="5"/>
        <v>1</v>
      </c>
    </row>
    <row r="38" spans="1:29" s="102" customFormat="1" ht="15">
      <c r="A38" s="410"/>
      <c r="B38" s="364" t="s">
        <v>1818</v>
      </c>
      <c r="C38" s="3198" t="s">
        <v>3454</v>
      </c>
      <c r="D38" s="119">
        <v>100</v>
      </c>
      <c r="E38" s="3198" t="s">
        <v>3454</v>
      </c>
      <c r="F38" s="400">
        <f>SUMIF(113:113,E38,114:114)-SUMIF(113:113,C38,114:114)+100</f>
        <v>100</v>
      </c>
      <c r="G38" s="3198" t="s">
        <v>3454</v>
      </c>
      <c r="H38" s="374">
        <f>SUMIF(113:113,G38,114:114)-SUMIF(113:113,C38,114:114)+100</f>
        <v>100</v>
      </c>
      <c r="I38" s="3198" t="s">
        <v>3454</v>
      </c>
      <c r="J38" s="374">
        <f>SUMIF(113:113,I38,114:114)-SUMIF(113:113,C38,114:114)+100</f>
        <v>100</v>
      </c>
      <c r="K38" s="538">
        <v>1</v>
      </c>
      <c r="L38" s="2489"/>
      <c r="M38" s="2440"/>
      <c r="N38" s="2440"/>
      <c r="O38" s="2440"/>
      <c r="P38" s="3437"/>
      <c r="Q38" s="530" t="str">
        <f t="shared" si="11"/>
        <v>写字楼等级</v>
      </c>
      <c r="R38" s="664" t="s">
        <v>14</v>
      </c>
      <c r="S38" s="665">
        <f t="shared" si="12"/>
        <v>100</v>
      </c>
      <c r="T38" s="664" t="s">
        <v>14</v>
      </c>
      <c r="U38" s="665">
        <f t="shared" si="13"/>
        <v>100</v>
      </c>
      <c r="V38" s="664" t="s">
        <v>14</v>
      </c>
      <c r="W38" s="665">
        <f t="shared" si="14"/>
        <v>100</v>
      </c>
      <c r="X38" s="666"/>
      <c r="Y38" s="3439"/>
      <c r="Z38" s="50" t="str">
        <f t="shared" si="15"/>
        <v>写字楼等级</v>
      </c>
      <c r="AA38" s="50">
        <f t="shared" si="3"/>
        <v>1</v>
      </c>
      <c r="AB38" s="50">
        <f t="shared" si="4"/>
        <v>1</v>
      </c>
      <c r="AC38" s="802">
        <f t="shared" si="5"/>
        <v>1</v>
      </c>
    </row>
    <row r="39" spans="1:29" ht="15">
      <c r="A39" s="409"/>
      <c r="B39" s="364" t="s">
        <v>1819</v>
      </c>
      <c r="C39" s="3198" t="s">
        <v>3455</v>
      </c>
      <c r="D39" s="374">
        <v>100</v>
      </c>
      <c r="E39" s="3198" t="s">
        <v>3455</v>
      </c>
      <c r="F39" s="400">
        <f>SUMIF(115:115,E39,116:116)-SUMIF(115:115,C39,116:116)+100</f>
        <v>100</v>
      </c>
      <c r="G39" s="3198" t="s">
        <v>3455</v>
      </c>
      <c r="H39" s="374">
        <f>SUMIF(115:115,G39,116:116)-SUMIF(115:115,C39,116:116)+100</f>
        <v>100</v>
      </c>
      <c r="I39" s="3198" t="s">
        <v>3455</v>
      </c>
      <c r="J39" s="374">
        <f>SUMIF(115:115,I39,116:116)-SUMIF(115:115,C39,116:116)+100</f>
        <v>100</v>
      </c>
      <c r="K39" s="538">
        <v>1</v>
      </c>
      <c r="L39" s="2493"/>
      <c r="M39" s="2488"/>
      <c r="N39" s="2488"/>
      <c r="O39" s="2488"/>
      <c r="P39" s="3437" t="s">
        <v>1696</v>
      </c>
      <c r="Q39" s="1263" t="str">
        <f t="shared" si="11"/>
        <v>物业管理</v>
      </c>
      <c r="R39" s="667" t="s">
        <v>14</v>
      </c>
      <c r="S39" s="668">
        <f t="shared" si="12"/>
        <v>100</v>
      </c>
      <c r="T39" s="667" t="s">
        <v>14</v>
      </c>
      <c r="U39" s="668">
        <f t="shared" si="13"/>
        <v>100</v>
      </c>
      <c r="V39" s="667" t="s">
        <v>14</v>
      </c>
      <c r="W39" s="668">
        <f t="shared" si="14"/>
        <v>100</v>
      </c>
      <c r="X39" s="1265"/>
      <c r="Y39" s="3439" t="s">
        <v>1696</v>
      </c>
      <c r="Z39" s="1264" t="str">
        <f t="shared" si="15"/>
        <v>物业管理</v>
      </c>
      <c r="AA39" s="1264">
        <f t="shared" si="3"/>
        <v>1</v>
      </c>
      <c r="AB39" s="1264">
        <f t="shared" si="4"/>
        <v>1</v>
      </c>
      <c r="AC39" s="1812">
        <f t="shared" si="5"/>
        <v>1</v>
      </c>
    </row>
    <row r="40" spans="1:29" ht="15">
      <c r="A40" s="409"/>
      <c r="B40" s="364" t="s">
        <v>1787</v>
      </c>
      <c r="C40" s="3198" t="s">
        <v>3456</v>
      </c>
      <c r="D40" s="374">
        <v>100</v>
      </c>
      <c r="E40" s="3198" t="s">
        <v>3456</v>
      </c>
      <c r="F40" s="400">
        <f>SUMIF(117:117,E40,118:118)-SUMIF(117:117,C40,118:118)+100</f>
        <v>100</v>
      </c>
      <c r="G40" s="3198" t="s">
        <v>3456</v>
      </c>
      <c r="H40" s="374">
        <f>SUMIF(117:117,G40,118:118)-SUMIF(117:117,C40,118:118)+100</f>
        <v>100</v>
      </c>
      <c r="I40" s="3198" t="s">
        <v>3456</v>
      </c>
      <c r="J40" s="374">
        <f>SUMIF(117:117,I40,118:118)-SUMIF(117:117,C40,118:118)+100</f>
        <v>100</v>
      </c>
      <c r="K40" s="538">
        <v>1</v>
      </c>
      <c r="L40" s="2493"/>
      <c r="M40" s="2488"/>
      <c r="N40" s="2488"/>
      <c r="O40" s="2488"/>
      <c r="P40" s="3437"/>
      <c r="Q40" s="1263" t="str">
        <f t="shared" si="11"/>
        <v>市政基础设施</v>
      </c>
      <c r="R40" s="667" t="s">
        <v>14</v>
      </c>
      <c r="S40" s="668">
        <f t="shared" si="12"/>
        <v>100</v>
      </c>
      <c r="T40" s="667" t="s">
        <v>14</v>
      </c>
      <c r="U40" s="668">
        <f t="shared" si="13"/>
        <v>100</v>
      </c>
      <c r="V40" s="667" t="s">
        <v>14</v>
      </c>
      <c r="W40" s="668">
        <f t="shared" si="14"/>
        <v>100</v>
      </c>
      <c r="X40" s="1265"/>
      <c r="Y40" s="3439"/>
      <c r="Z40" s="1264" t="str">
        <f t="shared" si="15"/>
        <v>市政基础设施</v>
      </c>
      <c r="AA40" s="1264">
        <f t="shared" si="3"/>
        <v>1</v>
      </c>
      <c r="AB40" s="1264">
        <f t="shared" si="4"/>
        <v>1</v>
      </c>
      <c r="AC40" s="1812">
        <f t="shared" si="5"/>
        <v>1</v>
      </c>
    </row>
    <row r="41" spans="1:29" ht="15">
      <c r="A41" s="409"/>
      <c r="B41" s="364" t="s">
        <v>1789</v>
      </c>
      <c r="C41" s="3194" t="s">
        <v>3457</v>
      </c>
      <c r="D41" s="374">
        <v>100</v>
      </c>
      <c r="E41" s="3194" t="s">
        <v>3457</v>
      </c>
      <c r="F41" s="400">
        <f>SUMIF(119:119,E41,120:120)-SUMIF(119:119,C41,120:120)+100</f>
        <v>100</v>
      </c>
      <c r="G41" s="3194" t="s">
        <v>3457</v>
      </c>
      <c r="H41" s="374">
        <f>SUMIF(119:119,G41,120:120)-SUMIF(119:119,C41,120:120)+100</f>
        <v>100</v>
      </c>
      <c r="I41" s="3194" t="s">
        <v>3457</v>
      </c>
      <c r="J41" s="374">
        <f>SUMIF(119:119,I41,120:120)-SUMIF(119:119,C41,120:120)+100</f>
        <v>100</v>
      </c>
      <c r="K41" s="538">
        <v>1</v>
      </c>
      <c r="L41" s="2493"/>
      <c r="M41" s="2488"/>
      <c r="N41" s="2488"/>
      <c r="O41" s="2488"/>
      <c r="P41" s="3437"/>
      <c r="Q41" s="1263" t="str">
        <f t="shared" si="11"/>
        <v>层高</v>
      </c>
      <c r="R41" s="667" t="s">
        <v>14</v>
      </c>
      <c r="S41" s="668">
        <f t="shared" si="12"/>
        <v>100</v>
      </c>
      <c r="T41" s="667" t="s">
        <v>14</v>
      </c>
      <c r="U41" s="668">
        <f t="shared" si="13"/>
        <v>100</v>
      </c>
      <c r="V41" s="667" t="s">
        <v>14</v>
      </c>
      <c r="W41" s="668">
        <f t="shared" si="14"/>
        <v>100</v>
      </c>
      <c r="X41" s="1265"/>
      <c r="Y41" s="3439"/>
      <c r="Z41" s="1264" t="str">
        <f t="shared" si="15"/>
        <v>层高</v>
      </c>
      <c r="AA41" s="1264">
        <f t="shared" si="3"/>
        <v>1</v>
      </c>
      <c r="AB41" s="1264">
        <f t="shared" si="4"/>
        <v>1</v>
      </c>
      <c r="AC41" s="1812">
        <f t="shared" si="5"/>
        <v>1</v>
      </c>
    </row>
    <row r="42" spans="1:29" s="408" customFormat="1" ht="15" hidden="1">
      <c r="A42" s="406"/>
      <c r="B42" s="400" t="s">
        <v>1820</v>
      </c>
      <c r="C42" s="3191"/>
      <c r="D42" s="374">
        <v>100</v>
      </c>
      <c r="E42" s="3191"/>
      <c r="F42" s="400">
        <f>SUMIF(121:121,E42,122:122)-SUMIF(121:121,C42,122:122)+100</f>
        <v>100</v>
      </c>
      <c r="G42" s="3191"/>
      <c r="H42" s="374">
        <f>SUMIF(121:121,G42,122:122)-SUMIF(121:121,C42,122:122)+100</f>
        <v>100</v>
      </c>
      <c r="I42" s="3191"/>
      <c r="J42" s="374">
        <f>SUMIF(121:121,I42,122:122)-SUMIF(121:121,C42,122:122)+100</f>
        <v>100</v>
      </c>
      <c r="K42" s="539"/>
      <c r="L42" s="2492"/>
      <c r="M42" s="2494"/>
      <c r="N42" s="2494"/>
      <c r="O42" s="2494"/>
      <c r="P42" s="3437"/>
      <c r="Q42" s="531" t="str">
        <f t="shared" si="11"/>
        <v>单套建筑面积</v>
      </c>
      <c r="R42" s="669" t="s">
        <v>14</v>
      </c>
      <c r="S42" s="670">
        <f t="shared" si="12"/>
        <v>100</v>
      </c>
      <c r="T42" s="669" t="s">
        <v>14</v>
      </c>
      <c r="U42" s="670">
        <f t="shared" si="13"/>
        <v>100</v>
      </c>
      <c r="V42" s="669" t="s">
        <v>14</v>
      </c>
      <c r="W42" s="670">
        <f t="shared" si="14"/>
        <v>100</v>
      </c>
      <c r="X42" s="671"/>
      <c r="Y42" s="3439"/>
      <c r="Z42" s="672" t="str">
        <f t="shared" si="15"/>
        <v>单套建筑面积</v>
      </c>
      <c r="AA42" s="1264">
        <f t="shared" si="3"/>
        <v>1</v>
      </c>
      <c r="AB42" s="1264">
        <f t="shared" si="4"/>
        <v>1</v>
      </c>
      <c r="AC42" s="1812">
        <f t="shared" si="5"/>
        <v>1</v>
      </c>
    </row>
    <row r="43" spans="1:29" ht="15">
      <c r="A43" s="409"/>
      <c r="B43" s="364" t="s">
        <v>1792</v>
      </c>
      <c r="C43" s="3198" t="s">
        <v>3453</v>
      </c>
      <c r="D43" s="374">
        <v>100</v>
      </c>
      <c r="E43" s="3198" t="s">
        <v>3453</v>
      </c>
      <c r="F43" s="400">
        <f>SUMIF(123:123,E43,124:124)-SUMIF(123:123,C43,124:124)+100</f>
        <v>100</v>
      </c>
      <c r="G43" s="3198" t="s">
        <v>3453</v>
      </c>
      <c r="H43" s="374">
        <f>SUMIF(123:123,G43,124:124)-SUMIF(123:123,C43,124:124)+100</f>
        <v>100</v>
      </c>
      <c r="I43" s="3198" t="s">
        <v>3453</v>
      </c>
      <c r="J43" s="374">
        <f>SUMIF(123:123,I43,124:124)-SUMIF(123:123,C43,124:124)+100</f>
        <v>100</v>
      </c>
      <c r="K43" s="538">
        <v>1</v>
      </c>
      <c r="L43" s="2493"/>
      <c r="M43" s="2488"/>
      <c r="N43" s="2488"/>
      <c r="O43" s="2488"/>
      <c r="P43" s="3437"/>
      <c r="Q43" s="1263" t="str">
        <f t="shared" si="11"/>
        <v>内部装修</v>
      </c>
      <c r="R43" s="667" t="s">
        <v>14</v>
      </c>
      <c r="S43" s="668">
        <f t="shared" si="12"/>
        <v>100</v>
      </c>
      <c r="T43" s="667" t="s">
        <v>14</v>
      </c>
      <c r="U43" s="668">
        <f t="shared" si="13"/>
        <v>100</v>
      </c>
      <c r="V43" s="667" t="s">
        <v>14</v>
      </c>
      <c r="W43" s="668">
        <f t="shared" si="14"/>
        <v>100</v>
      </c>
      <c r="X43" s="1265"/>
      <c r="Y43" s="3439"/>
      <c r="Z43" s="1264" t="str">
        <f t="shared" si="15"/>
        <v>内部装修</v>
      </c>
      <c r="AA43" s="1264">
        <f t="shared" si="3"/>
        <v>1</v>
      </c>
      <c r="AB43" s="1264">
        <f t="shared" si="4"/>
        <v>1</v>
      </c>
      <c r="AC43" s="1812">
        <f t="shared" si="5"/>
        <v>1</v>
      </c>
    </row>
    <row r="44" spans="1:29" ht="15">
      <c r="A44" s="409"/>
      <c r="B44" s="364" t="s">
        <v>1707</v>
      </c>
      <c r="C44" s="3198" t="s">
        <v>3422</v>
      </c>
      <c r="D44" s="374">
        <v>100</v>
      </c>
      <c r="E44" s="3198" t="s">
        <v>3422</v>
      </c>
      <c r="F44" s="400">
        <f>SUMIF(125:125,E44,126:126)-SUMIF(125:125,C44,126:126)+100</f>
        <v>100</v>
      </c>
      <c r="G44" s="3198" t="s">
        <v>3422</v>
      </c>
      <c r="H44" s="374">
        <f>SUMIF(125:125,G44,126:126)-SUMIF(125:125,C44,126:126)+100</f>
        <v>100</v>
      </c>
      <c r="I44" s="3198" t="s">
        <v>3422</v>
      </c>
      <c r="J44" s="374">
        <f>SUMIF(125:125,I44,126:126)-SUMIF(125:125,C44,126:126)+100</f>
        <v>100</v>
      </c>
      <c r="K44" s="538">
        <v>1</v>
      </c>
      <c r="L44" s="2493"/>
      <c r="M44" s="2488"/>
      <c r="N44" s="2488"/>
      <c r="O44" s="2488"/>
      <c r="P44" s="3437"/>
      <c r="Q44" s="1263" t="str">
        <f t="shared" si="11"/>
        <v>内部装修维护情况</v>
      </c>
      <c r="R44" s="667" t="s">
        <v>14</v>
      </c>
      <c r="S44" s="668">
        <f t="shared" si="12"/>
        <v>100</v>
      </c>
      <c r="T44" s="667" t="s">
        <v>14</v>
      </c>
      <c r="U44" s="668">
        <f t="shared" si="13"/>
        <v>100</v>
      </c>
      <c r="V44" s="667" t="s">
        <v>14</v>
      </c>
      <c r="W44" s="668">
        <f t="shared" si="14"/>
        <v>100</v>
      </c>
      <c r="X44" s="1265"/>
      <c r="Y44" s="3439"/>
      <c r="Z44" s="1264" t="str">
        <f t="shared" si="15"/>
        <v>内部装修维护情况</v>
      </c>
      <c r="AA44" s="1264">
        <f t="shared" si="3"/>
        <v>1</v>
      </c>
      <c r="AB44" s="1264">
        <f t="shared" si="4"/>
        <v>1</v>
      </c>
      <c r="AC44" s="1812">
        <f t="shared" si="5"/>
        <v>1</v>
      </c>
    </row>
    <row r="45" spans="1:29" s="102" customFormat="1" ht="15">
      <c r="A45" s="410"/>
      <c r="B45" s="3200" t="s">
        <v>3458</v>
      </c>
      <c r="C45" s="3196" t="s">
        <v>3941</v>
      </c>
      <c r="D45" s="119">
        <v>100</v>
      </c>
      <c r="E45" s="3196" t="s">
        <v>3459</v>
      </c>
      <c r="F45" s="364">
        <f>SUMIF(127:127,E45,128:128)-SUMIF(127:127,C45,128:128)+100</f>
        <v>125</v>
      </c>
      <c r="G45" s="3191" t="s">
        <v>3460</v>
      </c>
      <c r="H45" s="119">
        <f>SUMIF(127:127,G45,128:128)-SUMIF(127:127,C45,128:128)+100</f>
        <v>140</v>
      </c>
      <c r="I45" s="3191" t="s">
        <v>3460</v>
      </c>
      <c r="J45" s="119">
        <f>SUMIF(127:127,I45,128:128)-SUMIF(127:127,C45,128:128)+100</f>
        <v>140</v>
      </c>
      <c r="K45" s="539"/>
      <c r="L45" s="2489"/>
      <c r="M45" s="2440"/>
      <c r="N45" s="2440"/>
      <c r="O45" s="2440"/>
      <c r="P45" s="3437"/>
      <c r="Q45" s="530" t="str">
        <f t="shared" si="11"/>
        <v>地下面积占比</v>
      </c>
      <c r="R45" s="664" t="s">
        <v>14</v>
      </c>
      <c r="S45" s="665">
        <f t="shared" si="12"/>
        <v>125</v>
      </c>
      <c r="T45" s="664" t="s">
        <v>14</v>
      </c>
      <c r="U45" s="665">
        <f t="shared" si="13"/>
        <v>140</v>
      </c>
      <c r="V45" s="664" t="s">
        <v>14</v>
      </c>
      <c r="W45" s="665">
        <f t="shared" si="14"/>
        <v>140</v>
      </c>
      <c r="X45" s="666"/>
      <c r="Y45" s="3439"/>
      <c r="Z45" s="50" t="str">
        <f t="shared" si="15"/>
        <v>地下面积占比</v>
      </c>
      <c r="AA45" s="50">
        <f t="shared" si="3"/>
        <v>0.8</v>
      </c>
      <c r="AB45" s="50">
        <f t="shared" si="4"/>
        <v>0.7142857142857143</v>
      </c>
      <c r="AC45" s="802">
        <f t="shared" si="5"/>
        <v>0.7142857142857143</v>
      </c>
    </row>
    <row r="46" spans="1:29" ht="15">
      <c r="A46" s="409"/>
      <c r="B46" s="3200" t="s">
        <v>3458</v>
      </c>
      <c r="C46" s="3627">
        <f>'数据-汇总表'!G33</f>
        <v>0.45860526945853863</v>
      </c>
      <c r="D46" s="374">
        <v>100</v>
      </c>
      <c r="E46" s="3201">
        <f>乐华大厦!N18</f>
        <v>0.16</v>
      </c>
      <c r="F46" s="400">
        <f>SUMIF(129:129,E46,130:130)-SUMIF(129:129,C46,130:130)+100</f>
        <v>100</v>
      </c>
      <c r="G46" s="3202">
        <f>悦荣中心!N24</f>
        <v>0</v>
      </c>
      <c r="H46" s="374">
        <f>SUMIF(129:129,G46,130:130)-SUMIF(129:129,C46,130:130)+100</f>
        <v>100</v>
      </c>
      <c r="I46" s="3202">
        <f>悦荣中心!P24</f>
        <v>0</v>
      </c>
      <c r="J46" s="374">
        <f>SUMIF(129:129,I46,130:130)-SUMIF(129:129,C46,130:130)+100</f>
        <v>100</v>
      </c>
      <c r="K46" s="539"/>
      <c r="L46" s="2493"/>
      <c r="M46" s="2488"/>
      <c r="N46" s="2488"/>
      <c r="O46" s="2488"/>
      <c r="P46" s="3437"/>
      <c r="Q46" s="1263" t="str">
        <f t="shared" si="11"/>
        <v>地下面积占比</v>
      </c>
      <c r="R46" s="667" t="s">
        <v>14</v>
      </c>
      <c r="S46" s="668">
        <f t="shared" si="12"/>
        <v>100</v>
      </c>
      <c r="T46" s="667" t="s">
        <v>14</v>
      </c>
      <c r="U46" s="668">
        <f t="shared" si="13"/>
        <v>100</v>
      </c>
      <c r="V46" s="667" t="s">
        <v>14</v>
      </c>
      <c r="W46" s="668">
        <f t="shared" si="14"/>
        <v>100</v>
      </c>
      <c r="X46" s="1265"/>
      <c r="Y46" s="3439"/>
      <c r="Z46" s="1264" t="str">
        <f t="shared" si="15"/>
        <v>地下面积占比</v>
      </c>
      <c r="AA46" s="1264">
        <f t="shared" si="3"/>
        <v>1</v>
      </c>
      <c r="AB46" s="1264">
        <f t="shared" si="4"/>
        <v>1</v>
      </c>
      <c r="AC46" s="1812">
        <f t="shared" si="5"/>
        <v>1</v>
      </c>
    </row>
    <row r="47" spans="1:29" ht="15.75" thickBot="1">
      <c r="A47" s="415"/>
      <c r="B47" s="3190" t="s">
        <v>3461</v>
      </c>
      <c r="C47" s="3203" t="s">
        <v>3462</v>
      </c>
      <c r="D47" s="377">
        <v>100</v>
      </c>
      <c r="E47" s="3204" t="s">
        <v>3463</v>
      </c>
      <c r="F47" s="378">
        <f>SUMIF(131:131,E47,132:132)-SUMIF(131:131,C47,132:132)+100</f>
        <v>110</v>
      </c>
      <c r="G47" s="3204" t="s">
        <v>3464</v>
      </c>
      <c r="H47" s="377">
        <f>SUMIF(131:131,G47,132:132)-SUMIF(131:131,C47,132:132)+100</f>
        <v>100</v>
      </c>
      <c r="I47" s="3204" t="s">
        <v>3464</v>
      </c>
      <c r="J47" s="377">
        <f>SUMIF(131:131,I47,132:132)-SUMIF(131:131,C47,132:132)+100</f>
        <v>100</v>
      </c>
      <c r="K47" s="539"/>
      <c r="L47" s="2493"/>
      <c r="M47" s="2488"/>
      <c r="N47" s="2488"/>
      <c r="O47" s="2488"/>
      <c r="P47" s="3438"/>
      <c r="Q47" s="1263" t="str">
        <f t="shared" si="11"/>
        <v>地下用途</v>
      </c>
      <c r="R47" s="667" t="s">
        <v>14</v>
      </c>
      <c r="S47" s="668">
        <f t="shared" si="12"/>
        <v>110</v>
      </c>
      <c r="T47" s="667" t="s">
        <v>14</v>
      </c>
      <c r="U47" s="668">
        <f t="shared" si="13"/>
        <v>100</v>
      </c>
      <c r="V47" s="667" t="s">
        <v>14</v>
      </c>
      <c r="W47" s="668">
        <f t="shared" si="14"/>
        <v>100</v>
      </c>
      <c r="X47" s="1265"/>
      <c r="Y47" s="3440"/>
      <c r="Z47" s="1264" t="str">
        <f t="shared" si="15"/>
        <v>地下用途</v>
      </c>
      <c r="AA47" s="1264">
        <f t="shared" si="3"/>
        <v>0.90909090909090906</v>
      </c>
      <c r="AB47" s="1264">
        <f t="shared" si="4"/>
        <v>1</v>
      </c>
      <c r="AC47" s="1812">
        <f t="shared" si="5"/>
        <v>1</v>
      </c>
    </row>
    <row r="48" spans="1:29" ht="15">
      <c r="A48" s="416" t="s">
        <v>1708</v>
      </c>
      <c r="B48" s="417"/>
      <c r="C48" s="1081" t="s">
        <v>0</v>
      </c>
      <c r="D48" s="418"/>
      <c r="E48" s="419">
        <f>乐华大厦!O14</f>
        <v>44386</v>
      </c>
      <c r="F48" s="420"/>
      <c r="G48" s="421">
        <f>悦荣中心!O20</f>
        <v>42597</v>
      </c>
      <c r="H48" s="422"/>
      <c r="I48" s="419">
        <f>中海金融中心!N42</f>
        <v>76900</v>
      </c>
      <c r="J48" s="422"/>
      <c r="K48" s="674"/>
      <c r="L48" s="2495"/>
      <c r="M48" s="2488"/>
      <c r="N48" s="2488"/>
      <c r="O48" s="2488"/>
      <c r="P48" s="3443" t="str">
        <f>A48</f>
        <v>成交单价（元/平方米）</v>
      </c>
      <c r="Q48" s="3432"/>
      <c r="R48" s="3433">
        <f>E48</f>
        <v>44386</v>
      </c>
      <c r="S48" s="3433"/>
      <c r="T48" s="3433">
        <f>G48</f>
        <v>42597</v>
      </c>
      <c r="U48" s="3433"/>
      <c r="V48" s="3433">
        <f>I48</f>
        <v>76900</v>
      </c>
      <c r="W48" s="3433"/>
      <c r="X48" s="385"/>
      <c r="Y48" s="673"/>
      <c r="Z48" s="385"/>
      <c r="AA48" s="385"/>
      <c r="AB48" s="385"/>
      <c r="AC48" s="555"/>
    </row>
    <row r="49" spans="1:29" ht="15.75" thickBot="1">
      <c r="A49" s="423" t="s">
        <v>1793</v>
      </c>
      <c r="B49" s="424"/>
      <c r="C49" s="1082">
        <f>R50</f>
        <v>36537</v>
      </c>
      <c r="D49" s="2141" t="s">
        <v>2138</v>
      </c>
      <c r="E49" s="1083">
        <f>R49</f>
        <v>29824</v>
      </c>
      <c r="F49" s="2142"/>
      <c r="G49" s="1082">
        <f>T49</f>
        <v>27967</v>
      </c>
      <c r="H49" s="2142"/>
      <c r="I49" s="1083">
        <f>V49</f>
        <v>51819</v>
      </c>
      <c r="J49" s="2142"/>
      <c r="K49" s="2144">
        <f>F49+H49+J49</f>
        <v>0</v>
      </c>
      <c r="L49" s="2495"/>
      <c r="M49" s="2488"/>
      <c r="N49" s="2488"/>
      <c r="O49" s="2488"/>
      <c r="P49" s="3443" t="str">
        <f>A49</f>
        <v>比较价值（元/平方米）</v>
      </c>
      <c r="Q49" s="3432"/>
      <c r="R49" s="3433">
        <f>IF(F1="售价",ROUND(PRODUCT(R48,AA7:AA47),0),ROUND(PRODUCT(R48,AA7:AA47),1))</f>
        <v>29824</v>
      </c>
      <c r="S49" s="3433"/>
      <c r="T49" s="3433">
        <f>IF(F1="售价",ROUND(PRODUCT(T48,AB7:AB47),0),ROUND(PRODUCT(T48,AB7:AB47),1))</f>
        <v>27967</v>
      </c>
      <c r="U49" s="3433"/>
      <c r="V49" s="3433">
        <f>IF(F1="售价",ROUND(PRODUCT(V48,AC7:AC47),0),ROUND(PRODUCT(V48,AC7:AC47),1))</f>
        <v>51819</v>
      </c>
      <c r="W49" s="3433"/>
      <c r="X49" s="385"/>
      <c r="Y49" s="385"/>
      <c r="Z49" s="385"/>
      <c r="AA49" s="385"/>
      <c r="AB49" s="385"/>
      <c r="AC49" s="555"/>
    </row>
    <row r="50" spans="1:29" ht="15.75" thickBot="1">
      <c r="A50" s="427" t="s">
        <v>1794</v>
      </c>
      <c r="B50" s="428"/>
      <c r="C50" s="351">
        <f>R50</f>
        <v>36537</v>
      </c>
      <c r="D50" s="351"/>
      <c r="E50" s="351"/>
      <c r="F50" s="351"/>
      <c r="G50" s="351"/>
      <c r="H50" s="351"/>
      <c r="I50" s="351"/>
      <c r="J50" s="429"/>
      <c r="K50" s="675"/>
      <c r="L50" s="2495"/>
      <c r="M50" s="2488"/>
      <c r="N50" s="2488"/>
      <c r="O50" s="2488"/>
      <c r="P50" s="3474" t="str">
        <f>A50</f>
        <v>估价对象XX用房的比较价值（楼面单价，元/平方米）</v>
      </c>
      <c r="Q50" s="3475"/>
      <c r="R50" s="3476">
        <f>IF(F1="售价",ROUND(IF(D49="简单平均",AVERAGE(R49:V49),R49*F49+T49*H49+V49*J49),0),ROUND(IF(D49="简单平均",AVERAGE(R49:V49),R49*F49+T49*H49+V49*J49),1))</f>
        <v>36537</v>
      </c>
      <c r="S50" s="3476"/>
      <c r="T50" s="3476"/>
      <c r="U50" s="3476"/>
      <c r="V50" s="3476"/>
      <c r="W50" s="347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0.48826448497854069</v>
      </c>
      <c r="F53" s="435" t="str">
        <f>IF(OR(E53&gt;=0.3,E53&lt;=-0.3),"超过30%","")</f>
        <v>超过30%</v>
      </c>
      <c r="G53" s="434">
        <f>IF(G48&lt;G49,G49/G48-1,G48/G49-1)</f>
        <v>0.52311653019630278</v>
      </c>
      <c r="H53" s="435" t="str">
        <f>IF(OR(G53&gt;=0.3,G53&lt;=-0.3),"超过30%","")</f>
        <v>超过30%</v>
      </c>
      <c r="I53" s="434">
        <f>IF(I48&lt;I49,I49/I48-1,I48/I49-1)</f>
        <v>0.48401165595630946</v>
      </c>
      <c r="J53" s="435" t="str">
        <f>IF(OR(I53&gt;=0.3,I53&lt;=-0.3),"超过30%","")</f>
        <v>超过30%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6.639968534344054E-2</v>
      </c>
      <c r="F54" s="435" t="str">
        <f>IF(OR(E54&gt;=0.2,E54&lt;=-0.2),"超过20%","")</f>
        <v/>
      </c>
      <c r="G54" s="434">
        <f>IF(G49&lt;I49,I49/G49-1,G49/I49-1)</f>
        <v>0.85286230199878421</v>
      </c>
      <c r="H54" s="435" t="str">
        <f>IF(OR(G54&gt;=0.2,G54&lt;=-0.2),"超过20%","")</f>
        <v>超过20%</v>
      </c>
      <c r="I54" s="434">
        <f>IF(I49&lt;E49,E49/I49-1,I49/E49-1)</f>
        <v>0.73749329399141628</v>
      </c>
      <c r="J54" s="435" t="str">
        <f>IF(OR(I54&gt;=0.2,I54&lt;=-0.2),"超过20%","")</f>
        <v>超过20%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4.1998262788459195E-2</v>
      </c>
      <c r="F55" s="435" t="str">
        <f>IF(OR(E55&gt;=0.3,E55&lt;=-0.3),"超过30%","")</f>
        <v/>
      </c>
      <c r="G55" s="434">
        <f>IF(G48&lt;I48,I48/G48-1,G48/I48-1)</f>
        <v>0.80529145244970302</v>
      </c>
      <c r="H55" s="435" t="str">
        <f>IF(OR(G55&gt;=0.3,G55&lt;=-0.3),"超过30%","")</f>
        <v>超过30%</v>
      </c>
      <c r="I55" s="434">
        <f>IF(I48&lt;E48,E48/I48-1,I48/E48-1)</f>
        <v>0.73252827468120585</v>
      </c>
      <c r="J55" s="435" t="str">
        <f>IF(OR(I55&gt;=0.3,I55&lt;=-0.3),"超过30%","")</f>
        <v>超过30%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3628">
        <f t="shared" ref="P59" si="17">EDATE(O59,-1)</f>
        <v>45566</v>
      </c>
      <c r="Q59" s="3628">
        <f t="shared" ref="Q59" si="18">EDATE(P59,-1)</f>
        <v>45536</v>
      </c>
      <c r="R59" s="3628">
        <f t="shared" ref="R59" si="19">EDATE(Q59,-1)</f>
        <v>45505</v>
      </c>
      <c r="S59" s="3628">
        <f t="shared" ref="S59" si="20">EDATE(R59,-1)</f>
        <v>45474</v>
      </c>
      <c r="T59" s="3628">
        <f t="shared" ref="T59" si="21">EDATE(S59,-1)</f>
        <v>45444</v>
      </c>
      <c r="U59" s="3628">
        <f t="shared" ref="U59" si="22">EDATE(T59,-1)</f>
        <v>45413</v>
      </c>
      <c r="V59" s="3628">
        <f t="shared" ref="V59" si="23">EDATE(U59,-1)</f>
        <v>45383</v>
      </c>
      <c r="W59" s="3628">
        <f t="shared" ref="W59" si="24">EDATE(V59,-1)</f>
        <v>45352</v>
      </c>
      <c r="X59" s="3628">
        <f t="shared" ref="X59" si="25">EDATE(W59,-1)</f>
        <v>45323</v>
      </c>
      <c r="Y59" s="3628">
        <f t="shared" ref="Y59" si="26">EDATE(X59,-1)</f>
        <v>45292</v>
      </c>
      <c r="Z59" s="3628">
        <f t="shared" ref="Z59" si="27">EDATE(Y59,-1)</f>
        <v>45261</v>
      </c>
      <c r="AA59" s="3628">
        <f t="shared" ref="AA59" si="28">EDATE(Z59,-1)</f>
        <v>45231</v>
      </c>
      <c r="AB59" s="3628">
        <f t="shared" ref="AB59:AC59" si="29">EDATE(AA59,-1)</f>
        <v>45200</v>
      </c>
      <c r="AC59" s="3628">
        <f t="shared" si="29"/>
        <v>45170</v>
      </c>
    </row>
    <row r="60" spans="1:29" s="102" customFormat="1" ht="15">
      <c r="A60" s="443"/>
      <c r="B60" s="444"/>
      <c r="C60" s="1102">
        <v>100</v>
      </c>
      <c r="D60" s="3205">
        <v>100</v>
      </c>
      <c r="E60" s="3205">
        <v>100</v>
      </c>
      <c r="F60" s="3205">
        <v>100</v>
      </c>
      <c r="G60" s="3205">
        <v>100</v>
      </c>
      <c r="H60" s="3205">
        <v>100</v>
      </c>
      <c r="I60" s="3205">
        <v>100</v>
      </c>
      <c r="J60" s="3205">
        <v>100</v>
      </c>
      <c r="K60" s="3205">
        <v>100</v>
      </c>
      <c r="L60" s="3205">
        <v>100</v>
      </c>
      <c r="M60" s="3205">
        <v>100</v>
      </c>
      <c r="N60" s="3205">
        <v>100</v>
      </c>
      <c r="O60" s="3205">
        <v>100</v>
      </c>
      <c r="P60" s="3205">
        <v>100</v>
      </c>
      <c r="Q60" s="3205">
        <v>100</v>
      </c>
      <c r="R60" s="3205">
        <v>100</v>
      </c>
      <c r="S60" s="3205">
        <v>100</v>
      </c>
      <c r="T60" s="3205">
        <v>100</v>
      </c>
      <c r="U60" s="3205">
        <v>100</v>
      </c>
      <c r="V60" s="3205">
        <v>100</v>
      </c>
      <c r="W60" s="3205">
        <v>100</v>
      </c>
      <c r="X60" s="3205">
        <v>100</v>
      </c>
      <c r="Y60" s="3205">
        <v>100</v>
      </c>
      <c r="Z60" s="3205">
        <v>100</v>
      </c>
      <c r="AA60" s="3205">
        <v>100</v>
      </c>
      <c r="AB60" s="3205">
        <v>100</v>
      </c>
      <c r="AC60" s="3205">
        <v>100</v>
      </c>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商业办公</v>
      </c>
      <c r="D64" s="3206" t="s">
        <v>673</v>
      </c>
      <c r="E64" s="3206" t="s">
        <v>21</v>
      </c>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3207">
        <v>103</v>
      </c>
      <c r="E65" s="3207">
        <v>97</v>
      </c>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3208" t="s">
        <v>3465</v>
      </c>
      <c r="D66" s="3208" t="s">
        <v>3466</v>
      </c>
      <c r="E66" s="3208" t="s">
        <v>3467</v>
      </c>
      <c r="F66" s="3208" t="s">
        <v>3940</v>
      </c>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3207">
        <v>100</v>
      </c>
      <c r="D67" s="3207">
        <v>95</v>
      </c>
      <c r="E67" s="3207">
        <v>90</v>
      </c>
      <c r="F67" s="3207">
        <v>85</v>
      </c>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30">D69&amp;"（含）"&amp;"-"&amp;E69</f>
        <v>3（含）-</v>
      </c>
      <c r="E68" s="478" t="str">
        <f t="shared" si="30"/>
        <v>（含）-</v>
      </c>
      <c r="F68" s="478" t="str">
        <f t="shared" si="30"/>
        <v>（含）-</v>
      </c>
      <c r="G68" s="478" t="str">
        <f t="shared" si="30"/>
        <v>（含）-</v>
      </c>
      <c r="H68" s="478" t="str">
        <f t="shared" si="30"/>
        <v>（含）-</v>
      </c>
      <c r="I68" s="478" t="str">
        <f t="shared" si="30"/>
        <v>（含）-</v>
      </c>
      <c r="J68" s="478" t="str">
        <f t="shared" si="30"/>
        <v>（含）-</v>
      </c>
      <c r="K68" s="478" t="str">
        <f t="shared" si="30"/>
        <v>（含）-</v>
      </c>
      <c r="L68" s="478" t="str">
        <f t="shared" si="30"/>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31">C70-$K11</f>
        <v>100</v>
      </c>
      <c r="E70" s="475">
        <f t="shared" si="31"/>
        <v>100</v>
      </c>
      <c r="F70" s="475">
        <f t="shared" si="31"/>
        <v>100</v>
      </c>
      <c r="G70" s="475">
        <f t="shared" si="31"/>
        <v>100</v>
      </c>
      <c r="H70" s="475">
        <f t="shared" si="31"/>
        <v>100</v>
      </c>
      <c r="I70" s="475">
        <f t="shared" si="31"/>
        <v>100</v>
      </c>
      <c r="J70" s="475">
        <f t="shared" si="31"/>
        <v>100</v>
      </c>
      <c r="K70" s="475">
        <f t="shared" si="31"/>
        <v>100</v>
      </c>
      <c r="L70" s="475">
        <f t="shared" si="31"/>
        <v>100</v>
      </c>
      <c r="M70" s="476">
        <f t="shared" si="31"/>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建成年代</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t="str">
        <f>B13</f>
        <v>土地剩余年期</v>
      </c>
      <c r="C73" s="3209" t="s">
        <v>3488</v>
      </c>
      <c r="D73" s="3209" t="s">
        <v>3446</v>
      </c>
      <c r="E73" s="3209" t="s">
        <v>3448</v>
      </c>
      <c r="F73" s="3209" t="s">
        <v>3468</v>
      </c>
      <c r="G73" s="3209" t="s">
        <v>3469</v>
      </c>
      <c r="H73" s="3209" t="s">
        <v>3447</v>
      </c>
      <c r="I73" s="3210" t="s">
        <v>3470</v>
      </c>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3211">
        <v>100</v>
      </c>
      <c r="D74" s="3211">
        <f>C74+3</f>
        <v>103</v>
      </c>
      <c r="E74" s="3211">
        <f t="shared" ref="E74:I74" si="32">D74+3</f>
        <v>106</v>
      </c>
      <c r="F74" s="3211">
        <f t="shared" si="32"/>
        <v>109</v>
      </c>
      <c r="G74" s="3211">
        <f t="shared" si="32"/>
        <v>112</v>
      </c>
      <c r="H74" s="3211">
        <f t="shared" si="32"/>
        <v>115</v>
      </c>
      <c r="I74" s="3211">
        <f t="shared" si="32"/>
        <v>118</v>
      </c>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t="str">
        <f>B14</f>
        <v>土地剩余年期</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98</v>
      </c>
      <c r="E78" s="475">
        <f>D78-$K15</f>
        <v>96</v>
      </c>
      <c r="F78" s="475">
        <f>E78-$K15</f>
        <v>94</v>
      </c>
      <c r="G78" s="475">
        <f>F78-$K15</f>
        <v>92</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212" t="s">
        <v>3471</v>
      </c>
      <c r="D87" s="3212" t="s">
        <v>3472</v>
      </c>
      <c r="E87" s="3212" t="s">
        <v>3473</v>
      </c>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33">C88-$K25</f>
        <v>100</v>
      </c>
      <c r="E88" s="475">
        <f t="shared" si="33"/>
        <v>100</v>
      </c>
      <c r="F88" s="475">
        <f t="shared" si="33"/>
        <v>100</v>
      </c>
      <c r="G88" s="475">
        <f t="shared" si="33"/>
        <v>100</v>
      </c>
      <c r="H88" s="475">
        <f t="shared" si="33"/>
        <v>100</v>
      </c>
      <c r="I88" s="475">
        <f t="shared" si="33"/>
        <v>100</v>
      </c>
      <c r="J88" s="475">
        <f t="shared" si="33"/>
        <v>100</v>
      </c>
      <c r="K88" s="475">
        <f t="shared" si="33"/>
        <v>100</v>
      </c>
      <c r="L88" s="475">
        <f t="shared" si="33"/>
        <v>100</v>
      </c>
      <c r="M88" s="475">
        <f t="shared" si="33"/>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34">D90-$K27</f>
        <v>100</v>
      </c>
      <c r="F90" s="475">
        <f t="shared" si="34"/>
        <v>100</v>
      </c>
      <c r="G90" s="475">
        <f t="shared" si="34"/>
        <v>100</v>
      </c>
      <c r="H90" s="475">
        <f t="shared" si="34"/>
        <v>100</v>
      </c>
      <c r="I90" s="475">
        <f t="shared" si="34"/>
        <v>100</v>
      </c>
      <c r="J90" s="475">
        <f t="shared" si="34"/>
        <v>100</v>
      </c>
      <c r="K90" s="475">
        <f t="shared" si="34"/>
        <v>100</v>
      </c>
      <c r="L90" s="475">
        <f t="shared" si="34"/>
        <v>100</v>
      </c>
      <c r="M90" s="475">
        <f t="shared" si="34"/>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35">C92-$K28</f>
        <v>100</v>
      </c>
      <c r="E92" s="475">
        <f t="shared" si="35"/>
        <v>100</v>
      </c>
      <c r="F92" s="475">
        <f t="shared" si="35"/>
        <v>100</v>
      </c>
      <c r="G92" s="475">
        <f t="shared" si="35"/>
        <v>100</v>
      </c>
      <c r="H92" s="475">
        <f t="shared" si="35"/>
        <v>100</v>
      </c>
      <c r="I92" s="475">
        <f t="shared" si="35"/>
        <v>100</v>
      </c>
      <c r="J92" s="475">
        <f t="shared" si="35"/>
        <v>100</v>
      </c>
      <c r="K92" s="475">
        <f t="shared" si="35"/>
        <v>100</v>
      </c>
      <c r="L92" s="475">
        <f t="shared" si="35"/>
        <v>100</v>
      </c>
      <c r="M92" s="475">
        <f t="shared" si="35"/>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206" t="s">
        <v>3452</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36">C102-$K33</f>
        <v>95</v>
      </c>
      <c r="E102" s="475">
        <f t="shared" si="36"/>
        <v>90</v>
      </c>
      <c r="F102" s="475">
        <f t="shared" si="36"/>
        <v>85</v>
      </c>
      <c r="G102" s="475">
        <f t="shared" si="36"/>
        <v>80</v>
      </c>
      <c r="H102" s="475">
        <f t="shared" si="36"/>
        <v>75</v>
      </c>
      <c r="I102" s="475">
        <f t="shared" si="36"/>
        <v>70</v>
      </c>
      <c r="J102" s="475">
        <f t="shared" si="36"/>
        <v>65</v>
      </c>
      <c r="K102" s="475">
        <f t="shared" si="36"/>
        <v>60</v>
      </c>
      <c r="L102" s="475">
        <f t="shared" si="36"/>
        <v>55</v>
      </c>
      <c r="M102" s="476">
        <f t="shared" si="36"/>
        <v>50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0(含)-50000</v>
      </c>
      <c r="D103" s="509" t="str">
        <f t="shared" ref="D103:L103" si="37">D104&amp;"(含)"&amp;"-"&amp;E104</f>
        <v>50000(含)-100000</v>
      </c>
      <c r="E103" s="509" t="str">
        <f t="shared" si="37"/>
        <v>100000(含)-150000</v>
      </c>
      <c r="F103" s="509" t="str">
        <f t="shared" si="37"/>
        <v>150000(含)-200000</v>
      </c>
      <c r="G103" s="509" t="str">
        <f t="shared" si="37"/>
        <v>200000(含)-</v>
      </c>
      <c r="H103" s="509" t="str">
        <f t="shared" si="37"/>
        <v>(含)-</v>
      </c>
      <c r="I103" s="509" t="str">
        <f t="shared" si="37"/>
        <v>(含)-</v>
      </c>
      <c r="J103" s="509" t="str">
        <f t="shared" si="37"/>
        <v>(含)-</v>
      </c>
      <c r="K103" s="509" t="str">
        <f t="shared" si="37"/>
        <v>(含)-</v>
      </c>
      <c r="L103" s="509" t="str">
        <f t="shared" si="37"/>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3213">
        <v>0</v>
      </c>
      <c r="D104" s="3213">
        <v>50000</v>
      </c>
      <c r="E104" s="3213">
        <v>100000</v>
      </c>
      <c r="F104" s="3213">
        <v>150000</v>
      </c>
      <c r="G104" s="3213">
        <v>200000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3211">
        <v>100</v>
      </c>
      <c r="D105" s="3211">
        <f>C105-$N$105</f>
        <v>100</v>
      </c>
      <c r="E105" s="3211">
        <v>100</v>
      </c>
      <c r="F105" s="3211">
        <f t="shared" ref="F105" si="38">E105-$N$105</f>
        <v>100</v>
      </c>
      <c r="G105" s="3211">
        <v>100</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212" t="s">
        <v>3428</v>
      </c>
      <c r="D106" s="3209"/>
      <c r="E106" s="3208"/>
      <c r="F106" s="3208"/>
      <c r="G106" s="3208"/>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39">C107-$K35</f>
        <v>99</v>
      </c>
      <c r="E107" s="475">
        <f t="shared" si="39"/>
        <v>98</v>
      </c>
      <c r="F107" s="475">
        <f t="shared" si="39"/>
        <v>97</v>
      </c>
      <c r="G107" s="475">
        <f t="shared" si="39"/>
        <v>96</v>
      </c>
      <c r="H107" s="475">
        <f t="shared" si="39"/>
        <v>95</v>
      </c>
      <c r="I107" s="475">
        <f t="shared" si="39"/>
        <v>94</v>
      </c>
      <c r="J107" s="475">
        <f t="shared" si="39"/>
        <v>93</v>
      </c>
      <c r="K107" s="475">
        <f t="shared" si="39"/>
        <v>92</v>
      </c>
      <c r="L107" s="475">
        <f t="shared" si="39"/>
        <v>91</v>
      </c>
      <c r="M107" s="476">
        <f t="shared" si="39"/>
        <v>90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209" t="s">
        <v>3453</v>
      </c>
      <c r="D108" s="3209" t="s">
        <v>3474</v>
      </c>
      <c r="E108" s="3209" t="s">
        <v>3475</v>
      </c>
      <c r="F108" s="3208" t="s">
        <v>3476</v>
      </c>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40">C109-$K36</f>
        <v>99</v>
      </c>
      <c r="E109" s="475">
        <f t="shared" si="40"/>
        <v>98</v>
      </c>
      <c r="F109" s="475">
        <f t="shared" si="40"/>
        <v>97</v>
      </c>
      <c r="G109" s="475">
        <f t="shared" si="40"/>
        <v>96</v>
      </c>
      <c r="H109" s="475">
        <f t="shared" si="40"/>
        <v>95</v>
      </c>
      <c r="I109" s="475">
        <f t="shared" si="40"/>
        <v>94</v>
      </c>
      <c r="J109" s="475">
        <f t="shared" si="40"/>
        <v>93</v>
      </c>
      <c r="K109" s="475">
        <f t="shared" si="40"/>
        <v>92</v>
      </c>
      <c r="L109" s="475">
        <f t="shared" si="40"/>
        <v>91</v>
      </c>
      <c r="M109" s="476">
        <f t="shared" si="40"/>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41">D112+$K37</f>
        <v>102</v>
      </c>
      <c r="F112" s="475">
        <f t="shared" si="41"/>
        <v>103</v>
      </c>
      <c r="G112" s="475">
        <f t="shared" si="41"/>
        <v>104</v>
      </c>
      <c r="H112" s="475">
        <f t="shared" si="41"/>
        <v>105</v>
      </c>
      <c r="I112" s="475">
        <f t="shared" si="41"/>
        <v>106</v>
      </c>
      <c r="J112" s="475">
        <f t="shared" si="41"/>
        <v>107</v>
      </c>
      <c r="K112" s="475">
        <f t="shared" si="41"/>
        <v>108</v>
      </c>
      <c r="L112" s="475">
        <f t="shared" si="41"/>
        <v>109</v>
      </c>
      <c r="M112" s="475">
        <f t="shared" si="41"/>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212" t="s">
        <v>3454</v>
      </c>
      <c r="D113" s="3212" t="s">
        <v>3477</v>
      </c>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99</v>
      </c>
      <c r="E114" s="475">
        <f t="shared" ref="E114:M114" si="42">D114-$K38</f>
        <v>98</v>
      </c>
      <c r="F114" s="475">
        <f t="shared" si="42"/>
        <v>97</v>
      </c>
      <c r="G114" s="475">
        <f t="shared" si="42"/>
        <v>96</v>
      </c>
      <c r="H114" s="475">
        <f t="shared" si="42"/>
        <v>95</v>
      </c>
      <c r="I114" s="475">
        <f t="shared" si="42"/>
        <v>94</v>
      </c>
      <c r="J114" s="475">
        <f t="shared" si="42"/>
        <v>93</v>
      </c>
      <c r="K114" s="475">
        <f t="shared" si="42"/>
        <v>92</v>
      </c>
      <c r="L114" s="475">
        <f t="shared" si="42"/>
        <v>91</v>
      </c>
      <c r="M114" s="475">
        <f t="shared" si="42"/>
        <v>90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214" t="s">
        <v>3455</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43">C116-$K39</f>
        <v>99</v>
      </c>
      <c r="E116" s="475">
        <f t="shared" si="43"/>
        <v>98</v>
      </c>
      <c r="F116" s="475">
        <f t="shared" si="43"/>
        <v>97</v>
      </c>
      <c r="G116" s="475">
        <f t="shared" si="43"/>
        <v>96</v>
      </c>
      <c r="H116" s="475">
        <f t="shared" si="43"/>
        <v>95</v>
      </c>
      <c r="I116" s="475">
        <f t="shared" si="43"/>
        <v>94</v>
      </c>
      <c r="J116" s="475">
        <f t="shared" si="43"/>
        <v>93</v>
      </c>
      <c r="K116" s="475">
        <f t="shared" si="43"/>
        <v>92</v>
      </c>
      <c r="L116" s="475">
        <f t="shared" si="43"/>
        <v>91</v>
      </c>
      <c r="M116" s="476">
        <f t="shared" si="43"/>
        <v>90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212" t="s">
        <v>3451</v>
      </c>
      <c r="D117" s="3212" t="s">
        <v>3456</v>
      </c>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215" t="s">
        <v>3457</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99</v>
      </c>
      <c r="E120" s="475">
        <f t="shared" ref="E120:M120" si="44">D120-$K41</f>
        <v>98</v>
      </c>
      <c r="F120" s="475">
        <f t="shared" si="44"/>
        <v>97</v>
      </c>
      <c r="G120" s="475">
        <f t="shared" si="44"/>
        <v>96</v>
      </c>
      <c r="H120" s="475">
        <f t="shared" si="44"/>
        <v>95</v>
      </c>
      <c r="I120" s="475">
        <f t="shared" si="44"/>
        <v>94</v>
      </c>
      <c r="J120" s="475">
        <f t="shared" si="44"/>
        <v>93</v>
      </c>
      <c r="K120" s="475">
        <f t="shared" si="44"/>
        <v>92</v>
      </c>
      <c r="L120" s="475">
        <f t="shared" si="44"/>
        <v>91</v>
      </c>
      <c r="M120" s="475">
        <f t="shared" si="44"/>
        <v>90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212" t="s">
        <v>3453</v>
      </c>
      <c r="D123" s="3212" t="s">
        <v>3474</v>
      </c>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45">C124-$K43</f>
        <v>99</v>
      </c>
      <c r="E124" s="475">
        <f t="shared" si="45"/>
        <v>98</v>
      </c>
      <c r="F124" s="475">
        <f t="shared" si="45"/>
        <v>97</v>
      </c>
      <c r="G124" s="475">
        <f t="shared" si="45"/>
        <v>96</v>
      </c>
      <c r="H124" s="475">
        <f t="shared" si="45"/>
        <v>95</v>
      </c>
      <c r="I124" s="475">
        <f t="shared" si="45"/>
        <v>94</v>
      </c>
      <c r="J124" s="475">
        <f t="shared" si="45"/>
        <v>93</v>
      </c>
      <c r="K124" s="475">
        <f t="shared" si="45"/>
        <v>92</v>
      </c>
      <c r="L124" s="475">
        <f t="shared" si="45"/>
        <v>91</v>
      </c>
      <c r="M124" s="476">
        <f t="shared" si="45"/>
        <v>90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t="str">
        <f>B45</f>
        <v>地下面积占比</v>
      </c>
      <c r="C127" s="3216">
        <v>0</v>
      </c>
      <c r="D127" s="3216" t="s">
        <v>3478</v>
      </c>
      <c r="E127" s="3216" t="s">
        <v>3479</v>
      </c>
      <c r="F127" s="3216" t="s">
        <v>3480</v>
      </c>
      <c r="G127" s="3209" t="s">
        <v>3481</v>
      </c>
      <c r="H127" s="3210" t="s">
        <v>3482</v>
      </c>
      <c r="I127" s="3197" t="s">
        <v>3487</v>
      </c>
      <c r="J127" s="3209" t="s">
        <v>3486</v>
      </c>
      <c r="K127" s="3210" t="s">
        <v>3512</v>
      </c>
      <c r="L127" s="3210" t="s">
        <v>3939</v>
      </c>
      <c r="M127" s="488"/>
      <c r="N127" s="2524">
        <v>5</v>
      </c>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3211">
        <v>100</v>
      </c>
      <c r="D128" s="3207">
        <f>C128-$N$127</f>
        <v>95</v>
      </c>
      <c r="E128" s="3207">
        <f t="shared" ref="E128:J128" si="46">D128-$N$127</f>
        <v>90</v>
      </c>
      <c r="F128" s="3207">
        <f t="shared" si="46"/>
        <v>85</v>
      </c>
      <c r="G128" s="3207">
        <f t="shared" si="46"/>
        <v>80</v>
      </c>
      <c r="H128" s="3207">
        <f t="shared" si="46"/>
        <v>75</v>
      </c>
      <c r="I128" s="3207">
        <f t="shared" si="46"/>
        <v>70</v>
      </c>
      <c r="J128" s="3207">
        <f t="shared" si="46"/>
        <v>65</v>
      </c>
      <c r="K128" s="3207">
        <f t="shared" ref="K128" si="47">J128-$N$127</f>
        <v>60</v>
      </c>
      <c r="L128" s="3207">
        <f t="shared" ref="L128" si="48">K128-$N$127</f>
        <v>55</v>
      </c>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t="str">
        <f>B46</f>
        <v>地下面积占比</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t="str">
        <f>B47</f>
        <v>地下用途</v>
      </c>
      <c r="C131" s="3212" t="s">
        <v>3483</v>
      </c>
      <c r="D131" s="3212" t="s">
        <v>3484</v>
      </c>
      <c r="E131" s="3217" t="s">
        <v>3462</v>
      </c>
      <c r="F131" s="3212" t="s">
        <v>3463</v>
      </c>
      <c r="G131" s="3215" t="s">
        <v>3464</v>
      </c>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3211">
        <v>103</v>
      </c>
      <c r="D132" s="3211">
        <v>103</v>
      </c>
      <c r="E132" s="3211">
        <v>100</v>
      </c>
      <c r="F132" s="3211">
        <v>110</v>
      </c>
      <c r="G132" s="3207">
        <v>100</v>
      </c>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101466.80160000001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10148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19997956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19997956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19997956</v>
      </c>
      <c r="D10" s="795">
        <f ca="1">IF(B1="",'数据-汇总表'!E6,IF(INDIRECT("'数据-取费表'!c"&amp;$G$1)="住宅",INDIRECT("'数据-取费表'!s"&amp;$G$1),INDIRECT("'数据-取费表'!k"&amp;$G$1)+INDIRECT("'数据-取费表'!s"&amp;$G$1)))</f>
        <v>99989.78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19997956</v>
      </c>
      <c r="D19" s="204">
        <f ca="1">D9+D10</f>
        <v>99989.78</v>
      </c>
      <c r="E19" s="203">
        <f>'数据-取费表'!B31</f>
        <v>200</v>
      </c>
      <c r="F19" s="223"/>
      <c r="G19" s="1714"/>
    </row>
    <row r="20" spans="1:7" s="206" customFormat="1" ht="13.5" customHeight="1">
      <c r="A20" s="247" t="s">
        <v>1574</v>
      </c>
      <c r="B20" s="202" t="s">
        <v>1575</v>
      </c>
      <c r="C20" s="224">
        <f ca="1">ROUND((C5+C19)*F20,0)</f>
        <v>799918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4067023</v>
      </c>
      <c r="D22" s="227">
        <f ca="1">C26</f>
        <v>1E-3</v>
      </c>
      <c r="E22" s="228" t="s">
        <v>1579</v>
      </c>
      <c r="F22" s="229">
        <f ca="1">'数据-取费表'!B40</f>
        <v>3.2500000000000001E-2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2013856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2013856</v>
      </c>
      <c r="D24" s="230"/>
      <c r="E24" s="230"/>
      <c r="F24" s="231"/>
      <c r="G24" s="232" t="s">
        <v>1586</v>
      </c>
    </row>
    <row r="25" spans="1:7" s="206" customFormat="1" ht="24">
      <c r="A25" s="734" t="s">
        <v>1476</v>
      </c>
      <c r="B25" s="207" t="s">
        <v>1587</v>
      </c>
      <c r="C25" s="230">
        <f ca="1">ROUND(IF('数据-取费表'!B22&lt;=1,C20*F22*'数据-取费表'!B22/2,C20*(POWER((1+F22),'数据-取费表'!B22/2)-1)),0)</f>
        <v>39311</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6527333</v>
      </c>
      <c r="D27" s="227">
        <f ca="1">C29</f>
        <v>3.2000000000000002E-3</v>
      </c>
      <c r="E27" s="228" t="s">
        <v>1514</v>
      </c>
      <c r="F27" s="238">
        <f ca="1">IF(B1="",'数据-取费表'!Q16,INDIRECT("'数据-取费表'!q"&amp;$G$1))</f>
        <v>0.16</v>
      </c>
      <c r="G27" s="239" t="s">
        <v>1515</v>
      </c>
    </row>
    <row r="28" spans="1:7" s="206" customFormat="1" ht="13.5" customHeight="1">
      <c r="A28" s="734" t="s">
        <v>346</v>
      </c>
      <c r="B28" s="240" t="s">
        <v>1516</v>
      </c>
      <c r="C28" s="241">
        <f ca="1">ROUND((C5+C19+C20)*F27,0)</f>
        <v>6527333</v>
      </c>
      <c r="D28" s="227"/>
      <c r="E28" s="228"/>
      <c r="F28" s="238"/>
      <c r="G28" s="239"/>
    </row>
    <row r="29" spans="1:7" s="206" customFormat="1" ht="13.5" customHeight="1">
      <c r="A29" s="734" t="s">
        <v>347</v>
      </c>
      <c r="B29" s="240" t="s">
        <v>1517</v>
      </c>
      <c r="C29" s="230">
        <f ca="1">ROUND(C21*F27,4)</f>
        <v>3.2000000000000002E-3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55707519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796978114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726149680</v>
      </c>
      <c r="D34" s="209"/>
      <c r="E34" s="212"/>
      <c r="F34" s="249"/>
      <c r="G34" s="211"/>
    </row>
    <row r="35" spans="1:7" ht="13.5" customHeight="1">
      <c r="A35" s="734" t="s">
        <v>351</v>
      </c>
      <c r="B35" s="207" t="s">
        <v>1527</v>
      </c>
      <c r="C35" s="212">
        <f ca="1">ROUND(C34*F35,0)</f>
        <v>36307484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19997956</v>
      </c>
      <c r="D37" s="209">
        <f ca="1">D19</f>
        <v>99989.78</v>
      </c>
      <c r="E37" s="241">
        <f>'数据-取费表'!B35</f>
        <v>200</v>
      </c>
      <c r="F37" s="251"/>
      <c r="G37" s="253"/>
    </row>
    <row r="38" spans="1:7" ht="13.5" customHeight="1">
      <c r="A38" s="734" t="s">
        <v>354</v>
      </c>
      <c r="B38" s="207" t="s">
        <v>1533</v>
      </c>
      <c r="C38" s="212">
        <f ca="1">ROUND(C34*F38,0)</f>
        <v>14522994</v>
      </c>
      <c r="D38" s="212"/>
      <c r="E38" s="212"/>
      <c r="F38" s="251">
        <f>'数据-取费表'!B36</f>
        <v>0.02</v>
      </c>
      <c r="G38" s="211" t="s">
        <v>1528</v>
      </c>
    </row>
    <row r="39" spans="1:7" s="206" customFormat="1" ht="13.5" customHeight="1">
      <c r="A39" s="247" t="s">
        <v>1534</v>
      </c>
      <c r="B39" s="202" t="s">
        <v>1535</v>
      </c>
      <c r="C39" s="224">
        <f ca="1">ROUND(C33*F20,0)</f>
        <v>15939562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39950005</v>
      </c>
      <c r="D41" s="227">
        <f ca="1">C44</f>
        <v>1E-3</v>
      </c>
      <c r="E41" s="228" t="s">
        <v>1539</v>
      </c>
      <c r="F41" s="229">
        <f ca="1">F22</f>
        <v>3.2500000000000001E-2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39166672</v>
      </c>
      <c r="D42" s="230"/>
      <c r="E42" s="230"/>
      <c r="F42" s="231"/>
      <c r="G42" s="3400" t="s">
        <v>1591</v>
      </c>
    </row>
    <row r="43" spans="1:7" ht="13.5" customHeight="1">
      <c r="A43" s="734" t="s">
        <v>347</v>
      </c>
      <c r="B43" s="207" t="s">
        <v>1545</v>
      </c>
      <c r="C43" s="230">
        <f ca="1">ROUND(IF('数据-取费表'!B22&lt;=1,C39*F22*'数据-取费表'!B20/2,C39*(POWER((1+F22),'数据-取费表'!B20/2)-1)),0)</f>
        <v>783333</v>
      </c>
      <c r="D43" s="230"/>
      <c r="E43" s="230"/>
      <c r="F43" s="231"/>
      <c r="G43" s="3401"/>
    </row>
    <row r="44" spans="1:7" ht="13.5" customHeight="1">
      <c r="A44" s="734" t="s">
        <v>348</v>
      </c>
      <c r="B44" s="207" t="s">
        <v>1546</v>
      </c>
      <c r="C44" s="230">
        <f ca="1">ROUND(IF('数据-取费表'!B22&lt;=1,C40*F22*'数据-取费表'!B20/2,C40*(POWER((1+F22),'数据-取费表'!B20/2)-1)),4)</f>
        <v>1E-3</v>
      </c>
      <c r="D44" s="230"/>
      <c r="E44" s="230"/>
      <c r="F44" s="231"/>
      <c r="G44" s="3402"/>
    </row>
    <row r="45" spans="1:7" s="206" customFormat="1" ht="13.5" customHeight="1">
      <c r="A45" s="247" t="s">
        <v>1547</v>
      </c>
      <c r="B45" s="236" t="s">
        <v>1513</v>
      </c>
      <c r="C45" s="237">
        <f ca="1">C46</f>
        <v>130066828</v>
      </c>
      <c r="D45" s="227">
        <f ca="1">C47</f>
        <v>3.2000000000000002E-3</v>
      </c>
      <c r="E45" s="228" t="s">
        <v>1539</v>
      </c>
      <c r="F45" s="238">
        <f ca="1">F27</f>
        <v>0.16</v>
      </c>
      <c r="G45" s="239" t="s">
        <v>1548</v>
      </c>
    </row>
    <row r="46" spans="1:7" s="206" customFormat="1" ht="13.5" customHeight="1">
      <c r="A46" s="734" t="s">
        <v>346</v>
      </c>
      <c r="B46" s="240" t="s">
        <v>1549</v>
      </c>
      <c r="C46" s="241">
        <f ca="1">ROUND((C33+C39)*F27,0)</f>
        <v>130066828</v>
      </c>
      <c r="D46" s="255"/>
      <c r="E46" s="228"/>
      <c r="F46" s="238"/>
      <c r="G46" s="239"/>
    </row>
    <row r="47" spans="1:7" s="206" customFormat="1" ht="13.5" customHeight="1">
      <c r="A47" s="734" t="s">
        <v>347</v>
      </c>
      <c r="B47" s="240" t="s">
        <v>1550</v>
      </c>
      <c r="C47" s="230">
        <f ca="1">ROUND(C40*F27,4)</f>
        <v>3.2000000000000002E-3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1065511663</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958960497</v>
      </c>
      <c r="D51" s="224"/>
      <c r="E51" s="224"/>
      <c r="F51" s="256"/>
      <c r="G51" s="226" t="s">
        <v>1560</v>
      </c>
    </row>
    <row r="52" spans="1:7" s="200" customFormat="1" ht="16.5" thickBot="1">
      <c r="A52" s="257" t="s">
        <v>1561</v>
      </c>
      <c r="B52" s="258"/>
      <c r="C52" s="259">
        <f ca="1">C31+C51</f>
        <v>1014668016</v>
      </c>
      <c r="D52" s="258"/>
      <c r="E52" s="258"/>
      <c r="F52" s="258"/>
      <c r="G52" s="260"/>
    </row>
    <row r="55" spans="1:7" ht="15">
      <c r="B55" s="262" t="s">
        <v>1562</v>
      </c>
      <c r="C55" s="263"/>
    </row>
    <row r="56" spans="1:7">
      <c r="B56" s="265" t="s">
        <v>802</v>
      </c>
      <c r="C56" s="267">
        <f ca="1">1-C57</f>
        <v>5.5000000000000049E-2</v>
      </c>
    </row>
    <row r="57" spans="1:7">
      <c r="B57" s="265" t="s">
        <v>803</v>
      </c>
      <c r="C57" s="266">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99989.78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99989.78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2000</v>
      </c>
      <c r="D20" s="796">
        <f ca="1">IF(C1="",'数据-汇总表'!E6,IF(INDIRECT("'数据-取费表'!c"&amp;$K$1)="住宅",INDIRECT("'数据-取费表'!s"&amp;$K$1),INDIRECT("'数据-取费表'!k"&amp;$K$1)+INDIRECT("'数据-取费表'!s"&amp;$K$1)))</f>
        <v>99989.78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3.2500000000000001E-2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0.16</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24" sqref="C2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258764</v>
      </c>
      <c r="C2" s="1729" t="s">
        <v>1651</v>
      </c>
      <c r="D2" s="1730" t="s">
        <v>1652</v>
      </c>
      <c r="E2" s="2393">
        <f>SUM(E6:E13)</f>
        <v>99989.78</v>
      </c>
      <c r="F2" s="2480"/>
      <c r="G2" s="459"/>
      <c r="H2" s="459"/>
      <c r="I2" s="459"/>
      <c r="J2" s="459"/>
      <c r="K2" s="459"/>
      <c r="L2" s="459"/>
      <c r="M2" s="459"/>
      <c r="N2" s="459"/>
      <c r="O2" s="459"/>
      <c r="P2" s="459"/>
      <c r="Q2" s="459"/>
      <c r="R2" s="459"/>
      <c r="S2" s="459"/>
    </row>
    <row r="3" spans="1:22" ht="15.75">
      <c r="A3" s="1728" t="s">
        <v>686</v>
      </c>
      <c r="B3" s="2387">
        <f ca="1">ROUND(B2*10000/E2,0)</f>
        <v>25879</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3" t="s">
        <v>1654</v>
      </c>
      <c r="C5" s="340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246611</v>
      </c>
      <c r="C6" s="1729" t="s">
        <v>1651</v>
      </c>
      <c r="D6" s="2480"/>
      <c r="E6" s="2392">
        <f>IF(OR(A6=0,F6="否"),0,'数据-取费表'!K6+'数据-取费表'!S6)</f>
        <v>63673.170000000006</v>
      </c>
      <c r="F6" s="1732" t="s">
        <v>1657</v>
      </c>
      <c r="G6" s="459"/>
      <c r="H6" s="459"/>
      <c r="I6" s="459"/>
      <c r="J6" s="459"/>
      <c r="K6" s="459"/>
      <c r="L6" s="459"/>
      <c r="M6" s="459"/>
      <c r="N6" s="459"/>
      <c r="O6" s="459"/>
      <c r="P6" s="459"/>
      <c r="Q6" s="459"/>
      <c r="R6" s="459"/>
      <c r="S6" s="459"/>
    </row>
    <row r="7" spans="1:22">
      <c r="A7" s="2390" t="str">
        <f>'数据-取费表'!AN7</f>
        <v>收益法车库</v>
      </c>
      <c r="B7" s="2388">
        <f ca="1">IF(F7="是",'数据-取费表'!AO7,0)</f>
        <v>12153</v>
      </c>
      <c r="C7" s="1729" t="s">
        <v>1651</v>
      </c>
      <c r="D7" s="2480"/>
      <c r="E7" s="2392">
        <f>IF(OR(A7=0,F7="否"),0,'数据-取费表'!K7+'数据-取费表'!S7)</f>
        <v>36316.609999999993</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5" sqref="C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18.809999999999999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246611</v>
      </c>
      <c r="C2" s="1289" t="s">
        <v>805</v>
      </c>
      <c r="D2" s="1289"/>
      <c r="E2" s="1295"/>
      <c r="F2" s="1296"/>
      <c r="G2" s="2479"/>
      <c r="H2" s="2469"/>
      <c r="I2" s="2469"/>
      <c r="J2" s="2469"/>
      <c r="K2" s="2470"/>
      <c r="L2" s="2469"/>
      <c r="M2" s="2469"/>
    </row>
    <row r="3" spans="1:37" ht="18" customHeight="1" thickBot="1">
      <c r="A3" s="1297" t="s">
        <v>806</v>
      </c>
      <c r="B3" s="1298">
        <f ca="1">IF(ISERROR(B2*10000/F43),0,ROUND(B2*10000/F43,0))</f>
        <v>39079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21794</v>
      </c>
      <c r="D5" s="1273" t="s">
        <v>693</v>
      </c>
      <c r="E5" s="1008"/>
      <c r="F5" s="1009"/>
      <c r="G5" s="1292"/>
      <c r="H5" s="291">
        <v>1</v>
      </c>
      <c r="I5" s="292" t="s">
        <v>692</v>
      </c>
      <c r="J5" s="1007">
        <f ca="1">J6+J10+J12</f>
        <v>0</v>
      </c>
      <c r="K5" s="1273" t="s">
        <v>693</v>
      </c>
      <c r="L5" s="1008"/>
      <c r="M5" s="1009"/>
    </row>
    <row r="6" spans="1:37" ht="18" customHeight="1">
      <c r="A6" s="1006" t="s">
        <v>398</v>
      </c>
      <c r="B6" s="3407" t="s">
        <v>694</v>
      </c>
      <c r="C6" s="1011">
        <f ca="1">ROUND(F6*F8*F7*(1-F9)/10000,0)</f>
        <v>21767</v>
      </c>
      <c r="D6" s="147" t="s">
        <v>2109</v>
      </c>
      <c r="E6" s="294" t="s">
        <v>696</v>
      </c>
      <c r="F6" s="295">
        <f ca="1">INDIRECT("'数据-取费表'!u"&amp;$G$1)</f>
        <v>10.5</v>
      </c>
      <c r="G6" s="1292"/>
      <c r="H6" s="1006" t="s">
        <v>398</v>
      </c>
      <c r="I6" s="3407" t="s">
        <v>694</v>
      </c>
      <c r="J6" s="293">
        <f ca="1">ROUND(M6*M8*M7*(1-M9)/10000,0)</f>
        <v>0</v>
      </c>
      <c r="K6" s="147" t="s">
        <v>2108</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63105.500000000007</v>
      </c>
      <c r="G7" s="1292"/>
      <c r="H7" s="296"/>
      <c r="I7" s="3408"/>
      <c r="J7" s="298"/>
      <c r="K7" s="299"/>
      <c r="L7" s="294" t="s">
        <v>697</v>
      </c>
      <c r="M7" s="295">
        <f ca="1">F7</f>
        <v>63105.500000000007</v>
      </c>
    </row>
    <row r="8" spans="1:37" ht="18" customHeight="1">
      <c r="A8" s="296"/>
      <c r="B8" s="3408"/>
      <c r="C8" s="298"/>
      <c r="D8" s="299"/>
      <c r="E8" s="294" t="s">
        <v>698</v>
      </c>
      <c r="F8" s="295">
        <f ca="1">INDIRECT("'数据-取费表'!ai"&amp;$G$1)</f>
        <v>365</v>
      </c>
      <c r="G8" s="1292"/>
      <c r="H8" s="296"/>
      <c r="I8" s="3408"/>
      <c r="J8" s="298"/>
      <c r="K8" s="299"/>
      <c r="L8" s="294" t="s">
        <v>698</v>
      </c>
      <c r="M8" s="295">
        <f ca="1">INDIRECT("'数据-取费表'!ai"&amp;$G$1)</f>
        <v>365</v>
      </c>
    </row>
    <row r="9" spans="1:37" ht="18" customHeight="1">
      <c r="A9" s="296"/>
      <c r="B9" s="3409"/>
      <c r="C9" s="298"/>
      <c r="D9" s="299"/>
      <c r="E9" s="294" t="s">
        <v>699</v>
      </c>
      <c r="F9" s="304">
        <f ca="1">INDIRECT("'数据-取费表'!w"&amp;$G$1)</f>
        <v>0.1</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27</v>
      </c>
      <c r="D10" s="150" t="s">
        <v>2117</v>
      </c>
      <c r="E10" s="305" t="s">
        <v>701</v>
      </c>
      <c r="F10" s="1053" t="s">
        <v>3427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69243</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50825</v>
      </c>
      <c r="D14" s="1257" t="s">
        <v>708</v>
      </c>
      <c r="E14" s="1255"/>
      <c r="F14" s="311"/>
      <c r="G14" s="1292"/>
      <c r="H14" s="928" t="s">
        <v>398</v>
      </c>
      <c r="I14" s="294" t="s">
        <v>709</v>
      </c>
      <c r="J14" s="21">
        <f ca="1">C29</f>
        <v>76937</v>
      </c>
      <c r="K14" s="12"/>
      <c r="L14" s="759"/>
      <c r="M14" s="760"/>
    </row>
    <row r="15" spans="1:37" s="1304" customFormat="1" ht="18" customHeight="1" thickBot="1">
      <c r="A15" s="928" t="s">
        <v>399</v>
      </c>
      <c r="B15" s="294" t="s">
        <v>710</v>
      </c>
      <c r="C15" s="21">
        <f ca="1">ROUND(C14*F15,0)</f>
        <v>2541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154</v>
      </c>
      <c r="K16" s="1024" t="s">
        <v>715</v>
      </c>
      <c r="L16" s="1025"/>
      <c r="M16" s="1009"/>
    </row>
    <row r="17" spans="1:37" s="1304" customFormat="1" ht="18" customHeight="1">
      <c r="A17" s="928" t="s">
        <v>681</v>
      </c>
      <c r="B17" s="294" t="s">
        <v>716</v>
      </c>
      <c r="C17" s="21">
        <f ca="1">ROUND(F17*(F43+INDIRECT("'数据-取费表'!S"&amp;$G$1))/10000,0)</f>
        <v>1273</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55656</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1113</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153.87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2790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-154</v>
      </c>
      <c r="K25" s="1032" t="s">
        <v>753</v>
      </c>
      <c r="L25" s="1033"/>
      <c r="M25" s="1034"/>
    </row>
    <row r="26" spans="1:37">
      <c r="A26" s="928" t="s">
        <v>397</v>
      </c>
      <c r="B26" s="294" t="s">
        <v>754</v>
      </c>
      <c r="C26" s="21">
        <f ca="1">ROUND((C19+C20)*F26,0)</f>
        <v>11354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76937</v>
      </c>
      <c r="D29" s="1029"/>
      <c r="E29" s="1027"/>
      <c r="F29" s="1030"/>
      <c r="G29" s="1303"/>
      <c r="H29" s="325" t="s">
        <v>396</v>
      </c>
      <c r="I29" s="326" t="s">
        <v>768</v>
      </c>
      <c r="J29" s="327">
        <f ca="1">ROUND(J26/(1+F40)^F41,0)</f>
        <v>0</v>
      </c>
      <c r="K29" s="328" t="s">
        <v>769</v>
      </c>
      <c r="L29" s="329"/>
      <c r="M29" s="330">
        <f ca="1">INDIRECT("'数据-取费表'!k"&amp;$G$1)</f>
        <v>63105.500000000007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4090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3648.57</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1160.9100000000001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2487.66</v>
      </c>
      <c r="D33" s="1278" t="s">
        <v>3324</v>
      </c>
      <c r="E33" s="294" t="s">
        <v>712</v>
      </c>
      <c r="F33" s="314">
        <f>IF(D33="按票据","——",IF(D33="按租金收入计税",'数据-取费表'!B51,'数据-取费表'!B50))</f>
        <v>0.12</v>
      </c>
      <c r="G33" s="1292"/>
      <c r="H33" s="2474">
        <f ca="1">C30/C5</f>
        <v>0.18766633018261908</v>
      </c>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153.87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69.239999999999995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217.94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17704</v>
      </c>
      <c r="D39" s="1032" t="s">
        <v>773</v>
      </c>
      <c r="E39" s="1033"/>
      <c r="F39" s="1034"/>
      <c r="G39" s="1292"/>
      <c r="H39" s="2474"/>
      <c r="I39" s="1305"/>
      <c r="J39" s="1306"/>
      <c r="K39" s="2472"/>
      <c r="L39" s="2474"/>
      <c r="M39" s="2474"/>
    </row>
    <row r="40" spans="1:18" ht="18" customHeight="1">
      <c r="A40" s="291" t="s">
        <v>395</v>
      </c>
      <c r="B40" s="292" t="s">
        <v>774</v>
      </c>
      <c r="C40" s="293">
        <f ca="1">ROUND(C39*(1-((1+F42)/(1+F40))^F41)/(F40-F42),0)</f>
        <v>237669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18.809999999999999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37662</v>
      </c>
      <c r="D43" s="328" t="s">
        <v>777</v>
      </c>
      <c r="E43" s="329" t="s">
        <v>778</v>
      </c>
      <c r="F43" s="330">
        <f ca="1">INDIRECT("'数据-取费表'!k"&amp;$G$1)</f>
        <v>63105.500000000007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-240243</v>
      </c>
      <c r="D46" s="1313" t="str">
        <f>C2</f>
        <v>万元</v>
      </c>
      <c r="E46" s="1307"/>
      <c r="F46" s="1307"/>
      <c r="I46" s="1314" t="s">
        <v>810</v>
      </c>
      <c r="J46" s="1315"/>
      <c r="K46" s="1316"/>
      <c r="L46" s="1317">
        <f ca="1">IF(M47="住宅",0,IF(L48&gt;J51,L60,J60))</f>
        <v>8942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3428</v>
      </c>
      <c r="K47" s="1323" t="s">
        <v>816</v>
      </c>
      <c r="L47" s="1324">
        <f ca="1">INDIRECT("'数据-取费表'!d"&amp;$G$1)</f>
        <v>40</v>
      </c>
      <c r="M47" s="1288" t="str">
        <f>IF(ISNUMBER(FIND("住宅",C1)),"住宅","非住宅")</f>
        <v>非住宅</v>
      </c>
      <c r="O47" s="1325" t="s">
        <v>403</v>
      </c>
      <c r="P47" s="1326" t="s">
        <v>817</v>
      </c>
      <c r="Q47" s="1327">
        <f ca="1">C40+J29</f>
        <v>237669</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18.809999999999999</v>
      </c>
      <c r="O48" s="1325" t="s">
        <v>404</v>
      </c>
      <c r="P48" s="1326" t="s">
        <v>821</v>
      </c>
      <c r="Q48" s="1327">
        <f ca="1">J60</f>
        <v>8942</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2011</v>
      </c>
      <c r="K49" s="1330" t="s">
        <v>824</v>
      </c>
      <c r="L49" s="1333"/>
      <c r="O49" s="1334" t="s">
        <v>405</v>
      </c>
      <c r="P49" s="1326" t="s">
        <v>825</v>
      </c>
      <c r="Q49" s="1327">
        <f ca="1">C29</f>
        <v>76937</v>
      </c>
      <c r="R49" s="1327" t="s">
        <v>818</v>
      </c>
    </row>
    <row r="50" spans="1:18" s="1292" customFormat="1" ht="13.5" thickBot="1">
      <c r="A50" s="922"/>
      <c r="B50" s="925"/>
      <c r="C50" s="1055"/>
      <c r="D50" s="899"/>
      <c r="E50" s="993" t="s">
        <v>697</v>
      </c>
      <c r="F50" s="994">
        <f ca="1">F7</f>
        <v>63105.500000000007</v>
      </c>
      <c r="H50" s="682"/>
      <c r="I50" s="1328" t="s">
        <v>826</v>
      </c>
      <c r="J50" s="1335">
        <f>SUMPRODUCT((I63:I65=J47)*(J62:L62=J48)*(J63:L65))</f>
        <v>60</v>
      </c>
      <c r="K50" s="1330" t="s">
        <v>827</v>
      </c>
      <c r="L50" s="1333"/>
      <c r="M50" s="1336"/>
      <c r="O50" s="1334" t="s">
        <v>406</v>
      </c>
      <c r="P50" s="1326" t="s">
        <v>828</v>
      </c>
      <c r="Q50" s="1337">
        <f ca="1">J58</f>
        <v>0.45300000000000001</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229884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18.809999999999999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18.809999999999999</v>
      </c>
      <c r="K53" s="3405" t="s">
        <v>837</v>
      </c>
      <c r="L53" s="3406"/>
      <c r="O53" s="1325" t="s">
        <v>409</v>
      </c>
      <c r="P53" s="1326" t="s">
        <v>838</v>
      </c>
      <c r="Q53" s="1327">
        <f ca="1">Q47+Q48</f>
        <v>246611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0.45300000000000001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69243</v>
      </c>
      <c r="D56" s="1352"/>
      <c r="E56" s="1353"/>
      <c r="F56" s="1345"/>
      <c r="I56" s="1354" t="s">
        <v>842</v>
      </c>
      <c r="J56" s="1355" t="s">
        <v>3430</v>
      </c>
      <c r="K56" s="1328" t="s">
        <v>843</v>
      </c>
      <c r="L56" s="1331" t="str">
        <f ca="1">IF(L48&lt;J51,"——",L48-J53)</f>
        <v>——</v>
      </c>
      <c r="O56" s="1325" t="s">
        <v>403</v>
      </c>
      <c r="P56" s="1326" t="s">
        <v>817</v>
      </c>
      <c r="Q56" s="1327">
        <f ca="1">C40+J29</f>
        <v>237669</v>
      </c>
      <c r="R56" s="1327" t="s">
        <v>818</v>
      </c>
    </row>
    <row r="57" spans="1:18" s="1292" customFormat="1" ht="24.75" thickBot="1">
      <c r="A57" s="1356"/>
      <c r="B57" s="896" t="s">
        <v>767</v>
      </c>
      <c r="C57" s="230">
        <f ca="1">C29</f>
        <v>76937</v>
      </c>
      <c r="D57" s="1357"/>
      <c r="E57" s="1358"/>
      <c r="F57" s="1359"/>
      <c r="I57" s="1360" t="s">
        <v>844</v>
      </c>
      <c r="J57" s="1361">
        <f ca="1">IF(OR(M47="住宅",J51&lt;L48,J56="是"),"——",J51-L48)</f>
        <v>27.19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223</v>
      </c>
      <c r="D58" s="906" t="s">
        <v>715</v>
      </c>
      <c r="E58" s="907"/>
      <c r="F58" s="908"/>
      <c r="I58" s="1360" t="s">
        <v>848</v>
      </c>
      <c r="J58" s="1362">
        <f ca="1">IF(J55&lt;0.4,0.4,J55)</f>
        <v>0.45300000000000001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34852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8942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f ca="1">Q56+Q57</f>
        <v>237669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153.87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69.239999999999995</v>
      </c>
      <c r="D65" s="910" t="s">
        <v>743</v>
      </c>
      <c r="E65" s="896" t="s">
        <v>744</v>
      </c>
      <c r="F65" s="321">
        <f t="shared" ca="1" si="0"/>
        <v>1E-3</v>
      </c>
      <c r="I65" s="1367" t="s">
        <v>867</v>
      </c>
      <c r="J65" s="610">
        <v>40</v>
      </c>
      <c r="K65" s="610">
        <v>30</v>
      </c>
      <c r="L65" s="610">
        <v>50</v>
      </c>
      <c r="M65" s="1369">
        <v>0.02</v>
      </c>
      <c r="O65" s="1325" t="s">
        <v>403</v>
      </c>
      <c r="P65" s="1326" t="s">
        <v>868</v>
      </c>
      <c r="Q65" s="1327">
        <f ca="1">C40+J29</f>
        <v>237669</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-223</v>
      </c>
      <c r="D67" s="909" t="s">
        <v>753</v>
      </c>
      <c r="E67" s="914"/>
      <c r="F67" s="915"/>
      <c r="O67" s="1334" t="s">
        <v>405</v>
      </c>
      <c r="P67" s="1326" t="s">
        <v>850</v>
      </c>
      <c r="Q67" s="1370">
        <f ca="1">L51</f>
        <v>229884</v>
      </c>
      <c r="R67" s="1327" t="s">
        <v>870</v>
      </c>
    </row>
    <row r="68" spans="1:18" s="1292" customFormat="1" ht="16.5" thickBot="1">
      <c r="A68" s="893" t="s">
        <v>395</v>
      </c>
      <c r="B68" s="894" t="s">
        <v>774</v>
      </c>
      <c r="C68" s="293">
        <f ca="1">ROUND(C67*(1-((1+F70)/(1+F68))^F69)/(F68-F70),0)</f>
        <v>-2574</v>
      </c>
      <c r="D68" s="911" t="s">
        <v>758</v>
      </c>
      <c r="E68" s="896" t="s">
        <v>759</v>
      </c>
      <c r="F68" s="304">
        <f ca="1">F40</f>
        <v>5.5E-2</v>
      </c>
      <c r="O68" s="1334" t="s">
        <v>406</v>
      </c>
      <c r="P68" s="1371" t="s">
        <v>871</v>
      </c>
      <c r="Q68" s="1327">
        <f ca="1">ROUND(Q69-Q70*Q71,0)</f>
        <v>12857</v>
      </c>
      <c r="R68" s="1327" t="s">
        <v>414</v>
      </c>
    </row>
    <row r="69" spans="1:18" s="1292" customFormat="1" ht="13.5" thickBot="1">
      <c r="A69" s="897"/>
      <c r="B69" s="898"/>
      <c r="C69" s="298"/>
      <c r="D69" s="916" t="s">
        <v>762</v>
      </c>
      <c r="E69" s="896" t="s">
        <v>763</v>
      </c>
      <c r="F69" s="324">
        <f ca="1">F41</f>
        <v>18.809999999999999</v>
      </c>
      <c r="O69" s="1334" t="s">
        <v>411</v>
      </c>
      <c r="P69" s="1371" t="s">
        <v>872</v>
      </c>
      <c r="Q69" s="1327">
        <f ca="1">C39</f>
        <v>17704</v>
      </c>
      <c r="R69" s="1327" t="s">
        <v>818</v>
      </c>
    </row>
    <row r="70" spans="1:18" s="1292" customFormat="1" ht="13.5" thickBot="1">
      <c r="A70" s="900"/>
      <c r="B70" s="901"/>
      <c r="C70" s="302"/>
      <c r="D70" s="912"/>
      <c r="E70" s="896" t="s">
        <v>766</v>
      </c>
      <c r="F70" s="991"/>
      <c r="O70" s="1334" t="s">
        <v>412</v>
      </c>
      <c r="P70" s="1371" t="s">
        <v>873</v>
      </c>
      <c r="Q70" s="1327">
        <f ca="1">C13</f>
        <v>69243</v>
      </c>
      <c r="R70" s="1327" t="s">
        <v>818</v>
      </c>
    </row>
    <row r="71" spans="1:18" s="1292" customFormat="1" ht="13.5" thickBot="1">
      <c r="A71" s="917" t="s">
        <v>396</v>
      </c>
      <c r="B71" s="918" t="s">
        <v>776</v>
      </c>
      <c r="C71" s="327">
        <f ca="1">ROUND(C68*10000/F71,0)</f>
        <v>-408</v>
      </c>
      <c r="D71" s="919" t="s">
        <v>777</v>
      </c>
      <c r="E71" s="920" t="s">
        <v>778</v>
      </c>
      <c r="F71" s="330">
        <f ca="1">F43</f>
        <v>63105.500000000007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4847</v>
      </c>
      <c r="D75" s="1292"/>
      <c r="E75" s="1292"/>
      <c r="F75" s="1292"/>
      <c r="K75" s="1309"/>
      <c r="L75" s="1292"/>
      <c r="O75" s="1325" t="s">
        <v>409</v>
      </c>
      <c r="P75" s="1326" t="s">
        <v>838</v>
      </c>
      <c r="Q75" s="1327">
        <f ca="1">Q65+Q66</f>
        <v>237669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0.72599999999999998</v>
      </c>
    </row>
    <row r="80" spans="1:18">
      <c r="B80" s="331" t="s">
        <v>800</v>
      </c>
      <c r="C80" s="266">
        <f ca="1">ROUND(C75/C39,3)</f>
        <v>0.27400000000000002</v>
      </c>
    </row>
    <row r="81" spans="2:3">
      <c r="B81" s="262" t="s">
        <v>801</v>
      </c>
      <c r="C81" s="230"/>
    </row>
    <row r="82" spans="2:3">
      <c r="B82" s="265" t="s">
        <v>802</v>
      </c>
      <c r="C82" s="267">
        <f ca="1">1-C83</f>
        <v>0.70900000000000007</v>
      </c>
    </row>
    <row r="83" spans="2:3">
      <c r="B83" s="265" t="s">
        <v>803</v>
      </c>
      <c r="C83" s="266">
        <f ca="1">ROUND(C13/C40,3)</f>
        <v>0.29099999999999998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7" t="s">
        <v>694</v>
      </c>
      <c r="C6" s="1011">
        <f ca="1">ROUND(F6*F8*F7*(1-F9),0)</f>
        <v>0</v>
      </c>
      <c r="D6" s="147" t="s">
        <v>2106</v>
      </c>
      <c r="E6" s="294" t="s">
        <v>696</v>
      </c>
      <c r="F6" s="295">
        <f ca="1">INDIRECT("'数据-取费表'!u"&amp;$G$1)</f>
        <v>0</v>
      </c>
      <c r="G6" s="1292"/>
      <c r="H6" s="1006" t="s">
        <v>398</v>
      </c>
      <c r="I6" s="3407" t="s">
        <v>694</v>
      </c>
      <c r="J6" s="293">
        <f ca="1">ROUND(M6*M8*M7*(1-M9),0)</f>
        <v>0</v>
      </c>
      <c r="K6" s="1284" t="s">
        <v>2107</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0</v>
      </c>
      <c r="G7" s="1292"/>
      <c r="H7" s="296"/>
      <c r="I7" s="3408"/>
      <c r="J7" s="298"/>
      <c r="K7" s="299"/>
      <c r="L7" s="294" t="s">
        <v>697</v>
      </c>
      <c r="M7" s="295">
        <f ca="1">F7</f>
        <v>0</v>
      </c>
    </row>
    <row r="8" spans="1:37" ht="18" customHeight="1">
      <c r="A8" s="296"/>
      <c r="B8" s="3408"/>
      <c r="C8" s="298"/>
      <c r="D8" s="299"/>
      <c r="E8" s="294" t="s">
        <v>698</v>
      </c>
      <c r="F8" s="295">
        <f ca="1">INDIRECT("'数据-取费表'!ai"&amp;$G$1)</f>
        <v>0</v>
      </c>
      <c r="G8" s="1292"/>
      <c r="H8" s="296"/>
      <c r="I8" s="3408"/>
      <c r="J8" s="298"/>
      <c r="K8" s="299"/>
      <c r="L8" s="294" t="s">
        <v>698</v>
      </c>
      <c r="M8" s="295">
        <f ca="1">INDIRECT("'数据-取费表'!ai"&amp;$G$1)</f>
        <v>0</v>
      </c>
    </row>
    <row r="9" spans="1:37" ht="18" customHeight="1">
      <c r="A9" s="296"/>
      <c r="B9" s="3409"/>
      <c r="C9" s="298"/>
      <c r="D9" s="299"/>
      <c r="E9" s="294" t="s">
        <v>699</v>
      </c>
      <c r="F9" s="304">
        <f ca="1">INDIRECT("'数据-取费表'!w"&amp;$G$1)</f>
        <v>0</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3340</v>
      </c>
      <c r="B45" s="1307"/>
      <c r="C45" s="1376" t="e">
        <f ca="1">ROUND((C68-C40)/10000,4)</f>
        <v>#DIV/0!</v>
      </c>
      <c r="D45" s="3131" t="s">
        <v>3341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05" t="s">
        <v>837</v>
      </c>
      <c r="L53" s="340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估价对象为北京市房地产，为所有。根据《国有土地使用证》[]，估价对象（分摊）出让国有建设用地使用权面积为0平方米，建筑面积为99989.78平方米。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估价对象为北京市房地产,属开发建设的，该项目尚在开发建设中。根据《国有土地使用证》[]，估价对象（分摊）出让国有建设用地使用权面积为0平方米，规划建筑面积为99989.78平方米。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2025年11月12日（评估专业人员实地查勘之日）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C0CD9-B21D-4797-ADF7-49EAD14C77DD}">
  <sheetPr>
    <tabColor rgb="FF92D050"/>
  </sheetPr>
  <dimension ref="A1:AK83"/>
  <sheetViews>
    <sheetView view="pageBreakPreview" zoomScale="70" zoomScaleNormal="70" zoomScaleSheetLayoutView="70" workbookViewId="0">
      <selection activeCell="D11" sqref="D1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3321</v>
      </c>
      <c r="D1" s="1271" t="s">
        <v>43</v>
      </c>
      <c r="E1" s="1272" t="s">
        <v>678</v>
      </c>
      <c r="F1" s="999">
        <f ca="1">J53</f>
        <v>28.81</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12153</v>
      </c>
      <c r="C2" s="1289" t="s">
        <v>805</v>
      </c>
      <c r="D2" s="1289"/>
      <c r="E2" s="1295"/>
      <c r="F2" s="1296"/>
      <c r="G2" s="2479"/>
      <c r="H2" s="2469"/>
      <c r="I2" s="2469"/>
      <c r="J2" s="2469"/>
      <c r="K2" s="2470"/>
      <c r="L2" s="2469"/>
      <c r="M2" s="2469"/>
    </row>
    <row r="3" spans="1:37" ht="18" customHeight="1" thickBot="1">
      <c r="A3" s="1297" t="s">
        <v>806</v>
      </c>
      <c r="B3" s="1298">
        <f ca="1">IF(ISERROR(B2*10000/F43),0,ROUND(B2*10000/F43,0))</f>
        <v>3377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833</v>
      </c>
      <c r="D5" s="1273" t="s">
        <v>693</v>
      </c>
      <c r="E5" s="1008"/>
      <c r="F5" s="1009"/>
      <c r="G5" s="1292"/>
      <c r="H5" s="291">
        <v>1</v>
      </c>
      <c r="I5" s="292" t="s">
        <v>692</v>
      </c>
      <c r="J5" s="1007">
        <f ca="1">J6+J10+J12</f>
        <v>0</v>
      </c>
      <c r="K5" s="1273" t="s">
        <v>693</v>
      </c>
      <c r="L5" s="1008"/>
      <c r="M5" s="1009"/>
    </row>
    <row r="6" spans="1:37" ht="18" customHeight="1">
      <c r="A6" s="1006" t="s">
        <v>398</v>
      </c>
      <c r="B6" s="3407" t="s">
        <v>694</v>
      </c>
      <c r="C6" s="1011">
        <f ca="1">ROUND(F6*F8*F7*(1-F9)/10000,0)</f>
        <v>832</v>
      </c>
      <c r="D6" s="147" t="s">
        <v>2109</v>
      </c>
      <c r="E6" s="294" t="s">
        <v>696</v>
      </c>
      <c r="F6" s="295">
        <f ca="1">INDIRECT("'数据-取费表'!u"&amp;$G$1)</f>
        <v>1100</v>
      </c>
      <c r="G6" s="1292"/>
      <c r="H6" s="1006" t="s">
        <v>398</v>
      </c>
      <c r="I6" s="3407" t="s">
        <v>694</v>
      </c>
      <c r="J6" s="293">
        <f ca="1">ROUND(M6*M8*M7*(1-M9)/10000,0)</f>
        <v>0</v>
      </c>
      <c r="K6" s="147" t="s">
        <v>2108</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700</v>
      </c>
      <c r="G7" s="1292"/>
      <c r="H7" s="296"/>
      <c r="I7" s="3408"/>
      <c r="J7" s="298"/>
      <c r="K7" s="299"/>
      <c r="L7" s="294" t="s">
        <v>697</v>
      </c>
      <c r="M7" s="295">
        <f ca="1">F7</f>
        <v>700</v>
      </c>
    </row>
    <row r="8" spans="1:37" ht="18" customHeight="1">
      <c r="A8" s="296"/>
      <c r="B8" s="3408"/>
      <c r="C8" s="298"/>
      <c r="D8" s="299"/>
      <c r="E8" s="294" t="s">
        <v>698</v>
      </c>
      <c r="F8" s="295">
        <f ca="1">INDIRECT("'数据-取费表'!ai"&amp;$G$1)</f>
        <v>12</v>
      </c>
      <c r="G8" s="1292"/>
      <c r="H8" s="296"/>
      <c r="I8" s="3408"/>
      <c r="J8" s="298"/>
      <c r="K8" s="299"/>
      <c r="L8" s="294" t="s">
        <v>698</v>
      </c>
      <c r="M8" s="295">
        <f ca="1">INDIRECT("'数据-取费表'!ai"&amp;$G$1)</f>
        <v>12</v>
      </c>
    </row>
    <row r="9" spans="1:37" ht="18" customHeight="1">
      <c r="A9" s="296"/>
      <c r="B9" s="3409"/>
      <c r="C9" s="298"/>
      <c r="D9" s="299"/>
      <c r="E9" s="294" t="s">
        <v>699</v>
      </c>
      <c r="F9" s="304">
        <f ca="1">INDIRECT("'数据-取费表'!w"&amp;$G$1)</f>
        <v>0.1</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3427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27458</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21790</v>
      </c>
      <c r="D14" s="1257" t="s">
        <v>708</v>
      </c>
      <c r="E14" s="1255"/>
      <c r="F14" s="311"/>
      <c r="G14" s="1292"/>
      <c r="H14" s="928" t="s">
        <v>398</v>
      </c>
      <c r="I14" s="294" t="s">
        <v>709</v>
      </c>
      <c r="J14" s="21">
        <f ca="1">C29</f>
        <v>30509</v>
      </c>
      <c r="K14" s="12"/>
      <c r="L14" s="759"/>
      <c r="M14" s="760"/>
    </row>
    <row r="15" spans="1:37" s="1304" customFormat="1" ht="18" customHeight="1" thickBot="1">
      <c r="A15" s="928" t="s">
        <v>399</v>
      </c>
      <c r="B15" s="294" t="s">
        <v>710</v>
      </c>
      <c r="C15" s="21">
        <f ca="1">ROUND(C14*F15,0)</f>
        <v>1090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61</v>
      </c>
      <c r="K16" s="1024" t="s">
        <v>715</v>
      </c>
      <c r="L16" s="1025"/>
      <c r="M16" s="1009"/>
    </row>
    <row r="17" spans="1:37" s="1304" customFormat="1" ht="18" customHeight="1">
      <c r="A17" s="928" t="s">
        <v>681</v>
      </c>
      <c r="B17" s="294" t="s">
        <v>716</v>
      </c>
      <c r="C17" s="21">
        <f ca="1">ROUND(F17*(F43+INDIRECT("'数据-取费表'!S"&amp;$G$1))/10000,0)</f>
        <v>726</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436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24042</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481</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61.02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1206</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3.2500000000000001E-2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-61</v>
      </c>
      <c r="K25" s="1032" t="s">
        <v>753</v>
      </c>
      <c r="L25" s="1033"/>
      <c r="M25" s="1034"/>
    </row>
    <row r="26" spans="1:37">
      <c r="A26" s="928" t="s">
        <v>397</v>
      </c>
      <c r="B26" s="294" t="s">
        <v>754</v>
      </c>
      <c r="C26" s="21">
        <f ca="1">ROUND((C19+C20)*F26,0)</f>
        <v>2452</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30509</v>
      </c>
      <c r="D29" s="1029"/>
      <c r="E29" s="1027"/>
      <c r="F29" s="1030"/>
      <c r="G29" s="1303"/>
      <c r="H29" s="325" t="s">
        <v>396</v>
      </c>
      <c r="I29" s="326" t="s">
        <v>768</v>
      </c>
      <c r="J29" s="327">
        <f ca="1">ROUND(J26/(1+F40)^F41,0)</f>
        <v>0</v>
      </c>
      <c r="K29" s="328" t="s">
        <v>769</v>
      </c>
      <c r="L29" s="329"/>
      <c r="M29" s="330">
        <f ca="1">INDIRECT("'数据-取费表'!k"&amp;$G$1)</f>
        <v>35992.839999999997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139.46</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44.37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95.09</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61.02</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27.46</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8.33</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597</v>
      </c>
      <c r="D39" s="1032" t="s">
        <v>753</v>
      </c>
      <c r="E39" s="1033"/>
      <c r="F39" s="1034"/>
      <c r="G39" s="1292"/>
      <c r="H39" s="2474"/>
      <c r="I39" s="1305"/>
      <c r="J39" s="1306"/>
      <c r="K39" s="2472"/>
      <c r="L39" s="2474"/>
      <c r="M39" s="2474"/>
    </row>
    <row r="40" spans="1:18" ht="18" customHeight="1">
      <c r="A40" s="291" t="s">
        <v>395</v>
      </c>
      <c r="B40" s="292" t="s">
        <v>774</v>
      </c>
      <c r="C40" s="293">
        <f ca="1">ROUND(C39*(1-((1+F42)/(1+F40))^F41)/(F40-F42),0)</f>
        <v>10634</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2954</v>
      </c>
      <c r="D43" s="328" t="s">
        <v>777</v>
      </c>
      <c r="E43" s="329" t="s">
        <v>778</v>
      </c>
      <c r="F43" s="330">
        <f ca="1">INDIRECT("'数据-取费表'!k"&amp;$G$1)</f>
        <v>35992.839999999997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-11962</v>
      </c>
      <c r="D46" s="1313" t="str">
        <f>C2</f>
        <v>万元</v>
      </c>
      <c r="E46" s="1307"/>
      <c r="F46" s="1307"/>
      <c r="I46" s="1314" t="s">
        <v>810</v>
      </c>
      <c r="J46" s="1315"/>
      <c r="K46" s="1316"/>
      <c r="L46" s="1317">
        <f ca="1">IF(M47="住宅",0,IF(L48&gt;J51,L60,J60))</f>
        <v>1519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10634</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28.81</v>
      </c>
      <c r="O48" s="1325" t="s">
        <v>404</v>
      </c>
      <c r="P48" s="1326" t="s">
        <v>821</v>
      </c>
      <c r="Q48" s="1327">
        <f ca="1">J60</f>
        <v>1519</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2011</v>
      </c>
      <c r="K49" s="1330" t="s">
        <v>824</v>
      </c>
      <c r="L49" s="1333"/>
      <c r="O49" s="1334" t="s">
        <v>405</v>
      </c>
      <c r="P49" s="1326" t="s">
        <v>825</v>
      </c>
      <c r="Q49" s="1327">
        <f ca="1">C29</f>
        <v>30509</v>
      </c>
      <c r="R49" s="1327" t="s">
        <v>818</v>
      </c>
    </row>
    <row r="50" spans="1:18" s="1292" customFormat="1" ht="13.5" thickBot="1">
      <c r="A50" s="922"/>
      <c r="B50" s="925"/>
      <c r="C50" s="1055"/>
      <c r="D50" s="899"/>
      <c r="E50" s="993" t="s">
        <v>697</v>
      </c>
      <c r="F50" s="994">
        <f ca="1">F7</f>
        <v>700</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-25558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28.81</v>
      </c>
      <c r="K53" s="3405" t="s">
        <v>837</v>
      </c>
      <c r="L53" s="3406"/>
      <c r="O53" s="1325" t="s">
        <v>409</v>
      </c>
      <c r="P53" s="1326" t="s">
        <v>838</v>
      </c>
      <c r="Q53" s="1327">
        <f ca="1">Q47+Q48</f>
        <v>12153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0.28699999999999998</v>
      </c>
      <c r="K55" s="1350" t="s">
        <v>841</v>
      </c>
      <c r="L55" s="1351"/>
      <c r="O55" s="1318" t="s">
        <v>811</v>
      </c>
      <c r="P55" s="1319" t="s">
        <v>812</v>
      </c>
      <c r="Q55" s="1320" t="s">
        <v>813</v>
      </c>
      <c r="R55" s="1320" t="s">
        <v>814</v>
      </c>
    </row>
    <row r="56" spans="1:18" s="1292" customFormat="1" ht="25.5" thickTop="1" thickBot="1">
      <c r="A56" s="903">
        <v>2</v>
      </c>
      <c r="B56" s="904" t="s">
        <v>704</v>
      </c>
      <c r="C56" s="224">
        <f ca="1">C13</f>
        <v>27458</v>
      </c>
      <c r="D56" s="1352"/>
      <c r="E56" s="1353"/>
      <c r="F56" s="1345"/>
      <c r="I56" s="1354" t="s">
        <v>842</v>
      </c>
      <c r="J56" s="1355" t="s">
        <v>3430</v>
      </c>
      <c r="K56" s="1328" t="s">
        <v>843</v>
      </c>
      <c r="L56" s="1331" t="str">
        <f ca="1">IF(L48&lt;J51,"——",L48-J53)</f>
        <v>——</v>
      </c>
      <c r="O56" s="1325" t="s">
        <v>403</v>
      </c>
      <c r="P56" s="1326" t="s">
        <v>817</v>
      </c>
      <c r="Q56" s="1327">
        <f ca="1">C40+J29</f>
        <v>10634</v>
      </c>
      <c r="R56" s="1327" t="s">
        <v>818</v>
      </c>
    </row>
    <row r="57" spans="1:18" s="1292" customFormat="1" ht="24.75" thickBot="1">
      <c r="A57" s="1356"/>
      <c r="B57" s="896" t="s">
        <v>767</v>
      </c>
      <c r="C57" s="230">
        <f ca="1">C29</f>
        <v>30509</v>
      </c>
      <c r="D57" s="1357"/>
      <c r="E57" s="1358"/>
      <c r="F57" s="1359"/>
      <c r="I57" s="1360" t="s">
        <v>844</v>
      </c>
      <c r="J57" s="1361">
        <f ca="1">IF(OR(M47="住宅",J51&lt;L48,J56="是"),"——",J51-L48)</f>
        <v>17.190000000000001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12204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1519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3324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18</v>
      </c>
      <c r="I62" s="1367" t="s">
        <v>858</v>
      </c>
      <c r="J62" s="610" t="s">
        <v>859</v>
      </c>
      <c r="K62" s="610" t="s">
        <v>860</v>
      </c>
      <c r="L62" s="610" t="s">
        <v>861</v>
      </c>
      <c r="M62" s="1368" t="s">
        <v>862</v>
      </c>
      <c r="O62" s="1325" t="s">
        <v>409</v>
      </c>
      <c r="P62" s="1326" t="s">
        <v>838</v>
      </c>
      <c r="Q62" s="1327">
        <f ca="1">Q56+Q57</f>
        <v>10634</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61.02</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27.46</v>
      </c>
      <c r="D65" s="910" t="s">
        <v>743</v>
      </c>
      <c r="E65" s="896" t="s">
        <v>712</v>
      </c>
      <c r="F65" s="321">
        <f t="shared" ca="1" si="0"/>
        <v>1E-3</v>
      </c>
      <c r="I65" s="1367" t="s">
        <v>867</v>
      </c>
      <c r="J65" s="610">
        <v>40</v>
      </c>
      <c r="K65" s="610">
        <v>30</v>
      </c>
      <c r="L65" s="610">
        <v>50</v>
      </c>
      <c r="M65" s="1369">
        <v>0.02</v>
      </c>
      <c r="O65" s="1325" t="s">
        <v>403</v>
      </c>
      <c r="P65" s="1326" t="s">
        <v>817</v>
      </c>
      <c r="Q65" s="1327">
        <f ca="1">C40+J29</f>
        <v>10634</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-88</v>
      </c>
      <c r="D67" s="909" t="s">
        <v>753</v>
      </c>
      <c r="E67" s="914"/>
      <c r="F67" s="915"/>
      <c r="O67" s="1334" t="s">
        <v>405</v>
      </c>
      <c r="P67" s="1326" t="s">
        <v>850</v>
      </c>
      <c r="Q67" s="1370">
        <f ca="1">L51</f>
        <v>-25558</v>
      </c>
      <c r="R67" s="1327" t="s">
        <v>870</v>
      </c>
    </row>
    <row r="68" spans="1:18" s="1292" customFormat="1" ht="16.5" thickBot="1">
      <c r="A68" s="893" t="s">
        <v>395</v>
      </c>
      <c r="B68" s="894" t="s">
        <v>774</v>
      </c>
      <c r="C68" s="293">
        <f ca="1">ROUND(C67*(1-((1+F70)/(1+F68))^F69)/(F68-F70),0)</f>
        <v>-1328</v>
      </c>
      <c r="D68" s="911" t="s">
        <v>758</v>
      </c>
      <c r="E68" s="896" t="s">
        <v>759</v>
      </c>
      <c r="F68" s="304">
        <f ca="1">F40</f>
        <v>0.05</v>
      </c>
      <c r="O68" s="1334" t="s">
        <v>406</v>
      </c>
      <c r="P68" s="1371" t="s">
        <v>871</v>
      </c>
      <c r="Q68" s="1327">
        <f ca="1">ROUND(Q69-Q70*Q71,0)</f>
        <v>-1325</v>
      </c>
      <c r="R68" s="1327" t="s">
        <v>414</v>
      </c>
    </row>
    <row r="69" spans="1:18" s="1292" customFormat="1" ht="13.5" thickBot="1">
      <c r="A69" s="897"/>
      <c r="B69" s="898"/>
      <c r="C69" s="298"/>
      <c r="D69" s="916" t="s">
        <v>762</v>
      </c>
      <c r="E69" s="896" t="s">
        <v>763</v>
      </c>
      <c r="F69" s="324">
        <f ca="1">F41</f>
        <v>28.81</v>
      </c>
      <c r="O69" s="1334" t="s">
        <v>411</v>
      </c>
      <c r="P69" s="1371" t="s">
        <v>872</v>
      </c>
      <c r="Q69" s="1327">
        <f ca="1">C39</f>
        <v>597</v>
      </c>
      <c r="R69" s="1327" t="s">
        <v>818</v>
      </c>
    </row>
    <row r="70" spans="1:18" s="1292" customFormat="1" ht="13.5" thickBot="1">
      <c r="A70" s="900"/>
      <c r="B70" s="901"/>
      <c r="C70" s="302"/>
      <c r="D70" s="912"/>
      <c r="E70" s="896" t="s">
        <v>766</v>
      </c>
      <c r="F70" s="991"/>
      <c r="O70" s="1334" t="s">
        <v>412</v>
      </c>
      <c r="P70" s="1371" t="s">
        <v>873</v>
      </c>
      <c r="Q70" s="1327">
        <f ca="1">C13</f>
        <v>27458</v>
      </c>
      <c r="R70" s="1327" t="s">
        <v>818</v>
      </c>
    </row>
    <row r="71" spans="1:18" s="1292" customFormat="1" ht="13.5" thickBot="1">
      <c r="A71" s="917" t="s">
        <v>396</v>
      </c>
      <c r="B71" s="918" t="s">
        <v>776</v>
      </c>
      <c r="C71" s="327">
        <f ca="1">ROUND(C68*10000/F71,0)</f>
        <v>-369</v>
      </c>
      <c r="D71" s="919" t="s">
        <v>777</v>
      </c>
      <c r="E71" s="920" t="s">
        <v>778</v>
      </c>
      <c r="F71" s="330">
        <f ca="1">F43</f>
        <v>35992.839999999997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1922</v>
      </c>
      <c r="D75" s="1292"/>
      <c r="E75" s="1292"/>
      <c r="F75" s="1292"/>
      <c r="K75" s="1309"/>
      <c r="L75" s="1292"/>
      <c r="O75" s="1325" t="s">
        <v>409</v>
      </c>
      <c r="P75" s="1326" t="s">
        <v>838</v>
      </c>
      <c r="Q75" s="1327">
        <f ca="1">Q65+Q66</f>
        <v>10634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-2.2189999999999999</v>
      </c>
    </row>
    <row r="80" spans="1:18">
      <c r="B80" s="331" t="s">
        <v>800</v>
      </c>
      <c r="C80" s="266">
        <f ca="1">ROUND(C75/C39,3)</f>
        <v>3.2189999999999999</v>
      </c>
    </row>
    <row r="81" spans="2:3">
      <c r="B81" s="262" t="s">
        <v>801</v>
      </c>
      <c r="C81" s="230"/>
    </row>
    <row r="82" spans="2:3">
      <c r="B82" s="265" t="s">
        <v>802</v>
      </c>
      <c r="C82" s="267">
        <f ca="1">1-C83</f>
        <v>-1.5819999999999999</v>
      </c>
    </row>
    <row r="83" spans="2:3">
      <c r="B83" s="265" t="s">
        <v>803</v>
      </c>
      <c r="C83" s="266">
        <f ca="1">ROUND(C13/C40,3)</f>
        <v>2.5819999999999999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xr:uid="{35E9604C-D81F-449B-8F57-9AB1C574DBF2}">
      <formula1>"在建（套用方法）,土地（套用方法）,——"</formula1>
    </dataValidation>
    <dataValidation type="list" allowBlank="1" showInputMessage="1" showErrorMessage="1" sqref="M10 F10 F53" xr:uid="{80FBAA31-B2A1-4C1F-9830-3986B891A3C2}">
      <formula1>"押一,押二,押三,自定义"</formula1>
    </dataValidation>
    <dataValidation type="list" allowBlank="1" showInputMessage="1" showErrorMessage="1" sqref="L55" xr:uid="{63E36A1A-BEB6-476A-8584-0FD126C36FFD}">
      <formula1>"比较法,基准地价,收益还原"</formula1>
    </dataValidation>
    <dataValidation type="list" allowBlank="1" showInputMessage="1" showErrorMessage="1" sqref="J56" xr:uid="{B68365D0-7AC2-4149-A255-8EC33360CD30}">
      <formula1>估价范围判定</formula1>
    </dataValidation>
    <dataValidation type="list" allowBlank="1" showInputMessage="1" showErrorMessage="1" sqref="J48" xr:uid="{065ED081-0F30-4D0B-B6B7-838FDDEB4B3B}">
      <formula1>"非生产用房,生产用房,受腐蚀的生产用房"</formula1>
    </dataValidation>
    <dataValidation type="list" allowBlank="1" showInputMessage="1" showErrorMessage="1" sqref="J47" xr:uid="{D0803809-FB93-4BF8-8CDA-82428C4D73E7}">
      <formula1>"钢,钢混,砖混"</formula1>
    </dataValidation>
    <dataValidation type="list" allowBlank="1" showInputMessage="1" showErrorMessage="1" sqref="C1" xr:uid="{C000042A-EA11-4E5E-8443-2E9C44BB413B}">
      <formula1>项目类型</formula1>
    </dataValidation>
    <dataValidation type="list" allowBlank="1" showInputMessage="1" showErrorMessage="1" sqref="D33 D61" xr:uid="{D30A9E82-14E5-4438-B1DB-3258D0A8428E}">
      <formula1>"按租金收入计税,按房产原值计税,按票据"</formula1>
    </dataValidation>
    <dataValidation type="list" allowBlank="1" showInputMessage="1" showErrorMessage="1" sqref="K19" xr:uid="{EF005258-3DFE-420A-82BD-2EC50EFA29A4}">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D6" sqref="D6"/>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2425</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f ca="1">IF(D2="——",C40,C40+E2)</f>
        <v>378560</v>
      </c>
      <c r="C2" s="2596" t="s">
        <v>2307</v>
      </c>
      <c r="D2" s="3139" t="s">
        <v>3347</v>
      </c>
      <c r="E2" s="3140">
        <f ca="1">收益法!L46+收益法车库!L46</f>
        <v>10461</v>
      </c>
      <c r="F2" s="2598"/>
      <c r="G2" s="2599"/>
      <c r="H2" s="2600"/>
      <c r="I2" s="2601"/>
      <c r="J2" s="3416" t="s">
        <v>2308</v>
      </c>
      <c r="K2" s="3417"/>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f ca="1">ROUND(B2*10000/B4,0)</f>
        <v>37860</v>
      </c>
      <c r="C3" s="2596" t="s">
        <v>2317</v>
      </c>
      <c r="D3" s="2596"/>
      <c r="E3" s="2597"/>
      <c r="F3" s="2598"/>
      <c r="G3" s="2599"/>
      <c r="H3" s="2600"/>
      <c r="I3" s="2601"/>
      <c r="J3" s="3418" t="s">
        <v>2318</v>
      </c>
      <c r="K3" s="3419"/>
      <c r="L3" s="2608"/>
      <c r="M3" s="2608"/>
      <c r="N3" s="2608"/>
      <c r="O3" s="2608"/>
      <c r="P3" s="2608"/>
      <c r="Q3" s="2609"/>
      <c r="R3" s="2610">
        <f>SUM(L3:Q3)</f>
        <v>0</v>
      </c>
      <c r="S3" s="2593"/>
      <c r="T3" s="2593"/>
      <c r="U3" s="2593"/>
      <c r="V3" s="2601"/>
    </row>
    <row r="4" spans="1:22" s="2605" customFormat="1" ht="13.15" customHeight="1">
      <c r="A4" s="2611" t="s">
        <v>2319</v>
      </c>
      <c r="B4" s="2612">
        <f>'数据-汇总表'!E3</f>
        <v>99989.78</v>
      </c>
      <c r="C4" s="2596"/>
      <c r="D4" s="2596"/>
      <c r="E4" s="2597"/>
      <c r="F4" s="2598"/>
      <c r="G4" s="2599"/>
      <c r="H4" s="2600"/>
      <c r="I4" s="2601"/>
      <c r="J4" s="3418" t="s">
        <v>2320</v>
      </c>
      <c r="K4" s="3419"/>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24" t="s">
        <v>2324</v>
      </c>
      <c r="B6" s="3425"/>
      <c r="C6" s="3426"/>
      <c r="D6" s="2622">
        <v>30000</v>
      </c>
      <c r="E6" s="2623"/>
      <c r="F6" s="2624"/>
      <c r="G6" s="2625"/>
      <c r="H6" s="2600"/>
      <c r="I6" s="2601"/>
      <c r="J6" s="3410">
        <v>1</v>
      </c>
      <c r="K6" s="3411"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 ca="1">SUM(D9,D10,D11,D17,0)</f>
        <v>6796</v>
      </c>
      <c r="E7" s="2632">
        <f ca="1">E9+E10+E11+E17</f>
        <v>0.22653333333333331</v>
      </c>
      <c r="F7" s="2633"/>
      <c r="G7" s="2634"/>
      <c r="H7" s="2600"/>
      <c r="I7" s="2601"/>
      <c r="J7" s="3410"/>
      <c r="K7" s="3412"/>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27" t="s">
        <v>2338</v>
      </c>
      <c r="C8" s="3428"/>
      <c r="D8" s="2641" t="s">
        <v>2339</v>
      </c>
      <c r="E8" s="2642" t="s">
        <v>2340</v>
      </c>
      <c r="F8" s="2643" t="s">
        <v>2341</v>
      </c>
      <c r="G8" s="2644"/>
      <c r="H8" s="2600"/>
      <c r="I8" s="2601"/>
      <c r="J8" s="3410"/>
      <c r="K8" s="3412"/>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27" t="s">
        <v>2344</v>
      </c>
      <c r="C9" s="3428"/>
      <c r="D9" s="2641">
        <f>ROUND(D6*E9,0)</f>
        <v>1500</v>
      </c>
      <c r="E9" s="2645">
        <v>0.05</v>
      </c>
      <c r="F9" s="2646" t="s">
        <v>2345</v>
      </c>
      <c r="G9" s="2625"/>
      <c r="H9" s="2600"/>
      <c r="I9" s="2601"/>
      <c r="J9" s="3410"/>
      <c r="K9" s="3412"/>
      <c r="L9" s="2635" t="s">
        <v>2346</v>
      </c>
      <c r="M9" s="2636"/>
      <c r="N9" s="2612"/>
      <c r="O9" s="2637"/>
      <c r="P9" s="2637"/>
      <c r="Q9" s="2638">
        <v>365</v>
      </c>
      <c r="R9" s="2639">
        <f t="shared" si="0"/>
        <v>0</v>
      </c>
      <c r="S9" s="2593"/>
      <c r="T9" s="2593"/>
      <c r="U9" s="2593"/>
      <c r="V9" s="2601"/>
    </row>
    <row r="10" spans="1:22" s="2605" customFormat="1" ht="13.15" customHeight="1">
      <c r="A10" s="2640">
        <v>2</v>
      </c>
      <c r="B10" s="3427" t="s">
        <v>2347</v>
      </c>
      <c r="C10" s="3428"/>
      <c r="D10" s="2641">
        <f>ROUND(D6*E10,0)</f>
        <v>1500</v>
      </c>
      <c r="E10" s="2645">
        <v>0.05</v>
      </c>
      <c r="F10" s="2646" t="s">
        <v>2348</v>
      </c>
      <c r="G10" s="2625"/>
      <c r="H10" s="2600"/>
      <c r="I10" s="2601"/>
      <c r="J10" s="3410"/>
      <c r="K10" s="3412"/>
      <c r="L10" s="2635" t="s">
        <v>2349</v>
      </c>
      <c r="M10" s="2636"/>
      <c r="N10" s="2612"/>
      <c r="O10" s="2637"/>
      <c r="P10" s="2637"/>
      <c r="Q10" s="2638">
        <v>365</v>
      </c>
      <c r="R10" s="2639">
        <f t="shared" si="0"/>
        <v>0</v>
      </c>
      <c r="S10" s="2593"/>
      <c r="T10" s="2593"/>
      <c r="U10" s="2593"/>
      <c r="V10" s="2601"/>
    </row>
    <row r="11" spans="1:22" s="2605" customFormat="1" ht="13.15" customHeight="1">
      <c r="A11" s="2640">
        <v>3</v>
      </c>
      <c r="B11" s="3427" t="s">
        <v>2350</v>
      </c>
      <c r="C11" s="3428"/>
      <c r="D11" s="2641">
        <f ca="1">D12+D14+D15+D16</f>
        <v>2296</v>
      </c>
      <c r="E11" s="2647">
        <f ca="1">D11/D6</f>
        <v>7.6533333333333328E-2</v>
      </c>
      <c r="F11" s="2643"/>
      <c r="G11" s="2644"/>
      <c r="H11" s="2600"/>
      <c r="I11" s="2601"/>
      <c r="J11" s="3410"/>
      <c r="K11" s="3412"/>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20" t="s">
        <v>2353</v>
      </c>
      <c r="C12" s="3421"/>
      <c r="D12" s="2649">
        <f ca="1">ROUND(D13*1.2%*(1-30%),0)</f>
        <v>646</v>
      </c>
      <c r="E12" s="2650">
        <v>1.2E-2</v>
      </c>
      <c r="F12" s="2643" t="s">
        <v>2354</v>
      </c>
      <c r="G12" s="2644"/>
      <c r="H12" s="2600"/>
      <c r="I12" s="2601"/>
      <c r="J12" s="3410"/>
      <c r="K12" s="3412"/>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f ca="1">收益法!C29</f>
        <v>76937</v>
      </c>
      <c r="E13" s="2654"/>
      <c r="F13" s="2643"/>
      <c r="G13" s="2644"/>
      <c r="H13" s="2600"/>
      <c r="I13" s="2601"/>
      <c r="J13" s="3410"/>
      <c r="K13" s="3412"/>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20" t="s">
        <v>2359</v>
      </c>
      <c r="C14" s="3421"/>
      <c r="D14" s="2649">
        <f>ROUND(E14*B5/10000,0)</f>
        <v>0</v>
      </c>
      <c r="E14" s="2638">
        <f>收益法!F34</f>
        <v>18</v>
      </c>
      <c r="F14" s="2643" t="s">
        <v>2360</v>
      </c>
      <c r="G14" s="2644"/>
      <c r="H14" s="2600"/>
      <c r="I14" s="2601"/>
      <c r="J14" s="3410"/>
      <c r="K14" s="3413"/>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20" t="s">
        <v>2363</v>
      </c>
      <c r="C15" s="3421"/>
      <c r="D15" s="2649">
        <f>ROUND(D6*E15,0)</f>
        <v>1650</v>
      </c>
      <c r="E15" s="2650">
        <v>5.5E-2</v>
      </c>
      <c r="F15" s="2643" t="s">
        <v>2364</v>
      </c>
      <c r="G15" s="2625"/>
      <c r="H15" s="2600"/>
      <c r="I15" s="2601"/>
      <c r="J15" s="3410">
        <v>2</v>
      </c>
      <c r="K15" s="3411"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20" t="s">
        <v>2372</v>
      </c>
      <c r="C16" s="3421"/>
      <c r="D16" s="2660">
        <f>D6*E16</f>
        <v>0</v>
      </c>
      <c r="E16" s="2661"/>
      <c r="F16" s="2646" t="s">
        <v>2373</v>
      </c>
      <c r="G16" s="2625"/>
      <c r="H16" s="2600"/>
      <c r="I16" s="2601"/>
      <c r="J16" s="3410"/>
      <c r="K16" s="3412"/>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22" t="s">
        <v>2375</v>
      </c>
      <c r="C17" s="3423"/>
      <c r="D17" s="2663">
        <f>ROUND(D6*E17,0)</f>
        <v>1500</v>
      </c>
      <c r="E17" s="2664">
        <v>0.05</v>
      </c>
      <c r="F17" s="2665" t="s">
        <v>2376</v>
      </c>
      <c r="G17" s="2625"/>
      <c r="H17" s="2600"/>
      <c r="I17" s="2601"/>
      <c r="J17" s="3410"/>
      <c r="K17" s="3412"/>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1500</v>
      </c>
      <c r="E18" s="2667">
        <v>0.05</v>
      </c>
      <c r="F18" s="2668" t="s">
        <v>2379</v>
      </c>
      <c r="G18" s="2625"/>
      <c r="H18" s="2600"/>
      <c r="I18" s="2601"/>
      <c r="J18" s="3410"/>
      <c r="K18" s="3412"/>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10"/>
      <c r="K19" s="3413"/>
      <c r="L19" s="2655" t="s">
        <v>2361</v>
      </c>
      <c r="M19" s="2656"/>
      <c r="N19" s="2656">
        <f>SUM(N16:N18)</f>
        <v>0</v>
      </c>
      <c r="O19" s="2657"/>
      <c r="P19" s="2670" t="s">
        <v>2424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0">
        <v>3</v>
      </c>
      <c r="K20" s="3411"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10"/>
      <c r="K21" s="3412"/>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10"/>
      <c r="K22" s="3412"/>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30000</v>
      </c>
      <c r="D23" s="2684">
        <f>C23*(1+D24)</f>
        <v>30000</v>
      </c>
      <c r="E23" s="2685">
        <f>D23*(1+E24)</f>
        <v>30000</v>
      </c>
      <c r="F23" s="2686"/>
      <c r="G23" s="2687"/>
      <c r="H23" s="2600"/>
      <c r="I23" s="2601"/>
      <c r="J23" s="3410"/>
      <c r="K23" s="3412"/>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10"/>
      <c r="K24" s="3413"/>
      <c r="L24" s="2655" t="s">
        <v>2361</v>
      </c>
      <c r="M24" s="2656">
        <f>SUM(M21:M23)</f>
        <v>0</v>
      </c>
      <c r="N24" s="2656"/>
      <c r="O24" s="2657"/>
      <c r="P24" s="2670" t="s">
        <v>2424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 ca="1">D7</f>
        <v>6796</v>
      </c>
      <c r="D26" s="2684">
        <f>D23*D27</f>
        <v>0</v>
      </c>
      <c r="E26" s="2685">
        <f>E23*E27</f>
        <v>0</v>
      </c>
      <c r="F26" s="2686"/>
      <c r="G26" s="2687"/>
      <c r="H26" s="2600"/>
      <c r="I26" s="2601"/>
      <c r="J26" s="341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f ca="1">E7</f>
        <v>0.22653333333333331</v>
      </c>
      <c r="D27" s="2691"/>
      <c r="E27" s="2692"/>
      <c r="F27" s="2693"/>
      <c r="G27" s="2687"/>
      <c r="H27" s="2707"/>
      <c r="I27" s="2699"/>
      <c r="J27" s="341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c r="F28" s="2693"/>
      <c r="G28" s="2593"/>
      <c r="H28" s="2707"/>
      <c r="I28" s="2699"/>
      <c r="J28" s="2713">
        <v>6</v>
      </c>
      <c r="K28" s="2714" t="s">
        <v>2409</v>
      </c>
      <c r="L28" s="2715" t="s">
        <v>2410</v>
      </c>
      <c r="M28" s="2716"/>
      <c r="N28" s="2715" t="s">
        <v>2411</v>
      </c>
      <c r="O28" s="2717"/>
      <c r="P28" s="2715" t="s">
        <v>2412</v>
      </c>
      <c r="Q28" s="2718">
        <v>1.4999999999999999E-2</v>
      </c>
      <c r="R28" s="2719"/>
      <c r="S28" s="2593"/>
      <c r="T28" s="2593"/>
      <c r="U28" s="2593"/>
      <c r="V28" s="2699"/>
    </row>
    <row r="29" spans="1:22" s="2700" customFormat="1" ht="13.15" customHeight="1">
      <c r="A29" s="2681">
        <v>3</v>
      </c>
      <c r="B29" s="2682" t="s">
        <v>2413</v>
      </c>
      <c r="C29" s="2683">
        <f>C23*C30</f>
        <v>1500</v>
      </c>
      <c r="D29" s="2684">
        <f>D23*C30</f>
        <v>1500</v>
      </c>
      <c r="E29" s="2685">
        <f>E23*C30</f>
        <v>1500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2414</v>
      </c>
      <c r="K31" s="2591"/>
      <c r="L31" s="2591"/>
      <c r="M31" s="2591"/>
      <c r="N31" s="2591"/>
      <c r="O31" s="2591"/>
      <c r="P31" s="2591"/>
      <c r="Q31" s="2591"/>
      <c r="R31" s="2592"/>
      <c r="S31" s="2593"/>
      <c r="T31" s="2593"/>
      <c r="U31" s="2593"/>
      <c r="V31" s="2699"/>
    </row>
    <row r="32" spans="1:22" s="2700" customFormat="1" ht="13.15" customHeight="1">
      <c r="A32" s="2681">
        <v>4</v>
      </c>
      <c r="B32" s="2682" t="s">
        <v>2415</v>
      </c>
      <c r="C32" s="2683">
        <f ca="1">C23-C26-C29</f>
        <v>21704</v>
      </c>
      <c r="D32" s="2684">
        <f>D23-D26-D29</f>
        <v>28500</v>
      </c>
      <c r="E32" s="2685">
        <f>E23-E26-E29</f>
        <v>28500</v>
      </c>
      <c r="F32" s="2686"/>
      <c r="G32" s="2593"/>
      <c r="H32" s="2600"/>
      <c r="I32" s="2601"/>
      <c r="J32" s="3416" t="s">
        <v>2308</v>
      </c>
      <c r="K32" s="3417"/>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18" t="s">
        <v>2318</v>
      </c>
      <c r="K33" s="3419"/>
      <c r="L33" s="2608"/>
      <c r="M33" s="2608"/>
      <c r="N33" s="2608"/>
      <c r="O33" s="2608"/>
      <c r="P33" s="2608"/>
      <c r="Q33" s="2609"/>
      <c r="R33" s="2725">
        <f>SUM(L33:Q33)</f>
        <v>0</v>
      </c>
      <c r="S33" s="2593"/>
      <c r="T33" s="2593"/>
      <c r="U33" s="2593"/>
      <c r="V33" s="2601"/>
    </row>
    <row r="34" spans="1:23" s="2605" customFormat="1" ht="13.15" customHeight="1">
      <c r="A34" s="2681">
        <v>5</v>
      </c>
      <c r="B34" s="2682" t="s">
        <v>2416</v>
      </c>
      <c r="C34" s="2726">
        <v>5.5E-2</v>
      </c>
      <c r="D34" s="2727"/>
      <c r="E34" s="2728"/>
      <c r="F34" s="2686"/>
      <c r="G34" s="2593"/>
      <c r="H34" s="2707"/>
      <c r="I34" s="2699"/>
      <c r="J34" s="3418" t="s">
        <v>2320</v>
      </c>
      <c r="K34" s="341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2417</v>
      </c>
      <c r="C35" s="2730">
        <v>1.4999999999999999E-2</v>
      </c>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2418</v>
      </c>
      <c r="C36" s="2736">
        <f>[3]收益法!F41</f>
        <v>29.35</v>
      </c>
      <c r="D36" s="2737"/>
      <c r="E36" s="2738"/>
      <c r="F36" s="2739">
        <f>C36+D36+E36</f>
        <v>29.35</v>
      </c>
      <c r="G36" s="2593"/>
      <c r="H36" s="2600"/>
      <c r="I36" s="2601"/>
      <c r="J36" s="3410">
        <v>1</v>
      </c>
      <c r="K36" s="3411" t="s">
        <v>2419</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10"/>
      <c r="K37" s="3412"/>
      <c r="L37" s="2635"/>
      <c r="M37" s="2636"/>
      <c r="N37" s="2612"/>
      <c r="O37" s="2637"/>
      <c r="P37" s="2637"/>
      <c r="Q37" s="2638"/>
      <c r="R37" s="2639"/>
      <c r="S37" s="2593"/>
      <c r="T37" s="2593" t="s">
        <v>2336</v>
      </c>
      <c r="U37" s="2593"/>
      <c r="V37" s="2601"/>
    </row>
    <row r="38" spans="1:23" s="2605" customFormat="1" ht="13.15" customHeight="1">
      <c r="A38" s="2681">
        <v>8</v>
      </c>
      <c r="B38" s="2682"/>
      <c r="C38" s="2641">
        <f ca="1">ROUND(C32*(1-((1+C35)/(1+C34))^C36)/(C34-C35),0)</f>
        <v>368099</v>
      </c>
      <c r="D38" s="2641" t="e">
        <f>IF(D23=0,0,ROUND(D32*(1-((1+D35)/(1+D34))^D36)/(D34-D35),0))</f>
        <v>#DIV/0!</v>
      </c>
      <c r="E38" s="2641" t="e">
        <f>IF(E23=0,0,ROUND(E32*(1-((1+E35)/(1+E34))^E36)/(E34-E35),0))</f>
        <v>#DIV/0!</v>
      </c>
      <c r="F38" s="2686"/>
      <c r="G38" s="2593"/>
      <c r="H38" s="2600"/>
      <c r="I38" s="2601"/>
      <c r="J38" s="3410"/>
      <c r="K38" s="3412"/>
      <c r="L38" s="2635"/>
      <c r="M38" s="2636"/>
      <c r="N38" s="2612"/>
      <c r="O38" s="2637"/>
      <c r="P38" s="2637"/>
      <c r="Q38" s="2638"/>
      <c r="R38" s="2639"/>
      <c r="S38" s="2593"/>
      <c r="T38" s="2593" t="s">
        <v>2343</v>
      </c>
      <c r="U38" s="2593"/>
      <c r="V38" s="2601"/>
    </row>
    <row r="39" spans="1:23" s="2605" customFormat="1" ht="13.15" customHeight="1">
      <c r="A39" s="2681">
        <v>9</v>
      </c>
      <c r="B39" s="2682" t="s">
        <v>2420</v>
      </c>
      <c r="C39" s="2649">
        <f ca="1">C38</f>
        <v>368099</v>
      </c>
      <c r="D39" s="3170">
        <v>0</v>
      </c>
      <c r="E39" s="3170">
        <v>0</v>
      </c>
      <c r="F39" s="2686"/>
      <c r="G39" s="2601"/>
      <c r="H39" s="2600"/>
      <c r="I39" s="2601"/>
      <c r="J39" s="3410"/>
      <c r="K39" s="3412"/>
      <c r="L39" s="2635"/>
      <c r="M39" s="2636"/>
      <c r="N39" s="2612"/>
      <c r="O39" s="2637"/>
      <c r="P39" s="2637"/>
      <c r="Q39" s="2638"/>
      <c r="R39" s="2639"/>
      <c r="S39" s="2593"/>
      <c r="T39" s="2593"/>
      <c r="U39" s="2593"/>
      <c r="V39" s="2601"/>
    </row>
    <row r="40" spans="1:23" s="2605" customFormat="1" ht="13.15" customHeight="1">
      <c r="A40" s="2740">
        <v>10</v>
      </c>
      <c r="B40" s="2682" t="s">
        <v>2421</v>
      </c>
      <c r="C40" s="2741">
        <f ca="1">C39+D39+E39</f>
        <v>368099</v>
      </c>
      <c r="D40" s="2742"/>
      <c r="E40" s="2742"/>
      <c r="F40" s="2743"/>
      <c r="G40" s="2593"/>
      <c r="H40" s="2600"/>
      <c r="I40" s="2601"/>
      <c r="J40" s="3410"/>
      <c r="K40" s="3413"/>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2422</v>
      </c>
      <c r="C41" s="2745">
        <f ca="1">ROUND(C40*10000/B4,0)</f>
        <v>36814</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1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2409</v>
      </c>
      <c r="L44" s="2750" t="s">
        <v>2410</v>
      </c>
      <c r="M44" s="2716"/>
      <c r="N44" s="2750" t="s">
        <v>2411</v>
      </c>
      <c r="O44" s="2716"/>
      <c r="P44" s="2750" t="s">
        <v>2412</v>
      </c>
      <c r="Q44" s="2718">
        <v>1.4999999999999999E-2</v>
      </c>
      <c r="R44" s="2719"/>
    </row>
  </sheetData>
  <sheetProtection algorithmName="SHA-512" hashValue="JHbUNS2H/1yTPQEQ6Tb+Zih8AXdcTNiMB5ckBb3iP9V9fxFC63glPP8sHagQ5nKbjEzWAxicL4leTYM01oxNAA==" saltValue="/DCcTgAli3FNPQ5Uwzu/Ng==" spinCount="100000"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99989.78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47" t="s">
        <v>1667</v>
      </c>
      <c r="D4" s="3448"/>
      <c r="E4" s="3449" t="s">
        <v>1668</v>
      </c>
      <c r="F4" s="3450"/>
      <c r="G4" s="3447" t="s">
        <v>1669</v>
      </c>
      <c r="H4" s="3448"/>
      <c r="I4" s="3447" t="s">
        <v>1670</v>
      </c>
      <c r="J4" s="3448"/>
      <c r="K4" s="1744" t="s">
        <v>1671</v>
      </c>
      <c r="L4" s="2487"/>
      <c r="M4" s="2488"/>
      <c r="N4" s="2488"/>
      <c r="O4" s="2488"/>
      <c r="P4" s="3451" t="s">
        <v>1672</v>
      </c>
      <c r="Q4" s="3452"/>
      <c r="R4" s="3457" t="s">
        <v>1668</v>
      </c>
      <c r="S4" s="3458"/>
      <c r="T4" s="3457" t="s">
        <v>1669</v>
      </c>
      <c r="U4" s="3458"/>
      <c r="V4" s="3433" t="s">
        <v>1670</v>
      </c>
      <c r="W4" s="3433"/>
      <c r="X4" s="1265"/>
      <c r="Y4" s="3457" t="s">
        <v>1672</v>
      </c>
      <c r="Z4" s="3458"/>
      <c r="AA4" s="3444" t="s">
        <v>1668</v>
      </c>
      <c r="AB4" s="3444" t="s">
        <v>1669</v>
      </c>
      <c r="AC4" s="3444" t="s">
        <v>1670</v>
      </c>
    </row>
    <row r="5" spans="1:29" ht="15">
      <c r="A5" s="348"/>
      <c r="B5" s="349"/>
      <c r="C5" s="3465" t="s">
        <v>1673</v>
      </c>
      <c r="D5" s="3466"/>
      <c r="E5" s="3472" t="s">
        <v>1674</v>
      </c>
      <c r="F5" s="3473"/>
      <c r="G5" s="3465" t="s">
        <v>1675</v>
      </c>
      <c r="H5" s="3466"/>
      <c r="I5" s="3465" t="s">
        <v>1676</v>
      </c>
      <c r="J5" s="3466"/>
      <c r="K5" s="1745"/>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1745"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67" t="s">
        <v>1680</v>
      </c>
      <c r="Q7" s="3469"/>
      <c r="R7" s="664" t="s">
        <v>20</v>
      </c>
      <c r="S7" s="665">
        <f t="shared" ref="S7:S15" si="0">F7</f>
        <v>0</v>
      </c>
      <c r="T7" s="664" t="s">
        <v>20</v>
      </c>
      <c r="U7" s="665">
        <f t="shared" ref="U7:U15" si="1">H7</f>
        <v>0</v>
      </c>
      <c r="V7" s="664" t="s">
        <v>20</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67" t="s">
        <v>1683</v>
      </c>
      <c r="Q8" s="3468"/>
      <c r="R8" s="664" t="s">
        <v>20</v>
      </c>
      <c r="S8" s="665">
        <f t="shared" si="0"/>
        <v>100</v>
      </c>
      <c r="T8" s="664" t="s">
        <v>20</v>
      </c>
      <c r="U8" s="665">
        <f t="shared" si="1"/>
        <v>100</v>
      </c>
      <c r="V8" s="664" t="s">
        <v>20</v>
      </c>
      <c r="W8" s="665">
        <f t="shared" si="2"/>
        <v>100</v>
      </c>
      <c r="X8" s="666"/>
      <c r="Y8" s="3467" t="s">
        <v>1683</v>
      </c>
      <c r="Z8" s="346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3"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3"/>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43"/>
      <c r="Q11" s="530" t="str">
        <f t="shared" si="6"/>
        <v>容积率</v>
      </c>
      <c r="R11" s="664" t="s">
        <v>18</v>
      </c>
      <c r="S11" s="665" t="e">
        <f t="shared" si="0"/>
        <v>#N/A</v>
      </c>
      <c r="T11" s="664" t="s">
        <v>18</v>
      </c>
      <c r="U11" s="665" t="e">
        <f t="shared" si="1"/>
        <v>#N/A</v>
      </c>
      <c r="V11" s="664" t="s">
        <v>18</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3"/>
      <c r="Q12" s="530">
        <f t="shared" si="6"/>
        <v>111</v>
      </c>
      <c r="R12" s="664" t="s">
        <v>18</v>
      </c>
      <c r="S12" s="665">
        <f t="shared" si="0"/>
        <v>100</v>
      </c>
      <c r="T12" s="664" t="s">
        <v>18</v>
      </c>
      <c r="U12" s="665">
        <f t="shared" si="1"/>
        <v>100</v>
      </c>
      <c r="V12" s="664" t="s">
        <v>18</v>
      </c>
      <c r="W12" s="665">
        <f t="shared" si="2"/>
        <v>100</v>
      </c>
      <c r="X12" s="666"/>
      <c r="Y12" s="33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3"/>
      <c r="Q13" s="530">
        <f t="shared" si="6"/>
        <v>111</v>
      </c>
      <c r="R13" s="664" t="s">
        <v>18</v>
      </c>
      <c r="S13" s="665">
        <f t="shared" si="0"/>
        <v>100</v>
      </c>
      <c r="T13" s="664" t="s">
        <v>18</v>
      </c>
      <c r="U13" s="665">
        <f t="shared" si="1"/>
        <v>100</v>
      </c>
      <c r="V13" s="664" t="s">
        <v>18</v>
      </c>
      <c r="W13" s="665">
        <f t="shared" si="2"/>
        <v>100</v>
      </c>
      <c r="X13" s="666"/>
      <c r="Y13" s="330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3"/>
      <c r="Q14" s="530">
        <f t="shared" si="6"/>
        <v>111</v>
      </c>
      <c r="R14" s="664" t="s">
        <v>18</v>
      </c>
      <c r="S14" s="665">
        <f t="shared" si="0"/>
        <v>100</v>
      </c>
      <c r="T14" s="664" t="s">
        <v>18</v>
      </c>
      <c r="U14" s="665">
        <f t="shared" si="1"/>
        <v>100</v>
      </c>
      <c r="V14" s="664" t="s">
        <v>18</v>
      </c>
      <c r="W14" s="665">
        <f t="shared" si="2"/>
        <v>100</v>
      </c>
      <c r="X14" s="666"/>
      <c r="Y14" s="3307"/>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1" t="s">
        <v>1691</v>
      </c>
      <c r="Q15" s="1263" t="str">
        <f t="shared" si="6"/>
        <v>居住社区成熟度</v>
      </c>
      <c r="R15" s="667" t="s">
        <v>18</v>
      </c>
      <c r="S15" s="668">
        <f t="shared" si="0"/>
        <v>100</v>
      </c>
      <c r="T15" s="667" t="s">
        <v>18</v>
      </c>
      <c r="U15" s="668">
        <f t="shared" si="1"/>
        <v>100</v>
      </c>
      <c r="V15" s="667" t="s">
        <v>18</v>
      </c>
      <c r="W15" s="668">
        <f t="shared" si="2"/>
        <v>100</v>
      </c>
      <c r="X15" s="1265"/>
      <c r="Y15" s="343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2"/>
      <c r="Q16" s="1263"/>
      <c r="R16" s="667"/>
      <c r="S16" s="668"/>
      <c r="T16" s="667"/>
      <c r="U16" s="668"/>
      <c r="V16" s="667"/>
      <c r="W16" s="668"/>
      <c r="X16" s="1265"/>
      <c r="Y16" s="3435"/>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2"/>
      <c r="Q17" s="1263" t="str">
        <f>B17</f>
        <v>交通便捷度</v>
      </c>
      <c r="R17" s="667" t="s">
        <v>18</v>
      </c>
      <c r="S17" s="668">
        <f>F17</f>
        <v>100</v>
      </c>
      <c r="T17" s="667" t="s">
        <v>18</v>
      </c>
      <c r="U17" s="668">
        <f>H17</f>
        <v>100</v>
      </c>
      <c r="V17" s="667" t="s">
        <v>18</v>
      </c>
      <c r="W17" s="668">
        <f>J17</f>
        <v>100</v>
      </c>
      <c r="X17" s="1265"/>
      <c r="Y17" s="343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2"/>
      <c r="Q18" s="1263"/>
      <c r="R18" s="667"/>
      <c r="S18" s="668"/>
      <c r="T18" s="667"/>
      <c r="U18" s="668"/>
      <c r="V18" s="667"/>
      <c r="W18" s="668"/>
      <c r="X18" s="1265"/>
      <c r="Y18" s="3435"/>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2"/>
      <c r="Q19" s="1263" t="str">
        <f>B19</f>
        <v>公共配套设施</v>
      </c>
      <c r="R19" s="667" t="s">
        <v>18</v>
      </c>
      <c r="S19" s="668">
        <f>F19</f>
        <v>100</v>
      </c>
      <c r="T19" s="667" t="s">
        <v>18</v>
      </c>
      <c r="U19" s="668">
        <f>H19</f>
        <v>100</v>
      </c>
      <c r="V19" s="667" t="s">
        <v>18</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2"/>
      <c r="Q20" s="1263"/>
      <c r="R20" s="667"/>
      <c r="S20" s="668"/>
      <c r="T20" s="667"/>
      <c r="U20" s="668"/>
      <c r="V20" s="667"/>
      <c r="W20" s="668"/>
      <c r="X20" s="1265"/>
      <c r="Y20" s="3435"/>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2"/>
      <c r="Q22" s="1263"/>
      <c r="R22" s="667"/>
      <c r="S22" s="668"/>
      <c r="T22" s="667"/>
      <c r="U22" s="668"/>
      <c r="V22" s="667"/>
      <c r="W22" s="668"/>
      <c r="X22" s="1265"/>
      <c r="Y22" s="3435"/>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2"/>
      <c r="Q23" s="1263" t="str">
        <f>B23</f>
        <v>自然及人文环境</v>
      </c>
      <c r="R23" s="667" t="s">
        <v>18</v>
      </c>
      <c r="S23" s="668">
        <f>F23</f>
        <v>100</v>
      </c>
      <c r="T23" s="667" t="s">
        <v>18</v>
      </c>
      <c r="U23" s="668">
        <f>H23</f>
        <v>100</v>
      </c>
      <c r="V23" s="667" t="s">
        <v>18</v>
      </c>
      <c r="W23" s="668">
        <f>J23</f>
        <v>100</v>
      </c>
      <c r="X23" s="1265"/>
      <c r="Y23" s="343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2"/>
      <c r="Q24" s="1263"/>
      <c r="R24" s="667"/>
      <c r="S24" s="668"/>
      <c r="T24" s="667"/>
      <c r="U24" s="668"/>
      <c r="V24" s="667"/>
      <c r="W24" s="668"/>
      <c r="X24" s="1265"/>
      <c r="Y24" s="343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2"/>
      <c r="Q26" s="1263" t="str">
        <f t="shared" si="11"/>
        <v>朝向</v>
      </c>
      <c r="R26" s="667" t="s">
        <v>18</v>
      </c>
      <c r="S26" s="668">
        <f t="shared" si="12"/>
        <v>100</v>
      </c>
      <c r="T26" s="667" t="s">
        <v>18</v>
      </c>
      <c r="U26" s="668">
        <f t="shared" si="13"/>
        <v>100</v>
      </c>
      <c r="V26" s="667" t="s">
        <v>18</v>
      </c>
      <c r="W26" s="668">
        <f t="shared" si="14"/>
        <v>100</v>
      </c>
      <c r="X26" s="1265"/>
      <c r="Y26" s="343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2"/>
      <c r="Q27" s="530">
        <f t="shared" si="11"/>
        <v>111</v>
      </c>
      <c r="R27" s="664" t="s">
        <v>18</v>
      </c>
      <c r="S27" s="665">
        <f t="shared" si="12"/>
        <v>100</v>
      </c>
      <c r="T27" s="664" t="s">
        <v>18</v>
      </c>
      <c r="U27" s="665">
        <f t="shared" si="13"/>
        <v>100</v>
      </c>
      <c r="V27" s="664" t="s">
        <v>18</v>
      </c>
      <c r="W27" s="665">
        <f t="shared" si="14"/>
        <v>100</v>
      </c>
      <c r="X27" s="666"/>
      <c r="Y27" s="343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2"/>
      <c r="Q28" s="1263">
        <f t="shared" si="11"/>
        <v>111</v>
      </c>
      <c r="R28" s="667" t="s">
        <v>18</v>
      </c>
      <c r="S28" s="668">
        <f t="shared" si="12"/>
        <v>100</v>
      </c>
      <c r="T28" s="667" t="s">
        <v>18</v>
      </c>
      <c r="U28" s="668">
        <f t="shared" si="13"/>
        <v>100</v>
      </c>
      <c r="V28" s="667" t="s">
        <v>18</v>
      </c>
      <c r="W28" s="668">
        <f t="shared" si="14"/>
        <v>100</v>
      </c>
      <c r="X28" s="1265"/>
      <c r="Y28" s="343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2"/>
      <c r="Q29" s="1263">
        <f t="shared" si="11"/>
        <v>111</v>
      </c>
      <c r="R29" s="667" t="s">
        <v>18</v>
      </c>
      <c r="S29" s="668">
        <f t="shared" si="12"/>
        <v>100</v>
      </c>
      <c r="T29" s="667" t="s">
        <v>18</v>
      </c>
      <c r="U29" s="668">
        <f t="shared" si="13"/>
        <v>100</v>
      </c>
      <c r="V29" s="667" t="s">
        <v>18</v>
      </c>
      <c r="W29" s="668">
        <f t="shared" si="14"/>
        <v>100</v>
      </c>
      <c r="X29" s="1265"/>
      <c r="Y29" s="343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2"/>
      <c r="Q30" s="1263">
        <f t="shared" si="11"/>
        <v>111</v>
      </c>
      <c r="R30" s="667" t="s">
        <v>18</v>
      </c>
      <c r="S30" s="668">
        <f t="shared" si="12"/>
        <v>100</v>
      </c>
      <c r="T30" s="667" t="s">
        <v>18</v>
      </c>
      <c r="U30" s="668">
        <f t="shared" si="13"/>
        <v>100</v>
      </c>
      <c r="V30" s="667" t="s">
        <v>18</v>
      </c>
      <c r="W30" s="668">
        <f t="shared" si="14"/>
        <v>100</v>
      </c>
      <c r="X30" s="1265"/>
      <c r="Y30" s="343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2"/>
      <c r="Q31" s="1263">
        <f t="shared" si="11"/>
        <v>111</v>
      </c>
      <c r="R31" s="667" t="s">
        <v>18</v>
      </c>
      <c r="S31" s="668">
        <f t="shared" si="12"/>
        <v>100</v>
      </c>
      <c r="T31" s="667" t="s">
        <v>18</v>
      </c>
      <c r="U31" s="668">
        <f t="shared" si="13"/>
        <v>100</v>
      </c>
      <c r="V31" s="667" t="s">
        <v>18</v>
      </c>
      <c r="W31" s="668">
        <f t="shared" si="14"/>
        <v>100</v>
      </c>
      <c r="X31" s="1265"/>
      <c r="Y31" s="343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6" t="s">
        <v>1696</v>
      </c>
      <c r="Q32" s="1263" t="str">
        <f t="shared" si="11"/>
        <v>建筑类型</v>
      </c>
      <c r="R32" s="667" t="s">
        <v>18</v>
      </c>
      <c r="S32" s="668">
        <f t="shared" si="12"/>
        <v>100</v>
      </c>
      <c r="T32" s="667" t="s">
        <v>18</v>
      </c>
      <c r="U32" s="668">
        <f t="shared" si="13"/>
        <v>100</v>
      </c>
      <c r="V32" s="667" t="s">
        <v>18</v>
      </c>
      <c r="W32" s="668">
        <f t="shared" si="14"/>
        <v>100</v>
      </c>
      <c r="X32" s="1265"/>
      <c r="Y32" s="343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7"/>
      <c r="Q33" s="531" t="str">
        <f t="shared" si="11"/>
        <v>项目建筑规模</v>
      </c>
      <c r="R33" s="669" t="s">
        <v>18</v>
      </c>
      <c r="S33" s="670" t="e">
        <f t="shared" si="12"/>
        <v>#N/A</v>
      </c>
      <c r="T33" s="669" t="s">
        <v>18</v>
      </c>
      <c r="U33" s="670" t="e">
        <f t="shared" si="13"/>
        <v>#N/A</v>
      </c>
      <c r="V33" s="669" t="s">
        <v>18</v>
      </c>
      <c r="W33" s="670" t="e">
        <f t="shared" si="14"/>
        <v>#N/A</v>
      </c>
      <c r="X33" s="671"/>
      <c r="Y33" s="343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7"/>
      <c r="Q34" s="1263" t="str">
        <f t="shared" si="11"/>
        <v>建筑结构</v>
      </c>
      <c r="R34" s="667" t="s">
        <v>18</v>
      </c>
      <c r="S34" s="668">
        <f t="shared" si="12"/>
        <v>100</v>
      </c>
      <c r="T34" s="667" t="s">
        <v>18</v>
      </c>
      <c r="U34" s="668">
        <f t="shared" si="13"/>
        <v>100</v>
      </c>
      <c r="V34" s="667" t="s">
        <v>18</v>
      </c>
      <c r="W34" s="668">
        <f t="shared" si="14"/>
        <v>100</v>
      </c>
      <c r="X34" s="1265"/>
      <c r="Y34" s="343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7"/>
      <c r="Q35" s="1263" t="str">
        <f t="shared" si="11"/>
        <v>建筑品质</v>
      </c>
      <c r="R35" s="667" t="s">
        <v>18</v>
      </c>
      <c r="S35" s="668">
        <f t="shared" si="12"/>
        <v>100</v>
      </c>
      <c r="T35" s="667" t="s">
        <v>18</v>
      </c>
      <c r="U35" s="668">
        <f t="shared" si="13"/>
        <v>100</v>
      </c>
      <c r="V35" s="667" t="s">
        <v>18</v>
      </c>
      <c r="W35" s="668">
        <f t="shared" si="14"/>
        <v>100</v>
      </c>
      <c r="X35" s="1265"/>
      <c r="Y35" s="343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7"/>
      <c r="Q36" s="1263" t="str">
        <f t="shared" si="11"/>
        <v>公共部分装修</v>
      </c>
      <c r="R36" s="667" t="s">
        <v>18</v>
      </c>
      <c r="S36" s="668">
        <f t="shared" si="12"/>
        <v>100</v>
      </c>
      <c r="T36" s="667" t="s">
        <v>18</v>
      </c>
      <c r="U36" s="668">
        <f t="shared" si="13"/>
        <v>100</v>
      </c>
      <c r="V36" s="667" t="s">
        <v>18</v>
      </c>
      <c r="W36" s="668">
        <f t="shared" si="14"/>
        <v>100</v>
      </c>
      <c r="X36" s="1265"/>
      <c r="Y36" s="343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7"/>
      <c r="Q37" s="530" t="str">
        <f t="shared" si="11"/>
        <v>成新度</v>
      </c>
      <c r="R37" s="664" t="s">
        <v>18</v>
      </c>
      <c r="S37" s="665" t="e">
        <f t="shared" si="12"/>
        <v>#N/A</v>
      </c>
      <c r="T37" s="664" t="s">
        <v>18</v>
      </c>
      <c r="U37" s="665" t="e">
        <f t="shared" si="13"/>
        <v>#N/A</v>
      </c>
      <c r="V37" s="664" t="s">
        <v>18</v>
      </c>
      <c r="W37" s="665" t="e">
        <f t="shared" si="14"/>
        <v>#N/A</v>
      </c>
      <c r="X37" s="666"/>
      <c r="Y37" s="343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7" t="s">
        <v>1696</v>
      </c>
      <c r="Q38" s="1263" t="str">
        <f t="shared" si="11"/>
        <v>物业管理</v>
      </c>
      <c r="R38" s="667" t="s">
        <v>18</v>
      </c>
      <c r="S38" s="668">
        <f t="shared" si="12"/>
        <v>100</v>
      </c>
      <c r="T38" s="667" t="s">
        <v>18</v>
      </c>
      <c r="U38" s="668">
        <f t="shared" si="13"/>
        <v>100</v>
      </c>
      <c r="V38" s="667" t="s">
        <v>18</v>
      </c>
      <c r="W38" s="668">
        <f t="shared" si="14"/>
        <v>100</v>
      </c>
      <c r="X38" s="1265"/>
      <c r="Y38" s="343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7"/>
      <c r="Q39" s="1263" t="str">
        <f t="shared" si="11"/>
        <v>市政基础设施</v>
      </c>
      <c r="R39" s="667" t="s">
        <v>18</v>
      </c>
      <c r="S39" s="668">
        <f t="shared" si="12"/>
        <v>100</v>
      </c>
      <c r="T39" s="667" t="s">
        <v>18</v>
      </c>
      <c r="U39" s="668">
        <f t="shared" si="13"/>
        <v>100</v>
      </c>
      <c r="V39" s="667" t="s">
        <v>18</v>
      </c>
      <c r="W39" s="668">
        <f t="shared" si="14"/>
        <v>100</v>
      </c>
      <c r="X39" s="1265"/>
      <c r="Y39" s="343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7"/>
      <c r="Q40" s="1263" t="str">
        <f t="shared" si="11"/>
        <v>房型</v>
      </c>
      <c r="R40" s="667" t="s">
        <v>18</v>
      </c>
      <c r="S40" s="668">
        <f t="shared" si="12"/>
        <v>100</v>
      </c>
      <c r="T40" s="667" t="s">
        <v>18</v>
      </c>
      <c r="U40" s="668">
        <f t="shared" si="13"/>
        <v>100</v>
      </c>
      <c r="V40" s="667" t="s">
        <v>18</v>
      </c>
      <c r="W40" s="668">
        <f t="shared" si="14"/>
        <v>100</v>
      </c>
      <c r="X40" s="1265"/>
      <c r="Y40" s="343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7"/>
      <c r="Q41" s="531" t="str">
        <f t="shared" si="11"/>
        <v>单套/主力户型建筑面积</v>
      </c>
      <c r="R41" s="669" t="s">
        <v>18</v>
      </c>
      <c r="S41" s="670">
        <f t="shared" si="12"/>
        <v>100</v>
      </c>
      <c r="T41" s="669" t="s">
        <v>18</v>
      </c>
      <c r="U41" s="670">
        <f t="shared" si="13"/>
        <v>100</v>
      </c>
      <c r="V41" s="669" t="s">
        <v>18</v>
      </c>
      <c r="W41" s="670">
        <f t="shared" si="14"/>
        <v>100</v>
      </c>
      <c r="X41" s="671"/>
      <c r="Y41" s="343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7"/>
      <c r="Q42" s="1263" t="str">
        <f t="shared" si="11"/>
        <v>内部装修</v>
      </c>
      <c r="R42" s="667" t="s">
        <v>18</v>
      </c>
      <c r="S42" s="668">
        <f t="shared" si="12"/>
        <v>100</v>
      </c>
      <c r="T42" s="667" t="s">
        <v>18</v>
      </c>
      <c r="U42" s="668">
        <f t="shared" si="13"/>
        <v>100</v>
      </c>
      <c r="V42" s="667" t="s">
        <v>18</v>
      </c>
      <c r="W42" s="668">
        <f t="shared" si="14"/>
        <v>100</v>
      </c>
      <c r="X42" s="1265"/>
      <c r="Y42" s="343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7"/>
      <c r="Q43" s="1263" t="str">
        <f t="shared" si="11"/>
        <v>内部装修维护情况</v>
      </c>
      <c r="R43" s="667" t="s">
        <v>18</v>
      </c>
      <c r="S43" s="668">
        <f t="shared" si="12"/>
        <v>100</v>
      </c>
      <c r="T43" s="667" t="s">
        <v>18</v>
      </c>
      <c r="U43" s="668">
        <f t="shared" si="13"/>
        <v>100</v>
      </c>
      <c r="V43" s="667" t="s">
        <v>18</v>
      </c>
      <c r="W43" s="668">
        <f t="shared" si="14"/>
        <v>100</v>
      </c>
      <c r="X43" s="1265"/>
      <c r="Y43" s="343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7"/>
      <c r="Q44" s="530">
        <f t="shared" si="11"/>
        <v>111</v>
      </c>
      <c r="R44" s="664" t="s">
        <v>18</v>
      </c>
      <c r="S44" s="665">
        <f t="shared" si="12"/>
        <v>100</v>
      </c>
      <c r="T44" s="664" t="s">
        <v>18</v>
      </c>
      <c r="U44" s="665">
        <f t="shared" si="13"/>
        <v>100</v>
      </c>
      <c r="V44" s="664" t="s">
        <v>18</v>
      </c>
      <c r="W44" s="665">
        <f t="shared" si="14"/>
        <v>100</v>
      </c>
      <c r="X44" s="666"/>
      <c r="Y44" s="343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7"/>
      <c r="Q45" s="1263">
        <f t="shared" si="11"/>
        <v>111</v>
      </c>
      <c r="R45" s="667" t="s">
        <v>18</v>
      </c>
      <c r="S45" s="668">
        <f t="shared" si="12"/>
        <v>100</v>
      </c>
      <c r="T45" s="667" t="s">
        <v>18</v>
      </c>
      <c r="U45" s="668">
        <f t="shared" si="13"/>
        <v>100</v>
      </c>
      <c r="V45" s="667" t="s">
        <v>18</v>
      </c>
      <c r="W45" s="668">
        <f t="shared" si="14"/>
        <v>100</v>
      </c>
      <c r="X45" s="1265"/>
      <c r="Y45" s="343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8"/>
      <c r="Q46" s="1263">
        <f t="shared" si="11"/>
        <v>111</v>
      </c>
      <c r="R46" s="667" t="s">
        <v>17</v>
      </c>
      <c r="S46" s="668">
        <f t="shared" si="12"/>
        <v>100</v>
      </c>
      <c r="T46" s="667" t="s">
        <v>17</v>
      </c>
      <c r="U46" s="668">
        <f t="shared" si="13"/>
        <v>100</v>
      </c>
      <c r="V46" s="667" t="s">
        <v>17</v>
      </c>
      <c r="W46" s="668">
        <f t="shared" si="14"/>
        <v>100</v>
      </c>
      <c r="X46" s="1265"/>
      <c r="Y46" s="344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2" t="str">
        <f>A47</f>
        <v>成交单价（元/平方米）</v>
      </c>
      <c r="Q47" s="3432"/>
      <c r="R47" s="3433">
        <f>E47</f>
        <v>0</v>
      </c>
      <c r="S47" s="3433"/>
      <c r="T47" s="3433">
        <f>G47</f>
        <v>0</v>
      </c>
      <c r="U47" s="3433"/>
      <c r="V47" s="3433">
        <f>I47</f>
        <v>0</v>
      </c>
      <c r="W47" s="343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2" t="str">
        <f>A48</f>
        <v>比较价值（元/平方米）</v>
      </c>
      <c r="Q48" s="3432"/>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99989.78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33"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33"/>
      <c r="AC5" s="3445"/>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55"/>
      <c r="Q6" s="3456"/>
      <c r="R6" s="3459"/>
      <c r="S6" s="3460"/>
      <c r="T6" s="3461"/>
      <c r="U6" s="3462"/>
      <c r="V6" s="3433"/>
      <c r="W6" s="3433"/>
      <c r="X6" s="1265"/>
      <c r="Y6" s="3461"/>
      <c r="Z6" s="3462"/>
      <c r="AA6" s="3446"/>
      <c r="AB6" s="3433"/>
      <c r="AC6" s="3446"/>
    </row>
    <row r="7" spans="1:29" s="102" customFormat="1" ht="15.7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67" t="s">
        <v>1680</v>
      </c>
      <c r="Q7" s="3469"/>
      <c r="R7" s="664" t="s">
        <v>14</v>
      </c>
      <c r="S7" s="665">
        <f t="shared" ref="S7:S15" si="0">F7</f>
        <v>0</v>
      </c>
      <c r="T7" s="664" t="s">
        <v>14</v>
      </c>
      <c r="U7" s="665">
        <f t="shared" ref="U7:U15" si="1">H7</f>
        <v>0</v>
      </c>
      <c r="V7" s="664" t="s">
        <v>14</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67" t="s">
        <v>1683</v>
      </c>
      <c r="Q8" s="3468"/>
      <c r="R8" s="664" t="s">
        <v>14</v>
      </c>
      <c r="S8" s="665">
        <f t="shared" si="0"/>
        <v>100</v>
      </c>
      <c r="T8" s="664" t="s">
        <v>14</v>
      </c>
      <c r="U8" s="665">
        <f t="shared" si="1"/>
        <v>100</v>
      </c>
      <c r="V8" s="664" t="s">
        <v>14</v>
      </c>
      <c r="W8" s="665">
        <f t="shared" si="2"/>
        <v>100</v>
      </c>
      <c r="X8" s="666"/>
      <c r="Y8" s="3467" t="s">
        <v>1683</v>
      </c>
      <c r="Z8" s="346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43"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43"/>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43"/>
      <c r="Q11" s="530" t="str">
        <f t="shared" si="6"/>
        <v>容积率</v>
      </c>
      <c r="R11" s="664" t="s">
        <v>14</v>
      </c>
      <c r="S11" s="665" t="e">
        <f t="shared" si="0"/>
        <v>#N/A</v>
      </c>
      <c r="T11" s="664" t="s">
        <v>14</v>
      </c>
      <c r="U11" s="665" t="e">
        <f t="shared" si="1"/>
        <v>#N/A</v>
      </c>
      <c r="V11" s="664" t="s">
        <v>14</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43"/>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43"/>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43"/>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1" t="s">
        <v>1691</v>
      </c>
      <c r="Q15" s="1263" t="str">
        <f t="shared" si="6"/>
        <v>商业繁华度</v>
      </c>
      <c r="R15" s="667" t="s">
        <v>14</v>
      </c>
      <c r="S15" s="668">
        <f t="shared" si="0"/>
        <v>100</v>
      </c>
      <c r="T15" s="667" t="s">
        <v>14</v>
      </c>
      <c r="U15" s="668">
        <f t="shared" si="1"/>
        <v>100</v>
      </c>
      <c r="V15" s="667" t="s">
        <v>14</v>
      </c>
      <c r="W15" s="668">
        <f t="shared" si="2"/>
        <v>100</v>
      </c>
      <c r="X15" s="1265"/>
      <c r="Y15" s="343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2"/>
      <c r="Q16" s="1263"/>
      <c r="R16" s="667"/>
      <c r="S16" s="668"/>
      <c r="T16" s="667"/>
      <c r="U16" s="668"/>
      <c r="V16" s="667"/>
      <c r="W16" s="668"/>
      <c r="X16" s="1265"/>
      <c r="Y16" s="3435"/>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2"/>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2"/>
      <c r="Q18" s="1263"/>
      <c r="R18" s="667"/>
      <c r="S18" s="668"/>
      <c r="T18" s="667"/>
      <c r="U18" s="668"/>
      <c r="V18" s="667"/>
      <c r="W18" s="668"/>
      <c r="X18" s="1265"/>
      <c r="Y18" s="3435"/>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2"/>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2"/>
      <c r="Q20" s="1263"/>
      <c r="R20" s="667"/>
      <c r="S20" s="668"/>
      <c r="T20" s="667"/>
      <c r="U20" s="668"/>
      <c r="V20" s="667"/>
      <c r="W20" s="668"/>
      <c r="X20" s="1265"/>
      <c r="Y20" s="3435"/>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2"/>
      <c r="Q22" s="1263"/>
      <c r="R22" s="667"/>
      <c r="S22" s="668"/>
      <c r="T22" s="667"/>
      <c r="U22" s="668"/>
      <c r="V22" s="667"/>
      <c r="W22" s="668"/>
      <c r="X22" s="1265"/>
      <c r="Y22" s="3435"/>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2"/>
      <c r="Q23" s="1263" t="str">
        <f>B23</f>
        <v>自然及人文环境</v>
      </c>
      <c r="R23" s="667" t="s">
        <v>14</v>
      </c>
      <c r="S23" s="668">
        <f>F23</f>
        <v>100</v>
      </c>
      <c r="T23" s="667" t="s">
        <v>14</v>
      </c>
      <c r="U23" s="668">
        <f>H23</f>
        <v>100</v>
      </c>
      <c r="V23" s="667" t="s">
        <v>14</v>
      </c>
      <c r="W23" s="668">
        <f>J23</f>
        <v>100</v>
      </c>
      <c r="X23" s="1265"/>
      <c r="Y23" s="343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2"/>
      <c r="Q24" s="1263"/>
      <c r="R24" s="667"/>
      <c r="S24" s="668"/>
      <c r="T24" s="667"/>
      <c r="U24" s="668"/>
      <c r="V24" s="667"/>
      <c r="W24" s="668"/>
      <c r="X24" s="1265"/>
      <c r="Y24" s="343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2"/>
      <c r="Q25" s="1263" t="str">
        <f t="shared" ref="Q25:Q46" si="11">B25</f>
        <v>临街状况</v>
      </c>
      <c r="R25" s="667" t="s">
        <v>14</v>
      </c>
      <c r="S25" s="668">
        <f>F25</f>
        <v>100</v>
      </c>
      <c r="T25" s="667" t="s">
        <v>14</v>
      </c>
      <c r="U25" s="668">
        <f>H25</f>
        <v>100</v>
      </c>
      <c r="V25" s="667" t="s">
        <v>14</v>
      </c>
      <c r="W25" s="668">
        <f>J25</f>
        <v>100</v>
      </c>
      <c r="X25" s="1265"/>
      <c r="Y25" s="343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2"/>
      <c r="Q26" s="1263" t="str">
        <f t="shared" si="11"/>
        <v>平面位置/可视性</v>
      </c>
      <c r="R26" s="667" t="s">
        <v>14</v>
      </c>
      <c r="S26" s="668">
        <f>F26</f>
        <v>100</v>
      </c>
      <c r="T26" s="667" t="s">
        <v>14</v>
      </c>
      <c r="U26" s="668">
        <f>H26</f>
        <v>100</v>
      </c>
      <c r="V26" s="667" t="s">
        <v>14</v>
      </c>
      <c r="W26" s="668">
        <f>J26</f>
        <v>100</v>
      </c>
      <c r="X26" s="1265"/>
      <c r="Y26" s="343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2"/>
      <c r="Q27" s="530" t="str">
        <f t="shared" si="11"/>
        <v>人流量</v>
      </c>
      <c r="R27" s="664" t="s">
        <v>14</v>
      </c>
      <c r="S27" s="665">
        <f>F27</f>
        <v>100</v>
      </c>
      <c r="T27" s="664" t="s">
        <v>14</v>
      </c>
      <c r="U27" s="665">
        <f>H27</f>
        <v>100</v>
      </c>
      <c r="V27" s="664" t="s">
        <v>14</v>
      </c>
      <c r="W27" s="665">
        <f>J27</f>
        <v>100</v>
      </c>
      <c r="X27" s="666"/>
      <c r="Y27" s="343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2"/>
      <c r="Q29" s="1263">
        <f t="shared" si="11"/>
        <v>111</v>
      </c>
      <c r="R29" s="667" t="s">
        <v>14</v>
      </c>
      <c r="S29" s="668">
        <f t="shared" si="12"/>
        <v>100</v>
      </c>
      <c r="T29" s="667" t="s">
        <v>14</v>
      </c>
      <c r="U29" s="668">
        <f t="shared" si="13"/>
        <v>100</v>
      </c>
      <c r="V29" s="667" t="s">
        <v>14</v>
      </c>
      <c r="W29" s="668">
        <f t="shared" si="14"/>
        <v>100</v>
      </c>
      <c r="X29" s="1265"/>
      <c r="Y29" s="343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2"/>
      <c r="Q30" s="1263">
        <f t="shared" si="11"/>
        <v>111</v>
      </c>
      <c r="R30" s="667" t="s">
        <v>14</v>
      </c>
      <c r="S30" s="668">
        <f t="shared" si="12"/>
        <v>100</v>
      </c>
      <c r="T30" s="667" t="s">
        <v>14</v>
      </c>
      <c r="U30" s="668">
        <f t="shared" si="13"/>
        <v>100</v>
      </c>
      <c r="V30" s="667" t="s">
        <v>14</v>
      </c>
      <c r="W30" s="668">
        <f t="shared" si="14"/>
        <v>100</v>
      </c>
      <c r="X30" s="1265"/>
      <c r="Y30" s="343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2"/>
      <c r="Q31" s="1263">
        <f t="shared" si="11"/>
        <v>111</v>
      </c>
      <c r="R31" s="667" t="s">
        <v>14</v>
      </c>
      <c r="S31" s="668">
        <f t="shared" si="12"/>
        <v>100</v>
      </c>
      <c r="T31" s="667" t="s">
        <v>14</v>
      </c>
      <c r="U31" s="668">
        <f t="shared" si="13"/>
        <v>100</v>
      </c>
      <c r="V31" s="667" t="s">
        <v>14</v>
      </c>
      <c r="W31" s="668">
        <f t="shared" si="14"/>
        <v>100</v>
      </c>
      <c r="X31" s="1265"/>
      <c r="Y31" s="343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6" t="s">
        <v>1696</v>
      </c>
      <c r="Q32" s="1263" t="str">
        <f t="shared" si="11"/>
        <v>商业类型</v>
      </c>
      <c r="R32" s="667" t="s">
        <v>14</v>
      </c>
      <c r="S32" s="668">
        <f t="shared" si="12"/>
        <v>100</v>
      </c>
      <c r="T32" s="667" t="s">
        <v>14</v>
      </c>
      <c r="U32" s="668">
        <f t="shared" si="13"/>
        <v>100</v>
      </c>
      <c r="V32" s="667" t="s">
        <v>14</v>
      </c>
      <c r="W32" s="668">
        <f t="shared" si="14"/>
        <v>100</v>
      </c>
      <c r="X32" s="1265"/>
      <c r="Y32" s="343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7"/>
      <c r="Q33" s="531" t="str">
        <f t="shared" si="11"/>
        <v>项目建筑规模</v>
      </c>
      <c r="R33" s="669" t="s">
        <v>14</v>
      </c>
      <c r="S33" s="670" t="e">
        <f t="shared" si="12"/>
        <v>#N/A</v>
      </c>
      <c r="T33" s="669" t="s">
        <v>14</v>
      </c>
      <c r="U33" s="670" t="e">
        <f t="shared" si="13"/>
        <v>#N/A</v>
      </c>
      <c r="V33" s="669" t="s">
        <v>14</v>
      </c>
      <c r="W33" s="670" t="e">
        <f t="shared" si="14"/>
        <v>#N/A</v>
      </c>
      <c r="X33" s="671"/>
      <c r="Y33" s="343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7"/>
      <c r="Q34" s="1263" t="str">
        <f t="shared" si="11"/>
        <v>建筑结构</v>
      </c>
      <c r="R34" s="667" t="s">
        <v>14</v>
      </c>
      <c r="S34" s="668">
        <f t="shared" si="12"/>
        <v>100</v>
      </c>
      <c r="T34" s="667" t="s">
        <v>14</v>
      </c>
      <c r="U34" s="668">
        <f t="shared" si="13"/>
        <v>100</v>
      </c>
      <c r="V34" s="667" t="s">
        <v>14</v>
      </c>
      <c r="W34" s="668">
        <f t="shared" si="14"/>
        <v>100</v>
      </c>
      <c r="X34" s="1265"/>
      <c r="Y34" s="343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7"/>
      <c r="Q35" s="1263" t="str">
        <f t="shared" si="11"/>
        <v>公共部分装修</v>
      </c>
      <c r="R35" s="667" t="s">
        <v>14</v>
      </c>
      <c r="S35" s="668">
        <f t="shared" si="12"/>
        <v>100</v>
      </c>
      <c r="T35" s="667" t="s">
        <v>14</v>
      </c>
      <c r="U35" s="668">
        <f t="shared" si="13"/>
        <v>100</v>
      </c>
      <c r="V35" s="667" t="s">
        <v>14</v>
      </c>
      <c r="W35" s="668">
        <f t="shared" si="14"/>
        <v>100</v>
      </c>
      <c r="X35" s="1265"/>
      <c r="Y35" s="343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7"/>
      <c r="Q36" s="1263" t="str">
        <f t="shared" si="11"/>
        <v>成新度</v>
      </c>
      <c r="R36" s="667" t="s">
        <v>14</v>
      </c>
      <c r="S36" s="668" t="e">
        <f t="shared" si="12"/>
        <v>#N/A</v>
      </c>
      <c r="T36" s="667" t="s">
        <v>14</v>
      </c>
      <c r="U36" s="668" t="e">
        <f t="shared" si="13"/>
        <v>#N/A</v>
      </c>
      <c r="V36" s="667" t="s">
        <v>14</v>
      </c>
      <c r="W36" s="668" t="e">
        <f t="shared" si="14"/>
        <v>#N/A</v>
      </c>
      <c r="X36" s="1265"/>
      <c r="Y36" s="343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7"/>
      <c r="Q37" s="530" t="str">
        <f t="shared" si="11"/>
        <v>市政基础设施</v>
      </c>
      <c r="R37" s="664" t="s">
        <v>14</v>
      </c>
      <c r="S37" s="665">
        <f t="shared" si="12"/>
        <v>100</v>
      </c>
      <c r="T37" s="664" t="s">
        <v>14</v>
      </c>
      <c r="U37" s="665">
        <f t="shared" si="13"/>
        <v>100</v>
      </c>
      <c r="V37" s="664" t="s">
        <v>14</v>
      </c>
      <c r="W37" s="665">
        <f t="shared" si="14"/>
        <v>100</v>
      </c>
      <c r="X37" s="666"/>
      <c r="Y37" s="343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7" t="s">
        <v>1696</v>
      </c>
      <c r="Q38" s="1263" t="str">
        <f t="shared" si="11"/>
        <v>业态</v>
      </c>
      <c r="R38" s="667" t="s">
        <v>14</v>
      </c>
      <c r="S38" s="668">
        <f t="shared" si="12"/>
        <v>100</v>
      </c>
      <c r="T38" s="667" t="s">
        <v>14</v>
      </c>
      <c r="U38" s="668">
        <f t="shared" si="13"/>
        <v>100</v>
      </c>
      <c r="V38" s="667" t="s">
        <v>14</v>
      </c>
      <c r="W38" s="668">
        <f t="shared" si="14"/>
        <v>100</v>
      </c>
      <c r="X38" s="1265"/>
      <c r="Y38" s="343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7"/>
      <c r="Q39" s="1263" t="str">
        <f t="shared" si="11"/>
        <v>层高</v>
      </c>
      <c r="R39" s="667" t="s">
        <v>14</v>
      </c>
      <c r="S39" s="668">
        <f t="shared" si="12"/>
        <v>100</v>
      </c>
      <c r="T39" s="667" t="s">
        <v>14</v>
      </c>
      <c r="U39" s="668">
        <f t="shared" si="13"/>
        <v>100</v>
      </c>
      <c r="V39" s="667" t="s">
        <v>14</v>
      </c>
      <c r="W39" s="668">
        <f t="shared" si="14"/>
        <v>100</v>
      </c>
      <c r="X39" s="1265"/>
      <c r="Y39" s="343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7"/>
      <c r="Q40" s="1263" t="str">
        <f t="shared" si="11"/>
        <v>单套建筑面积</v>
      </c>
      <c r="R40" s="667" t="s">
        <v>14</v>
      </c>
      <c r="S40" s="668">
        <f t="shared" si="12"/>
        <v>100</v>
      </c>
      <c r="T40" s="667" t="s">
        <v>14</v>
      </c>
      <c r="U40" s="668">
        <f t="shared" si="13"/>
        <v>100</v>
      </c>
      <c r="V40" s="667" t="s">
        <v>14</v>
      </c>
      <c r="W40" s="668">
        <f t="shared" si="14"/>
        <v>100</v>
      </c>
      <c r="X40" s="1265"/>
      <c r="Y40" s="343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7"/>
      <c r="Q41" s="531" t="str">
        <f t="shared" si="11"/>
        <v>进深比</v>
      </c>
      <c r="R41" s="669" t="s">
        <v>14</v>
      </c>
      <c r="S41" s="670">
        <f t="shared" si="12"/>
        <v>100</v>
      </c>
      <c r="T41" s="669" t="s">
        <v>14</v>
      </c>
      <c r="U41" s="670">
        <f t="shared" si="13"/>
        <v>100</v>
      </c>
      <c r="V41" s="669" t="s">
        <v>14</v>
      </c>
      <c r="W41" s="670">
        <f t="shared" si="14"/>
        <v>100</v>
      </c>
      <c r="X41" s="671"/>
      <c r="Y41" s="343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7"/>
      <c r="Q42" s="1263" t="str">
        <f t="shared" si="11"/>
        <v>内部装修</v>
      </c>
      <c r="R42" s="667" t="s">
        <v>14</v>
      </c>
      <c r="S42" s="668">
        <f t="shared" si="12"/>
        <v>100</v>
      </c>
      <c r="T42" s="667" t="s">
        <v>14</v>
      </c>
      <c r="U42" s="668">
        <f t="shared" si="13"/>
        <v>100</v>
      </c>
      <c r="V42" s="667" t="s">
        <v>14</v>
      </c>
      <c r="W42" s="668">
        <f t="shared" si="14"/>
        <v>100</v>
      </c>
      <c r="X42" s="1265"/>
      <c r="Y42" s="343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7"/>
      <c r="Q43" s="1263" t="str">
        <f t="shared" si="11"/>
        <v>内部装修维护情况</v>
      </c>
      <c r="R43" s="667" t="s">
        <v>14</v>
      </c>
      <c r="S43" s="668">
        <f t="shared" si="12"/>
        <v>100</v>
      </c>
      <c r="T43" s="667" t="s">
        <v>14</v>
      </c>
      <c r="U43" s="668">
        <f t="shared" si="13"/>
        <v>100</v>
      </c>
      <c r="V43" s="667" t="s">
        <v>14</v>
      </c>
      <c r="W43" s="668">
        <f t="shared" si="14"/>
        <v>100</v>
      </c>
      <c r="X43" s="1265"/>
      <c r="Y43" s="343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7"/>
      <c r="Q44" s="530">
        <f t="shared" si="11"/>
        <v>111</v>
      </c>
      <c r="R44" s="664" t="s">
        <v>14</v>
      </c>
      <c r="S44" s="665">
        <f t="shared" si="12"/>
        <v>100</v>
      </c>
      <c r="T44" s="664" t="s">
        <v>14</v>
      </c>
      <c r="U44" s="665">
        <f t="shared" si="13"/>
        <v>100</v>
      </c>
      <c r="V44" s="664" t="s">
        <v>14</v>
      </c>
      <c r="W44" s="665">
        <f t="shared" si="14"/>
        <v>100</v>
      </c>
      <c r="X44" s="666"/>
      <c r="Y44" s="343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7"/>
      <c r="Q45" s="1263">
        <f t="shared" si="11"/>
        <v>111</v>
      </c>
      <c r="R45" s="667" t="s">
        <v>14</v>
      </c>
      <c r="S45" s="668">
        <f t="shared" si="12"/>
        <v>100</v>
      </c>
      <c r="T45" s="667" t="s">
        <v>14</v>
      </c>
      <c r="U45" s="668">
        <f t="shared" si="13"/>
        <v>100</v>
      </c>
      <c r="V45" s="667" t="s">
        <v>14</v>
      </c>
      <c r="W45" s="668">
        <f t="shared" si="14"/>
        <v>100</v>
      </c>
      <c r="X45" s="1265"/>
      <c r="Y45" s="343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2" t="str">
        <f>A47</f>
        <v>成交单价（元/平方米）</v>
      </c>
      <c r="Q47" s="3432"/>
      <c r="R47" s="3433">
        <f>E47</f>
        <v>0</v>
      </c>
      <c r="S47" s="3433"/>
      <c r="T47" s="3433">
        <f>G47</f>
        <v>0</v>
      </c>
      <c r="U47" s="3433"/>
      <c r="V47" s="3433">
        <f>I47</f>
        <v>0</v>
      </c>
      <c r="W47" s="343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2" t="str">
        <f>A48</f>
        <v>比较价值（元/平方米）</v>
      </c>
      <c r="Q48" s="3432"/>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99989.78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860"/>
      <c r="M4" s="861"/>
      <c r="N4" s="861"/>
      <c r="O4" s="861"/>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860"/>
      <c r="M5" s="861"/>
      <c r="N5" s="861"/>
      <c r="O5" s="861"/>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537" t="s">
        <v>1678</v>
      </c>
      <c r="L6" s="860"/>
      <c r="M6" s="861"/>
      <c r="N6" s="861"/>
      <c r="O6" s="861"/>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467" t="s">
        <v>1680</v>
      </c>
      <c r="Q7" s="3469"/>
      <c r="R7" s="664" t="s">
        <v>14</v>
      </c>
      <c r="S7" s="665">
        <f t="shared" ref="S7:S15" si="0">F7</f>
        <v>0</v>
      </c>
      <c r="T7" s="664" t="s">
        <v>14</v>
      </c>
      <c r="U7" s="665">
        <f t="shared" ref="U7:U15" si="1">H7</f>
        <v>0</v>
      </c>
      <c r="V7" s="664" t="s">
        <v>14</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7" t="s">
        <v>1683</v>
      </c>
      <c r="Q8" s="3468"/>
      <c r="R8" s="664" t="s">
        <v>14</v>
      </c>
      <c r="S8" s="665">
        <f t="shared" si="0"/>
        <v>100</v>
      </c>
      <c r="T8" s="664" t="s">
        <v>14</v>
      </c>
      <c r="U8" s="665">
        <f t="shared" si="1"/>
        <v>100</v>
      </c>
      <c r="V8" s="664" t="s">
        <v>14</v>
      </c>
      <c r="W8" s="665">
        <f t="shared" si="2"/>
        <v>100</v>
      </c>
      <c r="X8" s="666"/>
      <c r="Y8" s="3467" t="s">
        <v>1683</v>
      </c>
      <c r="Z8" s="346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2"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2"/>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2"/>
      <c r="Q11" s="530" t="str">
        <f t="shared" si="6"/>
        <v>容积率</v>
      </c>
      <c r="R11" s="664" t="s">
        <v>14</v>
      </c>
      <c r="S11" s="665">
        <f t="shared" si="0"/>
        <v>100</v>
      </c>
      <c r="T11" s="664" t="s">
        <v>14</v>
      </c>
      <c r="U11" s="665">
        <f t="shared" si="1"/>
        <v>100</v>
      </c>
      <c r="V11" s="664" t="s">
        <v>14</v>
      </c>
      <c r="W11" s="665">
        <f t="shared" si="2"/>
        <v>100</v>
      </c>
      <c r="X11" s="666"/>
      <c r="Y11" s="330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2"/>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2"/>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2"/>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4" t="s">
        <v>1691</v>
      </c>
      <c r="Q15" s="1263" t="str">
        <f t="shared" si="6"/>
        <v>产业集聚程度</v>
      </c>
      <c r="R15" s="667" t="s">
        <v>14</v>
      </c>
      <c r="S15" s="668">
        <f t="shared" si="0"/>
        <v>100</v>
      </c>
      <c r="T15" s="667" t="s">
        <v>14</v>
      </c>
      <c r="U15" s="668">
        <f t="shared" si="1"/>
        <v>100</v>
      </c>
      <c r="V15" s="667" t="s">
        <v>14</v>
      </c>
      <c r="W15" s="668">
        <f t="shared" si="2"/>
        <v>100</v>
      </c>
      <c r="X15" s="1265"/>
      <c r="Y15" s="343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5"/>
      <c r="Q16" s="1263"/>
      <c r="R16" s="667"/>
      <c r="S16" s="668"/>
      <c r="T16" s="667"/>
      <c r="U16" s="668"/>
      <c r="V16" s="667"/>
      <c r="W16" s="668"/>
      <c r="X16" s="1265"/>
      <c r="Y16" s="3435"/>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5"/>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5"/>
      <c r="Q18" s="1263"/>
      <c r="R18" s="667"/>
      <c r="S18" s="668"/>
      <c r="T18" s="667"/>
      <c r="U18" s="668"/>
      <c r="V18" s="667"/>
      <c r="W18" s="668"/>
      <c r="X18" s="1265"/>
      <c r="Y18" s="3435"/>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5"/>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5"/>
      <c r="Q20" s="1263"/>
      <c r="R20" s="667"/>
      <c r="S20" s="668"/>
      <c r="T20" s="667"/>
      <c r="U20" s="668"/>
      <c r="V20" s="667"/>
      <c r="W20" s="668"/>
      <c r="X20" s="1265"/>
      <c r="Y20" s="3435"/>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5"/>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5"/>
      <c r="Q22" s="1263"/>
      <c r="R22" s="667"/>
      <c r="S22" s="668"/>
      <c r="T22" s="667"/>
      <c r="U22" s="668"/>
      <c r="V22" s="667"/>
      <c r="W22" s="668"/>
      <c r="X22" s="1265"/>
      <c r="Y22" s="3435"/>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5"/>
      <c r="Q23" s="1263" t="str">
        <f>B23</f>
        <v>环境质量</v>
      </c>
      <c r="R23" s="667" t="s">
        <v>14</v>
      </c>
      <c r="S23" s="668">
        <f>F23</f>
        <v>100</v>
      </c>
      <c r="T23" s="667" t="s">
        <v>14</v>
      </c>
      <c r="U23" s="668">
        <f>H23</f>
        <v>100</v>
      </c>
      <c r="V23" s="667" t="s">
        <v>14</v>
      </c>
      <c r="W23" s="668">
        <f>J23</f>
        <v>100</v>
      </c>
      <c r="X23" s="1265"/>
      <c r="Y23" s="343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5"/>
      <c r="Q24" s="1263"/>
      <c r="R24" s="667"/>
      <c r="S24" s="668"/>
      <c r="T24" s="667"/>
      <c r="U24" s="668"/>
      <c r="V24" s="667"/>
      <c r="W24" s="668"/>
      <c r="X24" s="1265"/>
      <c r="Y24" s="343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5"/>
      <c r="Q25" s="1263">
        <f>B25</f>
        <v>111</v>
      </c>
      <c r="R25" s="667" t="s">
        <v>14</v>
      </c>
      <c r="S25" s="668">
        <f>F25</f>
        <v>100</v>
      </c>
      <c r="T25" s="667" t="s">
        <v>14</v>
      </c>
      <c r="U25" s="668">
        <f>H25</f>
        <v>100</v>
      </c>
      <c r="V25" s="667" t="s">
        <v>14</v>
      </c>
      <c r="W25" s="668">
        <f>J25</f>
        <v>100</v>
      </c>
      <c r="X25" s="1265"/>
      <c r="Y25" s="343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5"/>
      <c r="Q26" s="1263">
        <f t="shared" ref="Q26:Q40" si="11">B26</f>
        <v>111</v>
      </c>
      <c r="R26" s="667" t="s">
        <v>14</v>
      </c>
      <c r="S26" s="668">
        <f>F26</f>
        <v>100</v>
      </c>
      <c r="T26" s="667" t="s">
        <v>14</v>
      </c>
      <c r="U26" s="668">
        <f>H26</f>
        <v>100</v>
      </c>
      <c r="V26" s="667" t="s">
        <v>14</v>
      </c>
      <c r="W26" s="668">
        <f>J26</f>
        <v>100</v>
      </c>
      <c r="X26" s="1265"/>
      <c r="Y26" s="343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5"/>
      <c r="Q27" s="530">
        <f t="shared" si="11"/>
        <v>111</v>
      </c>
      <c r="R27" s="664" t="s">
        <v>14</v>
      </c>
      <c r="S27" s="665">
        <f>F27</f>
        <v>100</v>
      </c>
      <c r="T27" s="664" t="s">
        <v>14</v>
      </c>
      <c r="U27" s="665">
        <f>H27</f>
        <v>100</v>
      </c>
      <c r="V27" s="664" t="s">
        <v>14</v>
      </c>
      <c r="W27" s="665">
        <f>J27</f>
        <v>100</v>
      </c>
      <c r="X27" s="666"/>
      <c r="Y27" s="343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5"/>
      <c r="Q28" s="1263">
        <f t="shared" si="11"/>
        <v>111</v>
      </c>
      <c r="R28" s="667" t="s">
        <v>14</v>
      </c>
      <c r="S28" s="668">
        <f t="shared" ref="S28:S40" si="12">F28</f>
        <v>100</v>
      </c>
      <c r="T28" s="667" t="s">
        <v>14</v>
      </c>
      <c r="U28" s="668">
        <f t="shared" ref="U28:U40" si="13">H28</f>
        <v>100</v>
      </c>
      <c r="V28" s="667" t="s">
        <v>14</v>
      </c>
      <c r="W28" s="668">
        <f t="shared" ref="W28:W40" si="14">J28</f>
        <v>100</v>
      </c>
      <c r="X28" s="1265"/>
      <c r="Y28" s="343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9" t="s">
        <v>1696</v>
      </c>
      <c r="Q29" s="1263" t="str">
        <f t="shared" si="11"/>
        <v>建筑类型</v>
      </c>
      <c r="R29" s="667" t="s">
        <v>14</v>
      </c>
      <c r="S29" s="668">
        <f t="shared" si="12"/>
        <v>100</v>
      </c>
      <c r="T29" s="667" t="s">
        <v>14</v>
      </c>
      <c r="U29" s="668">
        <f t="shared" si="13"/>
        <v>100</v>
      </c>
      <c r="V29" s="667" t="s">
        <v>14</v>
      </c>
      <c r="W29" s="668">
        <f t="shared" si="14"/>
        <v>100</v>
      </c>
      <c r="X29" s="1265"/>
      <c r="Y29" s="343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9"/>
      <c r="Q30" s="531" t="str">
        <f t="shared" si="11"/>
        <v>项目建筑规模</v>
      </c>
      <c r="R30" s="669" t="s">
        <v>14</v>
      </c>
      <c r="S30" s="670" t="e">
        <f t="shared" si="12"/>
        <v>#N/A</v>
      </c>
      <c r="T30" s="669" t="s">
        <v>14</v>
      </c>
      <c r="U30" s="670" t="e">
        <f t="shared" si="13"/>
        <v>#N/A</v>
      </c>
      <c r="V30" s="669" t="s">
        <v>14</v>
      </c>
      <c r="W30" s="670" t="e">
        <f t="shared" si="14"/>
        <v>#N/A</v>
      </c>
      <c r="X30" s="671"/>
      <c r="Y30" s="343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9"/>
      <c r="Q31" s="1263" t="str">
        <f t="shared" si="11"/>
        <v>建筑结构</v>
      </c>
      <c r="R31" s="667" t="s">
        <v>14</v>
      </c>
      <c r="S31" s="668">
        <f t="shared" si="12"/>
        <v>100</v>
      </c>
      <c r="T31" s="667" t="s">
        <v>14</v>
      </c>
      <c r="U31" s="668">
        <f t="shared" si="13"/>
        <v>100</v>
      </c>
      <c r="V31" s="667" t="s">
        <v>14</v>
      </c>
      <c r="W31" s="668">
        <f t="shared" si="14"/>
        <v>100</v>
      </c>
      <c r="X31" s="1265"/>
      <c r="Y31" s="343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9"/>
      <c r="Q32" s="1263" t="str">
        <f t="shared" si="11"/>
        <v>公共部分装修</v>
      </c>
      <c r="R32" s="667" t="s">
        <v>14</v>
      </c>
      <c r="S32" s="668">
        <f t="shared" si="12"/>
        <v>100</v>
      </c>
      <c r="T32" s="667" t="s">
        <v>14</v>
      </c>
      <c r="U32" s="668">
        <f t="shared" si="13"/>
        <v>100</v>
      </c>
      <c r="V32" s="667" t="s">
        <v>14</v>
      </c>
      <c r="W32" s="668">
        <f t="shared" si="14"/>
        <v>100</v>
      </c>
      <c r="X32" s="1265"/>
      <c r="Y32" s="343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9"/>
      <c r="Q33" s="1263" t="str">
        <f t="shared" si="11"/>
        <v>成新度</v>
      </c>
      <c r="R33" s="667" t="s">
        <v>14</v>
      </c>
      <c r="S33" s="668" t="e">
        <f t="shared" si="12"/>
        <v>#N/A</v>
      </c>
      <c r="T33" s="667" t="s">
        <v>14</v>
      </c>
      <c r="U33" s="668" t="e">
        <f t="shared" si="13"/>
        <v>#N/A</v>
      </c>
      <c r="V33" s="667" t="s">
        <v>14</v>
      </c>
      <c r="W33" s="668" t="e">
        <f t="shared" si="14"/>
        <v>#N/A</v>
      </c>
      <c r="X33" s="1265"/>
      <c r="Y33" s="343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9"/>
      <c r="Q34" s="530" t="str">
        <f t="shared" si="11"/>
        <v>物业管理</v>
      </c>
      <c r="R34" s="664" t="s">
        <v>14</v>
      </c>
      <c r="S34" s="665">
        <f t="shared" si="12"/>
        <v>100</v>
      </c>
      <c r="T34" s="664" t="s">
        <v>14</v>
      </c>
      <c r="U34" s="665">
        <f t="shared" si="13"/>
        <v>100</v>
      </c>
      <c r="V34" s="664" t="s">
        <v>14</v>
      </c>
      <c r="W34" s="665">
        <f t="shared" si="14"/>
        <v>100</v>
      </c>
      <c r="X34" s="666"/>
      <c r="Y34" s="343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9" t="s">
        <v>1696</v>
      </c>
      <c r="Q35" s="1263" t="str">
        <f t="shared" si="11"/>
        <v>市政基础设施</v>
      </c>
      <c r="R35" s="667" t="s">
        <v>14</v>
      </c>
      <c r="S35" s="668">
        <f t="shared" si="12"/>
        <v>100</v>
      </c>
      <c r="T35" s="667" t="s">
        <v>14</v>
      </c>
      <c r="U35" s="668">
        <f t="shared" si="13"/>
        <v>100</v>
      </c>
      <c r="V35" s="667" t="s">
        <v>14</v>
      </c>
      <c r="W35" s="668">
        <f t="shared" si="14"/>
        <v>100</v>
      </c>
      <c r="X35" s="1265"/>
      <c r="Y35" s="343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9"/>
      <c r="Q36" s="1263" t="str">
        <f t="shared" si="11"/>
        <v>内部装修</v>
      </c>
      <c r="R36" s="667" t="s">
        <v>14</v>
      </c>
      <c r="S36" s="668">
        <f t="shared" si="12"/>
        <v>100</v>
      </c>
      <c r="T36" s="667" t="s">
        <v>14</v>
      </c>
      <c r="U36" s="668">
        <f t="shared" si="13"/>
        <v>100</v>
      </c>
      <c r="V36" s="667" t="s">
        <v>14</v>
      </c>
      <c r="W36" s="668">
        <f t="shared" si="14"/>
        <v>100</v>
      </c>
      <c r="X36" s="1265"/>
      <c r="Y36" s="343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9"/>
      <c r="Q37" s="1263" t="str">
        <f t="shared" si="11"/>
        <v>内部装修状况</v>
      </c>
      <c r="R37" s="667" t="s">
        <v>14</v>
      </c>
      <c r="S37" s="668">
        <f t="shared" si="12"/>
        <v>100</v>
      </c>
      <c r="T37" s="667" t="s">
        <v>14</v>
      </c>
      <c r="U37" s="668">
        <f t="shared" si="13"/>
        <v>100</v>
      </c>
      <c r="V37" s="667" t="s">
        <v>14</v>
      </c>
      <c r="W37" s="668">
        <f t="shared" si="14"/>
        <v>100</v>
      </c>
      <c r="X37" s="1265"/>
      <c r="Y37" s="343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9"/>
      <c r="Q38" s="531">
        <f t="shared" si="11"/>
        <v>111</v>
      </c>
      <c r="R38" s="669" t="s">
        <v>14</v>
      </c>
      <c r="S38" s="670">
        <f t="shared" si="12"/>
        <v>100</v>
      </c>
      <c r="T38" s="669" t="s">
        <v>14</v>
      </c>
      <c r="U38" s="670">
        <f t="shared" si="13"/>
        <v>100</v>
      </c>
      <c r="V38" s="669" t="s">
        <v>14</v>
      </c>
      <c r="W38" s="670">
        <f t="shared" si="14"/>
        <v>100</v>
      </c>
      <c r="X38" s="671"/>
      <c r="Y38" s="343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9"/>
      <c r="Q39" s="1263">
        <f t="shared" si="11"/>
        <v>111</v>
      </c>
      <c r="R39" s="667" t="s">
        <v>14</v>
      </c>
      <c r="S39" s="668">
        <f t="shared" si="12"/>
        <v>100</v>
      </c>
      <c r="T39" s="667" t="s">
        <v>14</v>
      </c>
      <c r="U39" s="668">
        <f t="shared" si="13"/>
        <v>100</v>
      </c>
      <c r="V39" s="667" t="s">
        <v>14</v>
      </c>
      <c r="W39" s="668">
        <f t="shared" si="14"/>
        <v>100</v>
      </c>
      <c r="X39" s="1265"/>
      <c r="Y39" s="343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0"/>
      <c r="Q40" s="1263">
        <f t="shared" si="11"/>
        <v>111</v>
      </c>
      <c r="R40" s="667" t="s">
        <v>14</v>
      </c>
      <c r="S40" s="668">
        <f t="shared" si="12"/>
        <v>100</v>
      </c>
      <c r="T40" s="667" t="s">
        <v>14</v>
      </c>
      <c r="U40" s="668">
        <f t="shared" si="13"/>
        <v>100</v>
      </c>
      <c r="V40" s="667" t="s">
        <v>14</v>
      </c>
      <c r="W40" s="668">
        <f t="shared" si="14"/>
        <v>100</v>
      </c>
      <c r="X40" s="1265"/>
      <c r="Y40" s="344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2" t="str">
        <f>A41</f>
        <v>成交单价（元/平方米）</v>
      </c>
      <c r="Q41" s="3432"/>
      <c r="R41" s="3433">
        <f>E41</f>
        <v>0</v>
      </c>
      <c r="S41" s="3433"/>
      <c r="T41" s="3433">
        <f>G41</f>
        <v>0</v>
      </c>
      <c r="U41" s="3433"/>
      <c r="V41" s="3433">
        <f>I41</f>
        <v>0</v>
      </c>
      <c r="W41" s="343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2" t="str">
        <f>A42</f>
        <v>比较价值（元/平方米）</v>
      </c>
      <c r="Q42" s="3432"/>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67" t="s">
        <v>1680</v>
      </c>
      <c r="Q7" s="3469"/>
      <c r="R7" s="664" t="s">
        <v>14</v>
      </c>
      <c r="S7" s="665">
        <f t="shared" ref="S7:S14" si="0">F7</f>
        <v>0</v>
      </c>
      <c r="T7" s="664" t="s">
        <v>14</v>
      </c>
      <c r="U7" s="665">
        <f t="shared" ref="U7:U14" si="1">H7</f>
        <v>0</v>
      </c>
      <c r="V7" s="664" t="s">
        <v>14</v>
      </c>
      <c r="W7" s="665">
        <f t="shared" ref="W7:W14" si="2">J7</f>
        <v>0</v>
      </c>
      <c r="X7" s="666"/>
      <c r="Y7" s="3467" t="s">
        <v>1680</v>
      </c>
      <c r="Z7" s="346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67" t="s">
        <v>1683</v>
      </c>
      <c r="Q8" s="3468"/>
      <c r="R8" s="664" t="s">
        <v>14</v>
      </c>
      <c r="S8" s="665">
        <f t="shared" si="0"/>
        <v>100</v>
      </c>
      <c r="T8" s="664" t="s">
        <v>14</v>
      </c>
      <c r="U8" s="665">
        <f t="shared" si="1"/>
        <v>100</v>
      </c>
      <c r="V8" s="664" t="s">
        <v>14</v>
      </c>
      <c r="W8" s="665">
        <f t="shared" si="2"/>
        <v>100</v>
      </c>
      <c r="X8" s="666"/>
      <c r="Y8" s="3467" t="s">
        <v>1683</v>
      </c>
      <c r="Z8" s="346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2" t="s">
        <v>1686</v>
      </c>
      <c r="Q9" s="530" t="str">
        <f t="shared" ref="Q9:Q14" si="6">B9</f>
        <v>用途</v>
      </c>
      <c r="R9" s="664" t="s">
        <v>14</v>
      </c>
      <c r="S9" s="665">
        <f t="shared" si="0"/>
        <v>100</v>
      </c>
      <c r="T9" s="664" t="s">
        <v>14</v>
      </c>
      <c r="U9" s="665">
        <f t="shared" si="1"/>
        <v>100</v>
      </c>
      <c r="V9" s="664" t="s">
        <v>14</v>
      </c>
      <c r="W9" s="665">
        <f t="shared" si="2"/>
        <v>100</v>
      </c>
      <c r="X9" s="666"/>
      <c r="Y9" s="330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2"/>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2"/>
      <c r="Q11" s="530">
        <f t="shared" si="6"/>
        <v>111</v>
      </c>
      <c r="R11" s="664" t="s">
        <v>14</v>
      </c>
      <c r="S11" s="665">
        <f t="shared" si="0"/>
        <v>100</v>
      </c>
      <c r="T11" s="664" t="s">
        <v>14</v>
      </c>
      <c r="U11" s="665">
        <f t="shared" si="1"/>
        <v>100</v>
      </c>
      <c r="V11" s="664" t="s">
        <v>14</v>
      </c>
      <c r="W11" s="665">
        <f t="shared" si="2"/>
        <v>100</v>
      </c>
      <c r="X11" s="666"/>
      <c r="Y11" s="330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2"/>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2"/>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4" t="s">
        <v>1691</v>
      </c>
      <c r="Q14" s="1263" t="str">
        <f t="shared" si="6"/>
        <v>交通便捷度</v>
      </c>
      <c r="R14" s="667" t="s">
        <v>14</v>
      </c>
      <c r="S14" s="668">
        <f t="shared" si="0"/>
        <v>100</v>
      </c>
      <c r="T14" s="667" t="s">
        <v>14</v>
      </c>
      <c r="U14" s="668">
        <f t="shared" si="1"/>
        <v>100</v>
      </c>
      <c r="V14" s="667" t="s">
        <v>14</v>
      </c>
      <c r="W14" s="668">
        <f t="shared" si="2"/>
        <v>100</v>
      </c>
      <c r="X14" s="1265"/>
      <c r="Y14" s="343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5"/>
      <c r="Q15" s="1263"/>
      <c r="R15" s="667"/>
      <c r="S15" s="668"/>
      <c r="T15" s="667"/>
      <c r="U15" s="668"/>
      <c r="V15" s="667"/>
      <c r="W15" s="668"/>
      <c r="X15" s="1265"/>
      <c r="Y15" s="3435"/>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5"/>
      <c r="Q16" s="1263" t="str">
        <f>B16</f>
        <v>公共配套设施</v>
      </c>
      <c r="R16" s="667" t="s">
        <v>14</v>
      </c>
      <c r="S16" s="668">
        <f>F16</f>
        <v>100</v>
      </c>
      <c r="T16" s="667" t="s">
        <v>14</v>
      </c>
      <c r="U16" s="668">
        <f>H16</f>
        <v>100</v>
      </c>
      <c r="V16" s="667" t="s">
        <v>14</v>
      </c>
      <c r="W16" s="668">
        <f>J16</f>
        <v>100</v>
      </c>
      <c r="X16" s="1265"/>
      <c r="Y16" s="343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5"/>
      <c r="Q17" s="1263"/>
      <c r="R17" s="667"/>
      <c r="S17" s="668"/>
      <c r="T17" s="667"/>
      <c r="U17" s="668"/>
      <c r="V17" s="667"/>
      <c r="W17" s="668"/>
      <c r="X17" s="1265"/>
      <c r="Y17" s="3435"/>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5"/>
      <c r="Q18" s="1263" t="str">
        <f>B18</f>
        <v>基础设施水平</v>
      </c>
      <c r="R18" s="667" t="s">
        <v>14</v>
      </c>
      <c r="S18" s="668">
        <f>F18</f>
        <v>100</v>
      </c>
      <c r="T18" s="667" t="s">
        <v>14</v>
      </c>
      <c r="U18" s="668">
        <f>H18</f>
        <v>100</v>
      </c>
      <c r="V18" s="667" t="s">
        <v>14</v>
      </c>
      <c r="W18" s="668">
        <f>J18</f>
        <v>100</v>
      </c>
      <c r="X18" s="1265"/>
      <c r="Y18" s="343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5"/>
      <c r="Q19" s="1263"/>
      <c r="R19" s="667"/>
      <c r="S19" s="668"/>
      <c r="T19" s="667"/>
      <c r="U19" s="668"/>
      <c r="V19" s="667"/>
      <c r="W19" s="668"/>
      <c r="X19" s="1265"/>
      <c r="Y19" s="3435"/>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5"/>
      <c r="Q20" s="1263" t="str">
        <f>B20</f>
        <v>自然及人文环境</v>
      </c>
      <c r="R20" s="667" t="s">
        <v>14</v>
      </c>
      <c r="S20" s="668">
        <f>F20</f>
        <v>100</v>
      </c>
      <c r="T20" s="667" t="s">
        <v>14</v>
      </c>
      <c r="U20" s="668">
        <f>H20</f>
        <v>100</v>
      </c>
      <c r="V20" s="667" t="s">
        <v>14</v>
      </c>
      <c r="W20" s="668">
        <f>J20</f>
        <v>100</v>
      </c>
      <c r="X20" s="1265"/>
      <c r="Y20" s="343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5"/>
      <c r="Q21" s="1263"/>
      <c r="R21" s="667"/>
      <c r="S21" s="668"/>
      <c r="T21" s="667"/>
      <c r="U21" s="668"/>
      <c r="V21" s="667"/>
      <c r="W21" s="668"/>
      <c r="X21" s="1265"/>
      <c r="Y21" s="343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5"/>
      <c r="Q22" s="1263" t="str">
        <f>B22</f>
        <v>楼层</v>
      </c>
      <c r="R22" s="667" t="s">
        <v>14</v>
      </c>
      <c r="S22" s="668">
        <f>F22</f>
        <v>100</v>
      </c>
      <c r="T22" s="667" t="s">
        <v>14</v>
      </c>
      <c r="U22" s="668">
        <f>H22</f>
        <v>100</v>
      </c>
      <c r="V22" s="667" t="s">
        <v>14</v>
      </c>
      <c r="W22" s="668">
        <f>J22</f>
        <v>100</v>
      </c>
      <c r="X22" s="1265"/>
      <c r="Y22" s="343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5"/>
      <c r="Q23" s="1263">
        <f>B23</f>
        <v>111</v>
      </c>
      <c r="R23" s="667" t="s">
        <v>14</v>
      </c>
      <c r="S23" s="668">
        <f>F23</f>
        <v>100</v>
      </c>
      <c r="T23" s="667" t="s">
        <v>14</v>
      </c>
      <c r="U23" s="668">
        <f>H23</f>
        <v>100</v>
      </c>
      <c r="V23" s="667" t="s">
        <v>14</v>
      </c>
      <c r="W23" s="668">
        <f>J23</f>
        <v>100</v>
      </c>
      <c r="X23" s="1265"/>
      <c r="Y23" s="343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5"/>
      <c r="Q24" s="1263">
        <f t="shared" ref="Q24:Q36" si="11">B24</f>
        <v>111</v>
      </c>
      <c r="R24" s="667" t="s">
        <v>14</v>
      </c>
      <c r="S24" s="668">
        <f>F24</f>
        <v>100</v>
      </c>
      <c r="T24" s="667" t="s">
        <v>14</v>
      </c>
      <c r="U24" s="668">
        <f>H24</f>
        <v>100</v>
      </c>
      <c r="V24" s="667" t="s">
        <v>14</v>
      </c>
      <c r="W24" s="668">
        <f>J24</f>
        <v>100</v>
      </c>
      <c r="X24" s="1265"/>
      <c r="Y24" s="343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5"/>
      <c r="Q25" s="530">
        <f t="shared" si="11"/>
        <v>111</v>
      </c>
      <c r="R25" s="664" t="s">
        <v>14</v>
      </c>
      <c r="S25" s="665">
        <f>F25</f>
        <v>100</v>
      </c>
      <c r="T25" s="664" t="s">
        <v>14</v>
      </c>
      <c r="U25" s="665">
        <f>H25</f>
        <v>100</v>
      </c>
      <c r="V25" s="664" t="s">
        <v>14</v>
      </c>
      <c r="W25" s="665">
        <f>J25</f>
        <v>100</v>
      </c>
      <c r="X25" s="666"/>
      <c r="Y25" s="343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8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9"/>
      <c r="Q27" s="531" t="str">
        <f t="shared" si="11"/>
        <v>项目停车位配比</v>
      </c>
      <c r="R27" s="669" t="s">
        <v>14</v>
      </c>
      <c r="S27" s="670">
        <f t="shared" si="12"/>
        <v>100</v>
      </c>
      <c r="T27" s="669" t="s">
        <v>14</v>
      </c>
      <c r="U27" s="670">
        <f t="shared" si="13"/>
        <v>100</v>
      </c>
      <c r="V27" s="669" t="s">
        <v>14</v>
      </c>
      <c r="W27" s="670">
        <f t="shared" si="14"/>
        <v>100</v>
      </c>
      <c r="X27" s="671"/>
      <c r="Y27" s="343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9"/>
      <c r="Q28" s="1263" t="str">
        <f t="shared" si="11"/>
        <v>公共部分装修</v>
      </c>
      <c r="R28" s="667" t="s">
        <v>14</v>
      </c>
      <c r="S28" s="668">
        <f t="shared" si="12"/>
        <v>100</v>
      </c>
      <c r="T28" s="667" t="s">
        <v>14</v>
      </c>
      <c r="U28" s="668">
        <f t="shared" si="13"/>
        <v>100</v>
      </c>
      <c r="V28" s="667" t="s">
        <v>14</v>
      </c>
      <c r="W28" s="668">
        <f t="shared" si="14"/>
        <v>100</v>
      </c>
      <c r="X28" s="1265"/>
      <c r="Y28" s="343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9"/>
      <c r="Q29" s="1263" t="str">
        <f t="shared" si="11"/>
        <v>成新率</v>
      </c>
      <c r="R29" s="667" t="s">
        <v>14</v>
      </c>
      <c r="S29" s="668" t="e">
        <f t="shared" si="12"/>
        <v>#N/A</v>
      </c>
      <c r="T29" s="667" t="s">
        <v>14</v>
      </c>
      <c r="U29" s="668" t="e">
        <f t="shared" si="13"/>
        <v>#N/A</v>
      </c>
      <c r="V29" s="667" t="s">
        <v>14</v>
      </c>
      <c r="W29" s="668" t="e">
        <f t="shared" si="14"/>
        <v>#N/A</v>
      </c>
      <c r="X29" s="1265"/>
      <c r="Y29" s="343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9"/>
      <c r="Q30" s="1263" t="str">
        <f t="shared" si="11"/>
        <v>物业等级</v>
      </c>
      <c r="R30" s="667" t="s">
        <v>14</v>
      </c>
      <c r="S30" s="668">
        <f t="shared" si="12"/>
        <v>100</v>
      </c>
      <c r="T30" s="667" t="s">
        <v>14</v>
      </c>
      <c r="U30" s="668">
        <f t="shared" si="13"/>
        <v>100</v>
      </c>
      <c r="V30" s="667" t="s">
        <v>14</v>
      </c>
      <c r="W30" s="668">
        <f t="shared" si="14"/>
        <v>100</v>
      </c>
      <c r="X30" s="1265"/>
      <c r="Y30" s="343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9"/>
      <c r="Q31" s="530" t="str">
        <f t="shared" si="11"/>
        <v>停车位面积</v>
      </c>
      <c r="R31" s="664" t="s">
        <v>14</v>
      </c>
      <c r="S31" s="665" t="e">
        <f t="shared" si="12"/>
        <v>#N/A</v>
      </c>
      <c r="T31" s="664" t="s">
        <v>14</v>
      </c>
      <c r="U31" s="665" t="e">
        <f t="shared" si="13"/>
        <v>#N/A</v>
      </c>
      <c r="V31" s="664" t="s">
        <v>14</v>
      </c>
      <c r="W31" s="665" t="e">
        <f t="shared" si="14"/>
        <v>#N/A</v>
      </c>
      <c r="X31" s="666"/>
      <c r="Y31" s="343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9" t="s">
        <v>1696</v>
      </c>
      <c r="Q32" s="1263" t="str">
        <f t="shared" si="11"/>
        <v>车位类型</v>
      </c>
      <c r="R32" s="667" t="s">
        <v>14</v>
      </c>
      <c r="S32" s="668">
        <f t="shared" si="12"/>
        <v>100</v>
      </c>
      <c r="T32" s="667" t="s">
        <v>14</v>
      </c>
      <c r="U32" s="668">
        <f t="shared" si="13"/>
        <v>100</v>
      </c>
      <c r="V32" s="667" t="s">
        <v>14</v>
      </c>
      <c r="W32" s="668">
        <f t="shared" si="14"/>
        <v>100</v>
      </c>
      <c r="X32" s="1265"/>
      <c r="Y32" s="343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9"/>
      <c r="Q33" s="1263" t="str">
        <f t="shared" si="11"/>
        <v>是否直接入户</v>
      </c>
      <c r="R33" s="667" t="s">
        <v>14</v>
      </c>
      <c r="S33" s="668">
        <f t="shared" si="12"/>
        <v>100</v>
      </c>
      <c r="T33" s="667" t="s">
        <v>14</v>
      </c>
      <c r="U33" s="668">
        <f t="shared" si="13"/>
        <v>100</v>
      </c>
      <c r="V33" s="667" t="s">
        <v>14</v>
      </c>
      <c r="W33" s="668">
        <f t="shared" si="14"/>
        <v>100</v>
      </c>
      <c r="X33" s="1265"/>
      <c r="Y33" s="343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9"/>
      <c r="Q34" s="1263">
        <f t="shared" si="11"/>
        <v>111</v>
      </c>
      <c r="R34" s="667" t="s">
        <v>14</v>
      </c>
      <c r="S34" s="668">
        <f t="shared" si="12"/>
        <v>100</v>
      </c>
      <c r="T34" s="667" t="s">
        <v>14</v>
      </c>
      <c r="U34" s="668">
        <f t="shared" si="13"/>
        <v>100</v>
      </c>
      <c r="V34" s="667" t="s">
        <v>14</v>
      </c>
      <c r="W34" s="668">
        <f t="shared" si="14"/>
        <v>100</v>
      </c>
      <c r="X34" s="1265"/>
      <c r="Y34" s="343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9"/>
      <c r="Q35" s="531">
        <f t="shared" si="11"/>
        <v>111</v>
      </c>
      <c r="R35" s="669" t="s">
        <v>14</v>
      </c>
      <c r="S35" s="670">
        <f t="shared" si="12"/>
        <v>100</v>
      </c>
      <c r="T35" s="669" t="s">
        <v>14</v>
      </c>
      <c r="U35" s="670">
        <f t="shared" si="13"/>
        <v>100</v>
      </c>
      <c r="V35" s="669" t="s">
        <v>14</v>
      </c>
      <c r="W35" s="670">
        <f t="shared" si="14"/>
        <v>100</v>
      </c>
      <c r="X35" s="671"/>
      <c r="Y35" s="343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9"/>
      <c r="Q36" s="1263">
        <f t="shared" si="11"/>
        <v>111</v>
      </c>
      <c r="R36" s="667" t="s">
        <v>14</v>
      </c>
      <c r="S36" s="668">
        <f t="shared" si="12"/>
        <v>100</v>
      </c>
      <c r="T36" s="667" t="s">
        <v>14</v>
      </c>
      <c r="U36" s="668">
        <f t="shared" si="13"/>
        <v>100</v>
      </c>
      <c r="V36" s="667" t="s">
        <v>14</v>
      </c>
      <c r="W36" s="668">
        <f t="shared" si="14"/>
        <v>100</v>
      </c>
      <c r="X36" s="1265"/>
      <c r="Y36" s="3439"/>
      <c r="Z36" s="1264">
        <f t="shared" si="15"/>
        <v>111</v>
      </c>
      <c r="AA36" s="1264">
        <f t="shared" si="3"/>
        <v>1</v>
      </c>
      <c r="AB36" s="1264">
        <f t="shared" si="4"/>
        <v>1</v>
      </c>
      <c r="AC36" s="1264">
        <f t="shared" si="5"/>
        <v>1</v>
      </c>
    </row>
    <row r="37" spans="1:29" ht="15">
      <c r="A37" s="416" t="s">
        <v>1844</v>
      </c>
      <c r="B37" s="1821" t="s">
        <v>3342</v>
      </c>
      <c r="C37" s="1081" t="s">
        <v>0</v>
      </c>
      <c r="D37" s="418"/>
      <c r="E37" s="419"/>
      <c r="F37" s="420"/>
      <c r="G37" s="421"/>
      <c r="H37" s="422"/>
      <c r="I37" s="419"/>
      <c r="J37" s="422"/>
      <c r="K37" s="545"/>
      <c r="L37" s="2495"/>
      <c r="M37" s="2488"/>
      <c r="N37" s="2488"/>
      <c r="O37" s="2488"/>
      <c r="P37" s="3432" t="str">
        <f>A37</f>
        <v>成交单价</v>
      </c>
      <c r="Q37" s="3432"/>
      <c r="R37" s="3433">
        <f>E37</f>
        <v>0</v>
      </c>
      <c r="S37" s="3433"/>
      <c r="T37" s="3433">
        <f>G37</f>
        <v>0</v>
      </c>
      <c r="U37" s="3433"/>
      <c r="V37" s="3433">
        <f>I37</f>
        <v>0</v>
      </c>
      <c r="W37" s="343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2" t="str">
        <f>A38</f>
        <v>比较价值（元/平方米）</v>
      </c>
      <c r="Q38" s="3432"/>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9" t="str">
        <f>A39</f>
        <v>估价对象XX用房的比较价值（楼面单价，元/平方米）</v>
      </c>
      <c r="Q39" s="3430"/>
      <c r="R39" s="3490" t="e">
        <f>IF(F1="售价",ROUND(IF(D38="简单平均",AVERAGE(R38:W38),R38*F38+T38*H38+V38*J38),0),ROUND(IF(D38="简单平均",AVERAGE(R38:V38),R38*F38+T38*H38+V38*J38),1))</f>
        <v>#DIV/0!</v>
      </c>
      <c r="S39" s="3490"/>
      <c r="T39" s="3490"/>
      <c r="U39" s="3490"/>
      <c r="V39" s="3490"/>
      <c r="W39" s="349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67" t="s">
        <v>1680</v>
      </c>
      <c r="Q7" s="3469"/>
      <c r="R7" s="664" t="s">
        <v>14</v>
      </c>
      <c r="S7" s="665">
        <f t="shared" ref="S7:S14" si="0">F7</f>
        <v>0</v>
      </c>
      <c r="T7" s="664" t="s">
        <v>14</v>
      </c>
      <c r="U7" s="665">
        <f t="shared" ref="U7:U14" si="1">H7</f>
        <v>0</v>
      </c>
      <c r="V7" s="664" t="s">
        <v>14</v>
      </c>
      <c r="W7" s="665">
        <f t="shared" ref="W7:W14" si="2">J7</f>
        <v>0</v>
      </c>
      <c r="X7" s="666"/>
      <c r="Y7" s="3467" t="s">
        <v>1680</v>
      </c>
      <c r="Z7" s="346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67" t="s">
        <v>1683</v>
      </c>
      <c r="Q8" s="3468"/>
      <c r="R8" s="664" t="s">
        <v>14</v>
      </c>
      <c r="S8" s="665">
        <f t="shared" si="0"/>
        <v>100</v>
      </c>
      <c r="T8" s="664" t="s">
        <v>14</v>
      </c>
      <c r="U8" s="665">
        <f t="shared" si="1"/>
        <v>100</v>
      </c>
      <c r="V8" s="664" t="s">
        <v>14</v>
      </c>
      <c r="W8" s="665">
        <f t="shared" si="2"/>
        <v>100</v>
      </c>
      <c r="X8" s="666"/>
      <c r="Y8" s="3467" t="s">
        <v>1683</v>
      </c>
      <c r="Z8" s="346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2" t="s">
        <v>1686</v>
      </c>
      <c r="Q9" s="530" t="str">
        <f t="shared" ref="Q9:Q14" si="6">B9</f>
        <v>用途</v>
      </c>
      <c r="R9" s="664" t="s">
        <v>14</v>
      </c>
      <c r="S9" s="665">
        <f t="shared" si="0"/>
        <v>100</v>
      </c>
      <c r="T9" s="664" t="s">
        <v>14</v>
      </c>
      <c r="U9" s="665">
        <f t="shared" si="1"/>
        <v>100</v>
      </c>
      <c r="V9" s="664" t="s">
        <v>14</v>
      </c>
      <c r="W9" s="665">
        <f t="shared" si="2"/>
        <v>100</v>
      </c>
      <c r="X9" s="666"/>
      <c r="Y9" s="330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2"/>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2"/>
      <c r="Q11" s="530">
        <f t="shared" si="6"/>
        <v>111</v>
      </c>
      <c r="R11" s="664" t="s">
        <v>14</v>
      </c>
      <c r="S11" s="665">
        <f t="shared" si="0"/>
        <v>100</v>
      </c>
      <c r="T11" s="664" t="s">
        <v>14</v>
      </c>
      <c r="U11" s="665">
        <f t="shared" si="1"/>
        <v>100</v>
      </c>
      <c r="V11" s="664" t="s">
        <v>14</v>
      </c>
      <c r="W11" s="665">
        <f t="shared" si="2"/>
        <v>100</v>
      </c>
      <c r="X11" s="666"/>
      <c r="Y11" s="330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2"/>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4" t="s">
        <v>1691</v>
      </c>
      <c r="Q14" s="1263" t="str">
        <f t="shared" si="6"/>
        <v>交通便捷度</v>
      </c>
      <c r="R14" s="667" t="s">
        <v>14</v>
      </c>
      <c r="S14" s="668">
        <f t="shared" si="0"/>
        <v>100</v>
      </c>
      <c r="T14" s="667" t="s">
        <v>14</v>
      </c>
      <c r="U14" s="668">
        <f t="shared" si="1"/>
        <v>100</v>
      </c>
      <c r="V14" s="667" t="s">
        <v>14</v>
      </c>
      <c r="W14" s="668">
        <f t="shared" si="2"/>
        <v>100</v>
      </c>
      <c r="X14" s="1265"/>
      <c r="Y14" s="343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5"/>
      <c r="Q15" s="1263"/>
      <c r="R15" s="667"/>
      <c r="S15" s="668"/>
      <c r="T15" s="667"/>
      <c r="U15" s="668"/>
      <c r="V15" s="667"/>
      <c r="W15" s="668"/>
      <c r="X15" s="1265"/>
      <c r="Y15" s="3435"/>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5"/>
      <c r="Q16" s="1263" t="str">
        <f>B16</f>
        <v>公共配套设施</v>
      </c>
      <c r="R16" s="667" t="s">
        <v>14</v>
      </c>
      <c r="S16" s="668">
        <f>F16</f>
        <v>100</v>
      </c>
      <c r="T16" s="667" t="s">
        <v>14</v>
      </c>
      <c r="U16" s="668">
        <f>H16</f>
        <v>100</v>
      </c>
      <c r="V16" s="667" t="s">
        <v>14</v>
      </c>
      <c r="W16" s="668">
        <f>J16</f>
        <v>100</v>
      </c>
      <c r="X16" s="1265"/>
      <c r="Y16" s="343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5"/>
      <c r="Q17" s="1263"/>
      <c r="R17" s="667"/>
      <c r="S17" s="668"/>
      <c r="T17" s="667"/>
      <c r="U17" s="668"/>
      <c r="V17" s="667"/>
      <c r="W17" s="668"/>
      <c r="X17" s="1265"/>
      <c r="Y17" s="3435"/>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5"/>
      <c r="Q18" s="1263" t="str">
        <f>B18</f>
        <v>基础设施水平</v>
      </c>
      <c r="R18" s="667" t="s">
        <v>14</v>
      </c>
      <c r="S18" s="668">
        <f>F18</f>
        <v>100</v>
      </c>
      <c r="T18" s="667" t="s">
        <v>14</v>
      </c>
      <c r="U18" s="668">
        <f>H18</f>
        <v>100</v>
      </c>
      <c r="V18" s="667" t="s">
        <v>14</v>
      </c>
      <c r="W18" s="668">
        <f>J18</f>
        <v>100</v>
      </c>
      <c r="X18" s="1265"/>
      <c r="Y18" s="343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5"/>
      <c r="Q19" s="1263"/>
      <c r="R19" s="667"/>
      <c r="S19" s="668"/>
      <c r="T19" s="667"/>
      <c r="U19" s="668"/>
      <c r="V19" s="667"/>
      <c r="W19" s="668"/>
      <c r="X19" s="1265"/>
      <c r="Y19" s="3435"/>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5"/>
      <c r="Q20" s="1263" t="str">
        <f>B20</f>
        <v>自然及人文环境</v>
      </c>
      <c r="R20" s="667" t="s">
        <v>14</v>
      </c>
      <c r="S20" s="668">
        <f>F20</f>
        <v>100</v>
      </c>
      <c r="T20" s="667" t="s">
        <v>14</v>
      </c>
      <c r="U20" s="668">
        <f>H20</f>
        <v>100</v>
      </c>
      <c r="V20" s="667" t="s">
        <v>14</v>
      </c>
      <c r="W20" s="668">
        <f>J20</f>
        <v>100</v>
      </c>
      <c r="X20" s="1265"/>
      <c r="Y20" s="343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5"/>
      <c r="Q21" s="1263"/>
      <c r="R21" s="667"/>
      <c r="S21" s="668"/>
      <c r="T21" s="667"/>
      <c r="U21" s="668"/>
      <c r="V21" s="667"/>
      <c r="W21" s="668"/>
      <c r="X21" s="1265"/>
      <c r="Y21" s="343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5"/>
      <c r="Q22" s="1263" t="str">
        <f>B22</f>
        <v>楼层</v>
      </c>
      <c r="R22" s="667" t="s">
        <v>14</v>
      </c>
      <c r="S22" s="668">
        <f>F22</f>
        <v>100</v>
      </c>
      <c r="T22" s="667" t="s">
        <v>14</v>
      </c>
      <c r="U22" s="668">
        <f>H22</f>
        <v>100</v>
      </c>
      <c r="V22" s="667" t="s">
        <v>14</v>
      </c>
      <c r="W22" s="668">
        <f>J22</f>
        <v>100</v>
      </c>
      <c r="X22" s="1265"/>
      <c r="Y22" s="343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5"/>
      <c r="Q23" s="1263">
        <f>B23</f>
        <v>111</v>
      </c>
      <c r="R23" s="667" t="s">
        <v>14</v>
      </c>
      <c r="S23" s="668">
        <f>F23</f>
        <v>100</v>
      </c>
      <c r="T23" s="667" t="s">
        <v>14</v>
      </c>
      <c r="U23" s="668">
        <f>H23</f>
        <v>100</v>
      </c>
      <c r="V23" s="667" t="s">
        <v>14</v>
      </c>
      <c r="W23" s="668">
        <f>J23</f>
        <v>100</v>
      </c>
      <c r="X23" s="1265"/>
      <c r="Y23" s="343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5"/>
      <c r="Q24" s="1263">
        <f t="shared" ref="Q24:Q34" si="11">B24</f>
        <v>111</v>
      </c>
      <c r="R24" s="667" t="s">
        <v>14</v>
      </c>
      <c r="S24" s="668">
        <f>F24</f>
        <v>100</v>
      </c>
      <c r="T24" s="667" t="s">
        <v>14</v>
      </c>
      <c r="U24" s="668">
        <f>H24</f>
        <v>100</v>
      </c>
      <c r="V24" s="667" t="s">
        <v>14</v>
      </c>
      <c r="W24" s="668">
        <f>J24</f>
        <v>100</v>
      </c>
      <c r="X24" s="1265"/>
      <c r="Y24" s="343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5"/>
      <c r="Q25" s="530">
        <f t="shared" si="11"/>
        <v>111</v>
      </c>
      <c r="R25" s="664" t="s">
        <v>14</v>
      </c>
      <c r="S25" s="665">
        <f>F25</f>
        <v>100</v>
      </c>
      <c r="T25" s="664" t="s">
        <v>14</v>
      </c>
      <c r="U25" s="665">
        <f>H25</f>
        <v>100</v>
      </c>
      <c r="V25" s="664" t="s">
        <v>14</v>
      </c>
      <c r="W25" s="665">
        <f>J25</f>
        <v>100</v>
      </c>
      <c r="X25" s="666"/>
      <c r="Y25" s="343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8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9"/>
      <c r="Q27" s="531" t="str">
        <f t="shared" si="11"/>
        <v>成新率</v>
      </c>
      <c r="R27" s="669" t="s">
        <v>14</v>
      </c>
      <c r="S27" s="670" t="e">
        <f t="shared" si="12"/>
        <v>#N/A</v>
      </c>
      <c r="T27" s="669" t="s">
        <v>14</v>
      </c>
      <c r="U27" s="670" t="e">
        <f t="shared" si="13"/>
        <v>#N/A</v>
      </c>
      <c r="V27" s="669" t="s">
        <v>14</v>
      </c>
      <c r="W27" s="670" t="e">
        <f t="shared" si="14"/>
        <v>#N/A</v>
      </c>
      <c r="X27" s="671"/>
      <c r="Y27" s="343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9"/>
      <c r="Q28" s="1263" t="str">
        <f t="shared" si="11"/>
        <v>物业等级</v>
      </c>
      <c r="R28" s="667" t="s">
        <v>14</v>
      </c>
      <c r="S28" s="668">
        <f t="shared" si="12"/>
        <v>100</v>
      </c>
      <c r="T28" s="667" t="s">
        <v>14</v>
      </c>
      <c r="U28" s="668">
        <f t="shared" si="13"/>
        <v>100</v>
      </c>
      <c r="V28" s="667" t="s">
        <v>14</v>
      </c>
      <c r="W28" s="668">
        <f t="shared" si="14"/>
        <v>100</v>
      </c>
      <c r="X28" s="1265"/>
      <c r="Y28" s="343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9"/>
      <c r="Q29" s="1263" t="str">
        <f t="shared" si="11"/>
        <v>有无电梯</v>
      </c>
      <c r="R29" s="667" t="s">
        <v>14</v>
      </c>
      <c r="S29" s="668">
        <f t="shared" si="12"/>
        <v>100</v>
      </c>
      <c r="T29" s="667" t="s">
        <v>14</v>
      </c>
      <c r="U29" s="668">
        <f t="shared" si="13"/>
        <v>100</v>
      </c>
      <c r="V29" s="667" t="s">
        <v>14</v>
      </c>
      <c r="W29" s="668">
        <f t="shared" si="14"/>
        <v>100</v>
      </c>
      <c r="X29" s="1265"/>
      <c r="Y29" s="343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9"/>
      <c r="Q30" s="1263" t="str">
        <f t="shared" si="11"/>
        <v>建筑面积</v>
      </c>
      <c r="R30" s="667" t="s">
        <v>14</v>
      </c>
      <c r="S30" s="668" t="e">
        <f t="shared" si="12"/>
        <v>#N/A</v>
      </c>
      <c r="T30" s="667" t="s">
        <v>14</v>
      </c>
      <c r="U30" s="668" t="e">
        <f t="shared" si="13"/>
        <v>#N/A</v>
      </c>
      <c r="V30" s="667" t="s">
        <v>14</v>
      </c>
      <c r="W30" s="668" t="e">
        <f t="shared" si="14"/>
        <v>#N/A</v>
      </c>
      <c r="X30" s="1265"/>
      <c r="Y30" s="343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9"/>
      <c r="Q31" s="530" t="str">
        <f t="shared" si="11"/>
        <v>是否封闭</v>
      </c>
      <c r="R31" s="664" t="s">
        <v>14</v>
      </c>
      <c r="S31" s="665">
        <f t="shared" si="12"/>
        <v>100</v>
      </c>
      <c r="T31" s="664" t="s">
        <v>14</v>
      </c>
      <c r="U31" s="665">
        <f t="shared" si="13"/>
        <v>100</v>
      </c>
      <c r="V31" s="664" t="s">
        <v>14</v>
      </c>
      <c r="W31" s="665">
        <f t="shared" si="14"/>
        <v>100</v>
      </c>
      <c r="X31" s="666"/>
      <c r="Y31" s="343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9" t="s">
        <v>1696</v>
      </c>
      <c r="Q32" s="1263">
        <f t="shared" si="11"/>
        <v>111</v>
      </c>
      <c r="R32" s="667" t="s">
        <v>14</v>
      </c>
      <c r="S32" s="668">
        <f t="shared" si="12"/>
        <v>100</v>
      </c>
      <c r="T32" s="667" t="s">
        <v>14</v>
      </c>
      <c r="U32" s="668">
        <f t="shared" si="13"/>
        <v>100</v>
      </c>
      <c r="V32" s="667" t="s">
        <v>14</v>
      </c>
      <c r="W32" s="668">
        <f t="shared" si="14"/>
        <v>100</v>
      </c>
      <c r="X32" s="1265"/>
      <c r="Y32" s="343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9"/>
      <c r="Q33" s="1263">
        <f t="shared" si="11"/>
        <v>111</v>
      </c>
      <c r="R33" s="667" t="s">
        <v>14</v>
      </c>
      <c r="S33" s="668">
        <f t="shared" si="12"/>
        <v>100</v>
      </c>
      <c r="T33" s="667" t="s">
        <v>14</v>
      </c>
      <c r="U33" s="668">
        <f t="shared" si="13"/>
        <v>100</v>
      </c>
      <c r="V33" s="667" t="s">
        <v>14</v>
      </c>
      <c r="W33" s="668">
        <f t="shared" si="14"/>
        <v>100</v>
      </c>
      <c r="X33" s="1265"/>
      <c r="Y33" s="343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9"/>
      <c r="Q34" s="1263">
        <f t="shared" si="11"/>
        <v>111</v>
      </c>
      <c r="R34" s="667" t="s">
        <v>14</v>
      </c>
      <c r="S34" s="668">
        <f t="shared" si="12"/>
        <v>100</v>
      </c>
      <c r="T34" s="667" t="s">
        <v>14</v>
      </c>
      <c r="U34" s="668">
        <f t="shared" si="13"/>
        <v>100</v>
      </c>
      <c r="V34" s="667" t="s">
        <v>14</v>
      </c>
      <c r="W34" s="668">
        <f t="shared" si="14"/>
        <v>100</v>
      </c>
      <c r="X34" s="1265"/>
      <c r="Y34" s="343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2" t="str">
        <f>A35</f>
        <v>成交单价（元/平方米）</v>
      </c>
      <c r="Q35" s="3432"/>
      <c r="R35" s="3433">
        <f>E35</f>
        <v>0</v>
      </c>
      <c r="S35" s="3433"/>
      <c r="T35" s="3433">
        <f>G35</f>
        <v>0</v>
      </c>
      <c r="U35" s="3433"/>
      <c r="V35" s="3433">
        <f>I35</f>
        <v>0</v>
      </c>
      <c r="W35" s="343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2" t="str">
        <f>A36</f>
        <v>比较价值（元/平方米）</v>
      </c>
      <c r="Q36" s="3432"/>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9" t="str">
        <f>A37</f>
        <v>估价对象XX用房的比较价值（楼面单价，元/平方米）</v>
      </c>
      <c r="Q37" s="3430"/>
      <c r="R37" s="3490" t="e">
        <f>IF(F1="售价",ROUND(IF(D36="简单平均",AVERAGE(R36:W36),R36*F36+T36*H36+V36*J36),0),ROUND(IF(D36="简单平均",AVERAGE(R36:V36),R36*F36+T36*H36+V36*J36),1))</f>
        <v>#DIV/0!</v>
      </c>
      <c r="S37" s="3490"/>
      <c r="T37" s="3490"/>
      <c r="U37" s="3490"/>
      <c r="V37" s="3490"/>
      <c r="W37" s="349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67" t="s">
        <v>1680</v>
      </c>
      <c r="Q7" s="3469"/>
      <c r="R7" s="664" t="s">
        <v>14</v>
      </c>
      <c r="S7" s="665">
        <f t="shared" ref="S7:S15" si="0">F7</f>
        <v>0</v>
      </c>
      <c r="T7" s="664" t="s">
        <v>14</v>
      </c>
      <c r="U7" s="665">
        <f t="shared" ref="U7:U15" si="1">H7</f>
        <v>0</v>
      </c>
      <c r="V7" s="664" t="s">
        <v>14</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67" t="s">
        <v>1683</v>
      </c>
      <c r="Q8" s="3468"/>
      <c r="R8" s="664" t="s">
        <v>14</v>
      </c>
      <c r="S8" s="665">
        <f t="shared" si="0"/>
        <v>0</v>
      </c>
      <c r="T8" s="664" t="s">
        <v>14</v>
      </c>
      <c r="U8" s="665">
        <f t="shared" si="1"/>
        <v>0</v>
      </c>
      <c r="V8" s="664" t="s">
        <v>14</v>
      </c>
      <c r="W8" s="665">
        <f t="shared" si="2"/>
        <v>0</v>
      </c>
      <c r="X8" s="666"/>
      <c r="Y8" s="3467" t="s">
        <v>1683</v>
      </c>
      <c r="Z8" s="346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2"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135</v>
      </c>
      <c r="G10" s="402"/>
      <c r="H10" s="119">
        <f>ROUND(100/'数据-取费表'!G16,0)</f>
        <v>135</v>
      </c>
      <c r="I10" s="402"/>
      <c r="J10" s="119">
        <f>ROUND(100/'数据-取费表'!G16,0)</f>
        <v>135</v>
      </c>
      <c r="K10" s="592"/>
      <c r="L10" s="2490"/>
      <c r="M10" s="2491"/>
      <c r="N10" s="2491"/>
      <c r="O10" s="2542"/>
      <c r="P10" s="3432"/>
      <c r="Q10" s="530" t="str">
        <f t="shared" si="6"/>
        <v>土地使用年限（年）</v>
      </c>
      <c r="R10" s="664" t="s">
        <v>14</v>
      </c>
      <c r="S10" s="665">
        <f t="shared" si="0"/>
        <v>135</v>
      </c>
      <c r="T10" s="664" t="s">
        <v>14</v>
      </c>
      <c r="U10" s="665">
        <f t="shared" si="1"/>
        <v>135</v>
      </c>
      <c r="V10" s="664" t="s">
        <v>14</v>
      </c>
      <c r="W10" s="665">
        <f t="shared" si="2"/>
        <v>135</v>
      </c>
      <c r="X10" s="666"/>
      <c r="Y10" s="3307"/>
      <c r="Z10" s="50" t="str">
        <f t="shared" si="7"/>
        <v>土地使用年限（年）</v>
      </c>
      <c r="AA10" s="50">
        <f t="shared" si="3"/>
        <v>0.7407407407407407</v>
      </c>
      <c r="AB10" s="50">
        <f t="shared" si="4"/>
        <v>0.7407407407407407</v>
      </c>
      <c r="AC10" s="50">
        <f t="shared" si="5"/>
        <v>0.7407407407407407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2"/>
      <c r="Q11" s="530" t="str">
        <f t="shared" si="6"/>
        <v>容积率</v>
      </c>
      <c r="R11" s="664" t="s">
        <v>14</v>
      </c>
      <c r="S11" s="665" t="e">
        <f t="shared" si="0"/>
        <v>#N/A</v>
      </c>
      <c r="T11" s="664" t="s">
        <v>14</v>
      </c>
      <c r="U11" s="665" t="e">
        <f t="shared" si="1"/>
        <v>#N/A</v>
      </c>
      <c r="V11" s="664" t="s">
        <v>14</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2"/>
      <c r="Q12" s="530" t="str">
        <f t="shared" si="6"/>
        <v>配建</v>
      </c>
      <c r="R12" s="664" t="s">
        <v>14</v>
      </c>
      <c r="S12" s="665">
        <f t="shared" si="0"/>
        <v>100</v>
      </c>
      <c r="T12" s="664" t="s">
        <v>14</v>
      </c>
      <c r="U12" s="665">
        <f t="shared" si="1"/>
        <v>100</v>
      </c>
      <c r="V12" s="664" t="s">
        <v>14</v>
      </c>
      <c r="W12" s="665">
        <f t="shared" si="2"/>
        <v>100</v>
      </c>
      <c r="X12" s="666"/>
      <c r="Y12" s="330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30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2"/>
      <c r="Q14" s="530">
        <f t="shared" si="6"/>
        <v>111</v>
      </c>
      <c r="R14" s="664" t="s">
        <v>14</v>
      </c>
      <c r="S14" s="665">
        <f t="shared" si="0"/>
        <v>100</v>
      </c>
      <c r="T14" s="664" t="s">
        <v>14</v>
      </c>
      <c r="U14" s="665">
        <f t="shared" si="1"/>
        <v>100</v>
      </c>
      <c r="V14" s="664" t="s">
        <v>14</v>
      </c>
      <c r="W14" s="665">
        <f t="shared" si="2"/>
        <v>100</v>
      </c>
      <c r="X14" s="666"/>
      <c r="Y14" s="3307"/>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4" t="s">
        <v>1691</v>
      </c>
      <c r="Q15" s="1263" t="str">
        <f t="shared" si="6"/>
        <v>居住社区成熟度</v>
      </c>
      <c r="R15" s="667" t="s">
        <v>14</v>
      </c>
      <c r="S15" s="668">
        <f t="shared" si="0"/>
        <v>100</v>
      </c>
      <c r="T15" s="667" t="s">
        <v>14</v>
      </c>
      <c r="U15" s="668">
        <f t="shared" si="1"/>
        <v>100</v>
      </c>
      <c r="V15" s="667" t="s">
        <v>14</v>
      </c>
      <c r="W15" s="668">
        <f t="shared" si="2"/>
        <v>100</v>
      </c>
      <c r="X15" s="1265"/>
      <c r="Y15" s="343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5"/>
      <c r="Q16" s="1263"/>
      <c r="R16" s="667"/>
      <c r="S16" s="668"/>
      <c r="T16" s="667"/>
      <c r="U16" s="668"/>
      <c r="V16" s="667"/>
      <c r="W16" s="668"/>
      <c r="X16" s="1265"/>
      <c r="Y16" s="3435"/>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5"/>
      <c r="Q17" s="1263" t="str">
        <f>B17</f>
        <v>商业繁华度</v>
      </c>
      <c r="R17" s="667" t="s">
        <v>14</v>
      </c>
      <c r="S17" s="668">
        <f>F17</f>
        <v>100</v>
      </c>
      <c r="T17" s="667" t="s">
        <v>14</v>
      </c>
      <c r="U17" s="668">
        <f>H17</f>
        <v>100</v>
      </c>
      <c r="V17" s="667" t="s">
        <v>14</v>
      </c>
      <c r="W17" s="668">
        <f>J17</f>
        <v>100</v>
      </c>
      <c r="X17" s="1265"/>
      <c r="Y17" s="343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5"/>
      <c r="Q18" s="1263"/>
      <c r="R18" s="667"/>
      <c r="S18" s="668"/>
      <c r="T18" s="667"/>
      <c r="U18" s="668"/>
      <c r="V18" s="667"/>
      <c r="W18" s="668"/>
      <c r="X18" s="1265"/>
      <c r="Y18" s="3435"/>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5"/>
      <c r="Q19" s="1263" t="str">
        <f>B19</f>
        <v>办公集聚程度</v>
      </c>
      <c r="R19" s="667" t="s">
        <v>14</v>
      </c>
      <c r="S19" s="668">
        <f>F19</f>
        <v>100</v>
      </c>
      <c r="T19" s="667" t="s">
        <v>14</v>
      </c>
      <c r="U19" s="668">
        <f>H19</f>
        <v>100</v>
      </c>
      <c r="V19" s="667" t="s">
        <v>14</v>
      </c>
      <c r="W19" s="668">
        <f>J19</f>
        <v>100</v>
      </c>
      <c r="X19" s="1265"/>
      <c r="Y19" s="343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5"/>
      <c r="Q20" s="1263"/>
      <c r="R20" s="667"/>
      <c r="S20" s="668"/>
      <c r="T20" s="667"/>
      <c r="U20" s="668"/>
      <c r="V20" s="667"/>
      <c r="W20" s="668"/>
      <c r="X20" s="1265"/>
      <c r="Y20" s="3435"/>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5"/>
      <c r="Q21" s="1263" t="str">
        <f>B21</f>
        <v>交通便捷度</v>
      </c>
      <c r="R21" s="667" t="s">
        <v>14</v>
      </c>
      <c r="S21" s="668">
        <f>F21</f>
        <v>100</v>
      </c>
      <c r="T21" s="667" t="s">
        <v>14</v>
      </c>
      <c r="U21" s="668">
        <f>H21</f>
        <v>100</v>
      </c>
      <c r="V21" s="667" t="s">
        <v>14</v>
      </c>
      <c r="W21" s="668">
        <f>J21</f>
        <v>100</v>
      </c>
      <c r="X21" s="1265"/>
      <c r="Y21" s="343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5"/>
      <c r="Q22" s="1263"/>
      <c r="R22" s="667"/>
      <c r="S22" s="668"/>
      <c r="T22" s="667"/>
      <c r="U22" s="668"/>
      <c r="V22" s="667"/>
      <c r="W22" s="668"/>
      <c r="X22" s="1265"/>
      <c r="Y22" s="343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5"/>
      <c r="Q23" s="1263" t="str">
        <f t="shared" ref="Q23:Q37" si="8">B23</f>
        <v>区域土地利用方向</v>
      </c>
      <c r="R23" s="667" t="s">
        <v>14</v>
      </c>
      <c r="S23" s="668">
        <f>F23</f>
        <v>100</v>
      </c>
      <c r="T23" s="667" t="s">
        <v>14</v>
      </c>
      <c r="U23" s="668">
        <f>H23</f>
        <v>100</v>
      </c>
      <c r="V23" s="667" t="s">
        <v>14</v>
      </c>
      <c r="W23" s="668">
        <f>J23</f>
        <v>100</v>
      </c>
      <c r="X23" s="1265"/>
      <c r="Y23" s="343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5"/>
      <c r="Q24" s="1263"/>
      <c r="R24" s="667"/>
      <c r="S24" s="668"/>
      <c r="T24" s="667"/>
      <c r="U24" s="668"/>
      <c r="V24" s="667"/>
      <c r="W24" s="668"/>
      <c r="X24" s="1265"/>
      <c r="Y24" s="3435"/>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5"/>
      <c r="Q25" s="1263" t="str">
        <f t="shared" si="8"/>
        <v>自然及人文环境状况</v>
      </c>
      <c r="R25" s="667" t="s">
        <v>14</v>
      </c>
      <c r="S25" s="668">
        <f>F25</f>
        <v>100</v>
      </c>
      <c r="T25" s="667" t="s">
        <v>14</v>
      </c>
      <c r="U25" s="668">
        <f>H25</f>
        <v>100</v>
      </c>
      <c r="V25" s="667" t="s">
        <v>14</v>
      </c>
      <c r="W25" s="668">
        <f>J25</f>
        <v>100</v>
      </c>
      <c r="X25" s="1265"/>
      <c r="Y25" s="343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5"/>
      <c r="Q26" s="1263"/>
      <c r="R26" s="667"/>
      <c r="S26" s="668"/>
      <c r="T26" s="667"/>
      <c r="U26" s="668"/>
      <c r="V26" s="667"/>
      <c r="W26" s="668"/>
      <c r="X26" s="1265"/>
      <c r="Y26" s="3435"/>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5"/>
      <c r="Q27" s="530" t="str">
        <f t="shared" si="8"/>
        <v>公共配套设施</v>
      </c>
      <c r="R27" s="664" t="s">
        <v>14</v>
      </c>
      <c r="S27" s="665">
        <f>F27</f>
        <v>100</v>
      </c>
      <c r="T27" s="664" t="s">
        <v>14</v>
      </c>
      <c r="U27" s="665">
        <f>H27</f>
        <v>100</v>
      </c>
      <c r="V27" s="664" t="s">
        <v>14</v>
      </c>
      <c r="W27" s="665">
        <f>J27</f>
        <v>100</v>
      </c>
      <c r="X27" s="666"/>
      <c r="Y27" s="343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5"/>
      <c r="Q28" s="530"/>
      <c r="R28" s="664"/>
      <c r="S28" s="665"/>
      <c r="T28" s="664"/>
      <c r="U28" s="665"/>
      <c r="V28" s="664"/>
      <c r="W28" s="665"/>
      <c r="X28" s="666"/>
      <c r="Y28" s="3435"/>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5"/>
      <c r="Q29" s="530" t="str">
        <f t="shared" ref="Q29" si="9">B29</f>
        <v>基础设施水平</v>
      </c>
      <c r="R29" s="664" t="s">
        <v>14</v>
      </c>
      <c r="S29" s="665">
        <f>F29</f>
        <v>100</v>
      </c>
      <c r="T29" s="664" t="s">
        <v>14</v>
      </c>
      <c r="U29" s="665">
        <f>H29</f>
        <v>100</v>
      </c>
      <c r="V29" s="664" t="s">
        <v>14</v>
      </c>
      <c r="W29" s="665">
        <f>J29</f>
        <v>100</v>
      </c>
      <c r="X29" s="666"/>
      <c r="Y29" s="343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5"/>
      <c r="Q30" s="530"/>
      <c r="R30" s="664"/>
      <c r="S30" s="665"/>
      <c r="T30" s="664"/>
      <c r="U30" s="665"/>
      <c r="V30" s="664"/>
      <c r="W30" s="665"/>
      <c r="X30" s="666"/>
      <c r="Y30" s="343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5"/>
      <c r="Q32" s="1263" t="str">
        <f t="shared" si="8"/>
        <v>毗邻道路的类型与等级</v>
      </c>
      <c r="R32" s="667" t="s">
        <v>14</v>
      </c>
      <c r="S32" s="668">
        <f t="shared" si="10"/>
        <v>100</v>
      </c>
      <c r="T32" s="667" t="s">
        <v>14</v>
      </c>
      <c r="U32" s="668">
        <f t="shared" si="11"/>
        <v>100</v>
      </c>
      <c r="V32" s="667" t="s">
        <v>14</v>
      </c>
      <c r="W32" s="668">
        <f t="shared" si="12"/>
        <v>100</v>
      </c>
      <c r="X32" s="1265"/>
      <c r="Y32" s="343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5"/>
      <c r="Q33" s="1263"/>
      <c r="R33" s="667"/>
      <c r="S33" s="668"/>
      <c r="T33" s="667"/>
      <c r="U33" s="668"/>
      <c r="V33" s="667"/>
      <c r="W33" s="668"/>
      <c r="X33" s="1265"/>
      <c r="Y33" s="343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5"/>
      <c r="Q34" s="1263" t="str">
        <f t="shared" si="8"/>
        <v>土地级别</v>
      </c>
      <c r="R34" s="667" t="s">
        <v>14</v>
      </c>
      <c r="S34" s="668">
        <f t="shared" si="10"/>
        <v>100</v>
      </c>
      <c r="T34" s="667" t="s">
        <v>14</v>
      </c>
      <c r="U34" s="668">
        <f t="shared" si="11"/>
        <v>100</v>
      </c>
      <c r="V34" s="667" t="s">
        <v>14</v>
      </c>
      <c r="W34" s="668">
        <f t="shared" si="12"/>
        <v>100</v>
      </c>
      <c r="X34" s="1265"/>
      <c r="Y34" s="343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5"/>
      <c r="Q35" s="1263">
        <f t="shared" si="8"/>
        <v>111</v>
      </c>
      <c r="R35" s="667" t="s">
        <v>14</v>
      </c>
      <c r="S35" s="668">
        <f t="shared" si="10"/>
        <v>100</v>
      </c>
      <c r="T35" s="667" t="s">
        <v>14</v>
      </c>
      <c r="U35" s="668">
        <f t="shared" si="11"/>
        <v>100</v>
      </c>
      <c r="V35" s="667" t="s">
        <v>14</v>
      </c>
      <c r="W35" s="668">
        <f t="shared" si="12"/>
        <v>100</v>
      </c>
      <c r="X35" s="1265"/>
      <c r="Y35" s="343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89" t="s">
        <v>1696</v>
      </c>
      <c r="Q36" s="1263">
        <f t="shared" si="8"/>
        <v>111</v>
      </c>
      <c r="R36" s="667" t="s">
        <v>14</v>
      </c>
      <c r="S36" s="668">
        <f t="shared" si="10"/>
        <v>100</v>
      </c>
      <c r="T36" s="667" t="s">
        <v>14</v>
      </c>
      <c r="U36" s="668">
        <f t="shared" si="11"/>
        <v>100</v>
      </c>
      <c r="V36" s="667" t="s">
        <v>14</v>
      </c>
      <c r="W36" s="668">
        <f t="shared" si="12"/>
        <v>100</v>
      </c>
      <c r="X36" s="1265"/>
      <c r="Y36" s="343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9"/>
      <c r="Q37" s="1263">
        <f t="shared" si="8"/>
        <v>111</v>
      </c>
      <c r="R37" s="669" t="s">
        <v>14</v>
      </c>
      <c r="S37" s="670">
        <f t="shared" si="10"/>
        <v>100</v>
      </c>
      <c r="T37" s="669" t="s">
        <v>14</v>
      </c>
      <c r="U37" s="670">
        <f t="shared" si="11"/>
        <v>100</v>
      </c>
      <c r="V37" s="669" t="s">
        <v>14</v>
      </c>
      <c r="W37" s="670">
        <f t="shared" si="12"/>
        <v>100</v>
      </c>
      <c r="X37" s="671"/>
      <c r="Y37" s="343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9"/>
      <c r="Q38" s="1263" t="str">
        <f>B38</f>
        <v>宗地面积</v>
      </c>
      <c r="R38" s="667" t="s">
        <v>14</v>
      </c>
      <c r="S38" s="668" t="e">
        <f t="shared" si="10"/>
        <v>#N/A</v>
      </c>
      <c r="T38" s="667" t="s">
        <v>14</v>
      </c>
      <c r="U38" s="668" t="e">
        <f t="shared" si="11"/>
        <v>#N/A</v>
      </c>
      <c r="V38" s="667" t="s">
        <v>14</v>
      </c>
      <c r="W38" s="668" t="e">
        <f t="shared" si="12"/>
        <v>#N/A</v>
      </c>
      <c r="X38" s="1265"/>
      <c r="Y38" s="343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9"/>
      <c r="Q39" s="1263" t="str">
        <f t="shared" ref="Q39:Q45" si="14">B39</f>
        <v>宗地形状</v>
      </c>
      <c r="R39" s="667" t="s">
        <v>14</v>
      </c>
      <c r="S39" s="668">
        <f t="shared" si="10"/>
        <v>100</v>
      </c>
      <c r="T39" s="667" t="s">
        <v>14</v>
      </c>
      <c r="U39" s="668">
        <f t="shared" si="11"/>
        <v>100</v>
      </c>
      <c r="V39" s="667" t="s">
        <v>14</v>
      </c>
      <c r="W39" s="668">
        <f t="shared" si="12"/>
        <v>100</v>
      </c>
      <c r="X39" s="1265"/>
      <c r="Y39" s="343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9"/>
      <c r="Q40" s="1263" t="str">
        <f t="shared" si="14"/>
        <v>临街宽度及深度</v>
      </c>
      <c r="R40" s="667" t="s">
        <v>14</v>
      </c>
      <c r="S40" s="668">
        <f t="shared" si="10"/>
        <v>100</v>
      </c>
      <c r="T40" s="667" t="s">
        <v>14</v>
      </c>
      <c r="U40" s="668">
        <f t="shared" si="11"/>
        <v>100</v>
      </c>
      <c r="V40" s="667" t="s">
        <v>14</v>
      </c>
      <c r="W40" s="668">
        <f t="shared" si="12"/>
        <v>100</v>
      </c>
      <c r="X40" s="1265"/>
      <c r="Y40" s="343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9"/>
      <c r="Q41" s="1263" t="str">
        <f t="shared" si="14"/>
        <v>宗地开发程度</v>
      </c>
      <c r="R41" s="664" t="s">
        <v>14</v>
      </c>
      <c r="S41" s="665">
        <f t="shared" si="10"/>
        <v>100</v>
      </c>
      <c r="T41" s="664" t="s">
        <v>14</v>
      </c>
      <c r="U41" s="665">
        <f t="shared" si="11"/>
        <v>100</v>
      </c>
      <c r="V41" s="664" t="s">
        <v>14</v>
      </c>
      <c r="W41" s="665">
        <f t="shared" si="12"/>
        <v>100</v>
      </c>
      <c r="X41" s="666"/>
      <c r="Y41" s="343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9" t="s">
        <v>1696</v>
      </c>
      <c r="Q42" s="1263" t="str">
        <f t="shared" si="14"/>
        <v>工程地质条件</v>
      </c>
      <c r="R42" s="667" t="s">
        <v>14</v>
      </c>
      <c r="S42" s="668">
        <f t="shared" si="10"/>
        <v>100</v>
      </c>
      <c r="T42" s="667" t="s">
        <v>14</v>
      </c>
      <c r="U42" s="668">
        <f t="shared" si="11"/>
        <v>100</v>
      </c>
      <c r="V42" s="667" t="s">
        <v>14</v>
      </c>
      <c r="W42" s="668">
        <f t="shared" si="12"/>
        <v>100</v>
      </c>
      <c r="X42" s="1265"/>
      <c r="Y42" s="343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9"/>
      <c r="Q43" s="1263">
        <f t="shared" si="14"/>
        <v>111</v>
      </c>
      <c r="R43" s="667" t="s">
        <v>14</v>
      </c>
      <c r="S43" s="668">
        <f t="shared" si="10"/>
        <v>100</v>
      </c>
      <c r="T43" s="667" t="s">
        <v>14</v>
      </c>
      <c r="U43" s="668">
        <f t="shared" si="11"/>
        <v>100</v>
      </c>
      <c r="V43" s="667" t="s">
        <v>14</v>
      </c>
      <c r="W43" s="668">
        <f t="shared" si="12"/>
        <v>100</v>
      </c>
      <c r="X43" s="1265"/>
      <c r="Y43" s="343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9"/>
      <c r="Q44" s="1263">
        <f t="shared" si="14"/>
        <v>111</v>
      </c>
      <c r="R44" s="667" t="s">
        <v>14</v>
      </c>
      <c r="S44" s="668">
        <f t="shared" si="10"/>
        <v>100</v>
      </c>
      <c r="T44" s="667" t="s">
        <v>14</v>
      </c>
      <c r="U44" s="668">
        <f t="shared" si="11"/>
        <v>100</v>
      </c>
      <c r="V44" s="667" t="s">
        <v>14</v>
      </c>
      <c r="W44" s="668">
        <f t="shared" si="12"/>
        <v>100</v>
      </c>
      <c r="X44" s="1265"/>
      <c r="Y44" s="343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9"/>
      <c r="Q45" s="1263">
        <f t="shared" si="14"/>
        <v>111</v>
      </c>
      <c r="R45" s="669" t="s">
        <v>14</v>
      </c>
      <c r="S45" s="670">
        <f t="shared" si="10"/>
        <v>100</v>
      </c>
      <c r="T45" s="669" t="s">
        <v>14</v>
      </c>
      <c r="U45" s="670">
        <f t="shared" si="11"/>
        <v>100</v>
      </c>
      <c r="V45" s="669" t="s">
        <v>14</v>
      </c>
      <c r="W45" s="670">
        <f t="shared" si="12"/>
        <v>100</v>
      </c>
      <c r="X45" s="671"/>
      <c r="Y45" s="343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2" t="str">
        <f>A46</f>
        <v>成交单价</v>
      </c>
      <c r="Q46" s="3432"/>
      <c r="R46" s="3433">
        <f>E46</f>
        <v>0</v>
      </c>
      <c r="S46" s="3433"/>
      <c r="T46" s="3433">
        <f>G46</f>
        <v>0</v>
      </c>
      <c r="U46" s="3433"/>
      <c r="V46" s="3433">
        <f>I46</f>
        <v>0</v>
      </c>
      <c r="W46" s="343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2" t="str">
        <f>A47</f>
        <v>比较价值（元/平方米）</v>
      </c>
      <c r="Q47" s="3432"/>
      <c r="R47" s="3491" t="e">
        <f>ROUND(PRODUCT(R46,AA7:AA45),0)</f>
        <v>#DIV/0!</v>
      </c>
      <c r="S47" s="3491"/>
      <c r="T47" s="3491" t="e">
        <f>ROUND(PRODUCT(T46,AB7:AB45),0)</f>
        <v>#DIV/0!</v>
      </c>
      <c r="U47" s="3491"/>
      <c r="V47" s="3491" t="e">
        <f>ROUND(PRODUCT(V46,AC7:AC45),0)</f>
        <v>#DIV/0!</v>
      </c>
      <c r="W47" s="349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9" t="str">
        <f>A48</f>
        <v>估价对象XX用房的比较价值（楼面单价，元/平方米）</v>
      </c>
      <c r="Q48" s="3430"/>
      <c r="R48" s="3492" t="e">
        <f>ROUND(IF(D47="简单平均",AVERAGE(R47:W47),R47*F47+T47*H47+V47*J47),0)</f>
        <v>#DIV/0!</v>
      </c>
      <c r="S48" s="3492"/>
      <c r="T48" s="3492"/>
      <c r="U48" s="3492"/>
      <c r="V48" s="3492"/>
      <c r="W48" s="349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47" t="s">
        <v>1887</v>
      </c>
      <c r="H55" s="349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63105.500000000007</v>
      </c>
      <c r="F56" s="833" t="e">
        <f t="shared" ref="F56:F64" si="15">ROUND(B56*E56/10000,0)</f>
        <v>#DIV/0!</v>
      </c>
      <c r="G56" s="3443"/>
      <c r="H56" s="343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三级</v>
      </c>
      <c r="I57" s="838">
        <f>SUMIF(修正!A59:A70,H57,修正!B59:B70)</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三级</v>
      </c>
      <c r="I58" s="838">
        <f>SUMIF(修正!A59:A70,H58,修正!C59:C70)</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三级</v>
      </c>
      <c r="I59" s="838">
        <f>SUMIF(修正!A59:A70,H59,修正!D59:D70)</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SUMIF(修正!A59:A70,H60,修正!E59:E70)</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SUMIF(修正!A59:A70,H61,修正!F59:F70)</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35992.839999999997</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SUMIF(修正!A59:A70,H63,修正!G59:G70)</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SUMIF(修正!A59:A70,H64,修正!G59:G70)</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99098.34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94" t="s">
        <v>1919</v>
      </c>
      <c r="D6" s="3495"/>
      <c r="E6" s="3496" t="s">
        <v>1919</v>
      </c>
      <c r="F6" s="3497"/>
      <c r="G6" s="3494" t="s">
        <v>1919</v>
      </c>
      <c r="H6" s="3495"/>
      <c r="I6" s="3494" t="s">
        <v>1919</v>
      </c>
      <c r="J6" s="3495"/>
      <c r="K6" s="537"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67" t="s">
        <v>1680</v>
      </c>
      <c r="Q7" s="3469"/>
      <c r="R7" s="664" t="s">
        <v>14</v>
      </c>
      <c r="S7" s="665">
        <f t="shared" ref="S7:S15" si="0">F7</f>
        <v>0</v>
      </c>
      <c r="T7" s="664" t="s">
        <v>14</v>
      </c>
      <c r="U7" s="665">
        <f t="shared" ref="U7:U15" si="1">H7</f>
        <v>0</v>
      </c>
      <c r="V7" s="664" t="s">
        <v>14</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67" t="s">
        <v>1683</v>
      </c>
      <c r="Q8" s="3468"/>
      <c r="R8" s="664" t="s">
        <v>14</v>
      </c>
      <c r="S8" s="665">
        <f t="shared" si="0"/>
        <v>0</v>
      </c>
      <c r="T8" s="664" t="s">
        <v>14</v>
      </c>
      <c r="U8" s="665">
        <f t="shared" si="1"/>
        <v>0</v>
      </c>
      <c r="V8" s="664" t="s">
        <v>14</v>
      </c>
      <c r="W8" s="665">
        <f t="shared" si="2"/>
        <v>0</v>
      </c>
      <c r="X8" s="666"/>
      <c r="Y8" s="3467" t="s">
        <v>1683</v>
      </c>
      <c r="Z8" s="346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2"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135</v>
      </c>
      <c r="G10" s="371"/>
      <c r="H10" s="119">
        <f>ROUND(100/'数据-取费表'!G16,0)</f>
        <v>135</v>
      </c>
      <c r="I10" s="371"/>
      <c r="J10" s="119">
        <f>ROUND(100/'数据-取费表'!G16,0)</f>
        <v>135</v>
      </c>
      <c r="K10" s="592"/>
      <c r="L10" s="2490"/>
      <c r="M10" s="2491"/>
      <c r="N10" s="2491"/>
      <c r="O10" s="2542"/>
      <c r="P10" s="3432"/>
      <c r="Q10" s="530" t="str">
        <f t="shared" si="6"/>
        <v>土地使用年限（年）</v>
      </c>
      <c r="R10" s="664" t="s">
        <v>14</v>
      </c>
      <c r="S10" s="665">
        <f t="shared" si="0"/>
        <v>135</v>
      </c>
      <c r="T10" s="664" t="s">
        <v>14</v>
      </c>
      <c r="U10" s="665">
        <f t="shared" si="1"/>
        <v>135</v>
      </c>
      <c r="V10" s="664" t="s">
        <v>14</v>
      </c>
      <c r="W10" s="665">
        <f t="shared" si="2"/>
        <v>135</v>
      </c>
      <c r="X10" s="666"/>
      <c r="Y10" s="3307"/>
      <c r="Z10" s="50" t="str">
        <f t="shared" si="7"/>
        <v>土地使用年限（年）</v>
      </c>
      <c r="AA10" s="50">
        <f t="shared" si="3"/>
        <v>0.7407407407407407</v>
      </c>
      <c r="AB10" s="50">
        <f t="shared" si="4"/>
        <v>0.7407407407407407</v>
      </c>
      <c r="AC10" s="50">
        <f t="shared" si="5"/>
        <v>0.7407407407407407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2"/>
      <c r="Q11" s="530" t="str">
        <f t="shared" si="6"/>
        <v>容积率</v>
      </c>
      <c r="R11" s="664" t="s">
        <v>14</v>
      </c>
      <c r="S11" s="665" t="e">
        <f t="shared" si="0"/>
        <v>#N/A</v>
      </c>
      <c r="T11" s="664" t="s">
        <v>14</v>
      </c>
      <c r="U11" s="665" t="e">
        <f t="shared" si="1"/>
        <v>#N/A</v>
      </c>
      <c r="V11" s="664" t="s">
        <v>14</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2"/>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2"/>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4" t="s">
        <v>1691</v>
      </c>
      <c r="Q15" s="1263" t="str">
        <f t="shared" si="6"/>
        <v>产业集聚程度</v>
      </c>
      <c r="R15" s="667" t="s">
        <v>14</v>
      </c>
      <c r="S15" s="668">
        <f t="shared" si="0"/>
        <v>100</v>
      </c>
      <c r="T15" s="667" t="s">
        <v>14</v>
      </c>
      <c r="U15" s="668">
        <f t="shared" si="1"/>
        <v>100</v>
      </c>
      <c r="V15" s="667" t="s">
        <v>14</v>
      </c>
      <c r="W15" s="668">
        <f t="shared" si="2"/>
        <v>100</v>
      </c>
      <c r="X15" s="1265"/>
      <c r="Y15" s="343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5"/>
      <c r="Q16" s="1263"/>
      <c r="R16" s="667"/>
      <c r="S16" s="668"/>
      <c r="T16" s="667"/>
      <c r="U16" s="668"/>
      <c r="V16" s="667"/>
      <c r="W16" s="668"/>
      <c r="X16" s="1265"/>
      <c r="Y16" s="3435"/>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5"/>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5"/>
      <c r="Q18" s="1263"/>
      <c r="R18" s="667"/>
      <c r="S18" s="668"/>
      <c r="T18" s="667"/>
      <c r="U18" s="668"/>
      <c r="V18" s="667"/>
      <c r="W18" s="668"/>
      <c r="X18" s="1265"/>
      <c r="Y18" s="343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5"/>
      <c r="Q19" s="1263" t="str">
        <f t="shared" ref="Q19:Q33" si="8">B19</f>
        <v>区域土地利用方向</v>
      </c>
      <c r="R19" s="667" t="s">
        <v>14</v>
      </c>
      <c r="S19" s="668">
        <f>F19</f>
        <v>100</v>
      </c>
      <c r="T19" s="667" t="s">
        <v>14</v>
      </c>
      <c r="U19" s="668">
        <f>H19</f>
        <v>100</v>
      </c>
      <c r="V19" s="667" t="s">
        <v>14</v>
      </c>
      <c r="W19" s="668">
        <f>J19</f>
        <v>100</v>
      </c>
      <c r="X19" s="1265"/>
      <c r="Y19" s="343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5"/>
      <c r="Q20" s="1263"/>
      <c r="R20" s="667"/>
      <c r="S20" s="668"/>
      <c r="T20" s="667"/>
      <c r="U20" s="668"/>
      <c r="V20" s="667"/>
      <c r="W20" s="668"/>
      <c r="X20" s="1265"/>
      <c r="Y20" s="3435"/>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5"/>
      <c r="Q21" s="1263" t="str">
        <f t="shared" si="8"/>
        <v>环境状况</v>
      </c>
      <c r="R21" s="667" t="s">
        <v>14</v>
      </c>
      <c r="S21" s="668">
        <f>F21</f>
        <v>100</v>
      </c>
      <c r="T21" s="667" t="s">
        <v>14</v>
      </c>
      <c r="U21" s="668">
        <f>H21</f>
        <v>100</v>
      </c>
      <c r="V21" s="667" t="s">
        <v>14</v>
      </c>
      <c r="W21" s="668">
        <f>J21</f>
        <v>100</v>
      </c>
      <c r="X21" s="1265"/>
      <c r="Y21" s="343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5"/>
      <c r="Q22" s="1263"/>
      <c r="R22" s="667"/>
      <c r="S22" s="668"/>
      <c r="T22" s="667"/>
      <c r="U22" s="668"/>
      <c r="V22" s="667"/>
      <c r="W22" s="668"/>
      <c r="X22" s="1265"/>
      <c r="Y22" s="3435"/>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5"/>
      <c r="Q23" s="530" t="str">
        <f t="shared" si="8"/>
        <v>公共配套设施</v>
      </c>
      <c r="R23" s="664" t="s">
        <v>14</v>
      </c>
      <c r="S23" s="665">
        <f>F23</f>
        <v>100</v>
      </c>
      <c r="T23" s="664" t="s">
        <v>14</v>
      </c>
      <c r="U23" s="665">
        <f>H23</f>
        <v>100</v>
      </c>
      <c r="V23" s="664" t="s">
        <v>14</v>
      </c>
      <c r="W23" s="665">
        <f>J23</f>
        <v>100</v>
      </c>
      <c r="X23" s="666"/>
      <c r="Y23" s="343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5"/>
      <c r="Q24" s="530"/>
      <c r="R24" s="664"/>
      <c r="S24" s="665"/>
      <c r="T24" s="664"/>
      <c r="U24" s="665"/>
      <c r="V24" s="664"/>
      <c r="W24" s="665"/>
      <c r="X24" s="666"/>
      <c r="Y24" s="3435"/>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5"/>
      <c r="Q25" s="530" t="str">
        <f t="shared" ref="Q25" si="9">B25</f>
        <v>基础设施水平</v>
      </c>
      <c r="R25" s="664" t="s">
        <v>14</v>
      </c>
      <c r="S25" s="665">
        <f>F25</f>
        <v>100</v>
      </c>
      <c r="T25" s="664" t="s">
        <v>14</v>
      </c>
      <c r="U25" s="665">
        <f>H25</f>
        <v>100</v>
      </c>
      <c r="V25" s="664" t="s">
        <v>14</v>
      </c>
      <c r="W25" s="665">
        <f>J25</f>
        <v>100</v>
      </c>
      <c r="X25" s="666"/>
      <c r="Y25" s="343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5"/>
      <c r="Q26" s="530"/>
      <c r="R26" s="664"/>
      <c r="S26" s="665"/>
      <c r="T26" s="664"/>
      <c r="U26" s="665"/>
      <c r="V26" s="664"/>
      <c r="W26" s="665"/>
      <c r="X26" s="666"/>
      <c r="Y26" s="343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5"/>
      <c r="Q28" s="1263" t="str">
        <f t="shared" si="8"/>
        <v>毗邻道路的类型与等级</v>
      </c>
      <c r="R28" s="667" t="s">
        <v>14</v>
      </c>
      <c r="S28" s="668">
        <f t="shared" si="10"/>
        <v>100</v>
      </c>
      <c r="T28" s="667" t="s">
        <v>14</v>
      </c>
      <c r="U28" s="668">
        <f t="shared" si="11"/>
        <v>100</v>
      </c>
      <c r="V28" s="667" t="s">
        <v>14</v>
      </c>
      <c r="W28" s="668">
        <f t="shared" si="12"/>
        <v>100</v>
      </c>
      <c r="X28" s="1265"/>
      <c r="Y28" s="343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5"/>
      <c r="Q29" s="1263"/>
      <c r="R29" s="667"/>
      <c r="S29" s="668"/>
      <c r="T29" s="667"/>
      <c r="U29" s="668"/>
      <c r="V29" s="667"/>
      <c r="W29" s="668"/>
      <c r="X29" s="1265"/>
      <c r="Y29" s="343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5"/>
      <c r="Q30" s="1263" t="str">
        <f t="shared" si="8"/>
        <v>土地级别</v>
      </c>
      <c r="R30" s="667" t="s">
        <v>14</v>
      </c>
      <c r="S30" s="668">
        <f t="shared" si="10"/>
        <v>100</v>
      </c>
      <c r="T30" s="667" t="s">
        <v>14</v>
      </c>
      <c r="U30" s="668">
        <f t="shared" si="11"/>
        <v>100</v>
      </c>
      <c r="V30" s="667" t="s">
        <v>14</v>
      </c>
      <c r="W30" s="668">
        <f t="shared" si="12"/>
        <v>100</v>
      </c>
      <c r="X30" s="1265"/>
      <c r="Y30" s="343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5"/>
      <c r="Q31" s="1263">
        <f t="shared" si="8"/>
        <v>111</v>
      </c>
      <c r="R31" s="667" t="s">
        <v>14</v>
      </c>
      <c r="S31" s="668">
        <f t="shared" si="10"/>
        <v>100</v>
      </c>
      <c r="T31" s="667" t="s">
        <v>14</v>
      </c>
      <c r="U31" s="668">
        <f t="shared" si="11"/>
        <v>100</v>
      </c>
      <c r="V31" s="667" t="s">
        <v>14</v>
      </c>
      <c r="W31" s="668">
        <f t="shared" si="12"/>
        <v>100</v>
      </c>
      <c r="X31" s="1265"/>
      <c r="Y31" s="343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89" t="s">
        <v>1696</v>
      </c>
      <c r="Q32" s="1263">
        <f t="shared" si="8"/>
        <v>111</v>
      </c>
      <c r="R32" s="667" t="s">
        <v>14</v>
      </c>
      <c r="S32" s="668">
        <f t="shared" si="10"/>
        <v>100</v>
      </c>
      <c r="T32" s="667" t="s">
        <v>14</v>
      </c>
      <c r="U32" s="668">
        <f t="shared" si="11"/>
        <v>100</v>
      </c>
      <c r="V32" s="667" t="s">
        <v>14</v>
      </c>
      <c r="W32" s="668">
        <f t="shared" si="12"/>
        <v>100</v>
      </c>
      <c r="X32" s="1265"/>
      <c r="Y32" s="343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9"/>
      <c r="Q33" s="1263">
        <f t="shared" si="8"/>
        <v>111</v>
      </c>
      <c r="R33" s="669" t="s">
        <v>14</v>
      </c>
      <c r="S33" s="670">
        <f t="shared" si="10"/>
        <v>100</v>
      </c>
      <c r="T33" s="669" t="s">
        <v>14</v>
      </c>
      <c r="U33" s="670">
        <f t="shared" si="11"/>
        <v>100</v>
      </c>
      <c r="V33" s="669" t="s">
        <v>14</v>
      </c>
      <c r="W33" s="670">
        <f t="shared" si="12"/>
        <v>100</v>
      </c>
      <c r="X33" s="671"/>
      <c r="Y33" s="343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9"/>
      <c r="Q34" s="1263" t="str">
        <f>B34</f>
        <v>宗地面积</v>
      </c>
      <c r="R34" s="667" t="s">
        <v>14</v>
      </c>
      <c r="S34" s="668" t="e">
        <f t="shared" si="10"/>
        <v>#N/A</v>
      </c>
      <c r="T34" s="667" t="s">
        <v>14</v>
      </c>
      <c r="U34" s="668" t="e">
        <f t="shared" si="11"/>
        <v>#N/A</v>
      </c>
      <c r="V34" s="667" t="s">
        <v>14</v>
      </c>
      <c r="W34" s="668" t="e">
        <f t="shared" si="12"/>
        <v>#N/A</v>
      </c>
      <c r="X34" s="1265"/>
      <c r="Y34" s="343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9"/>
      <c r="Q35" s="1263" t="str">
        <f t="shared" ref="Q35:Q40" si="14">B35</f>
        <v>宗地形状</v>
      </c>
      <c r="R35" s="667" t="s">
        <v>14</v>
      </c>
      <c r="S35" s="668">
        <f t="shared" si="10"/>
        <v>100</v>
      </c>
      <c r="T35" s="667" t="s">
        <v>14</v>
      </c>
      <c r="U35" s="668">
        <f t="shared" si="11"/>
        <v>100</v>
      </c>
      <c r="V35" s="667" t="s">
        <v>14</v>
      </c>
      <c r="W35" s="668">
        <f t="shared" si="12"/>
        <v>100</v>
      </c>
      <c r="X35" s="1265"/>
      <c r="Y35" s="343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9"/>
      <c r="Q36" s="1263" t="str">
        <f t="shared" si="14"/>
        <v>宗地开发程度</v>
      </c>
      <c r="R36" s="664" t="s">
        <v>14</v>
      </c>
      <c r="S36" s="665">
        <f t="shared" si="10"/>
        <v>100</v>
      </c>
      <c r="T36" s="664" t="s">
        <v>14</v>
      </c>
      <c r="U36" s="665">
        <f t="shared" si="11"/>
        <v>100</v>
      </c>
      <c r="V36" s="664" t="s">
        <v>14</v>
      </c>
      <c r="W36" s="665">
        <f t="shared" si="12"/>
        <v>100</v>
      </c>
      <c r="X36" s="666"/>
      <c r="Y36" s="343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9" t="s">
        <v>1696</v>
      </c>
      <c r="Q37" s="1263" t="str">
        <f t="shared" si="14"/>
        <v>工程地质条件</v>
      </c>
      <c r="R37" s="667" t="s">
        <v>14</v>
      </c>
      <c r="S37" s="668">
        <f t="shared" si="10"/>
        <v>100</v>
      </c>
      <c r="T37" s="667" t="s">
        <v>14</v>
      </c>
      <c r="U37" s="668">
        <f t="shared" si="11"/>
        <v>100</v>
      </c>
      <c r="V37" s="667" t="s">
        <v>14</v>
      </c>
      <c r="W37" s="668">
        <f t="shared" si="12"/>
        <v>100</v>
      </c>
      <c r="X37" s="1265"/>
      <c r="Y37" s="343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9"/>
      <c r="Q38" s="1263">
        <f t="shared" si="14"/>
        <v>111</v>
      </c>
      <c r="R38" s="667" t="s">
        <v>14</v>
      </c>
      <c r="S38" s="668">
        <f t="shared" si="10"/>
        <v>100</v>
      </c>
      <c r="T38" s="667" t="s">
        <v>14</v>
      </c>
      <c r="U38" s="668">
        <f t="shared" si="11"/>
        <v>100</v>
      </c>
      <c r="V38" s="667" t="s">
        <v>14</v>
      </c>
      <c r="W38" s="668">
        <f t="shared" si="12"/>
        <v>100</v>
      </c>
      <c r="X38" s="1265"/>
      <c r="Y38" s="343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9"/>
      <c r="Q39" s="1263">
        <f t="shared" si="14"/>
        <v>111</v>
      </c>
      <c r="R39" s="667" t="s">
        <v>14</v>
      </c>
      <c r="S39" s="668">
        <f t="shared" si="10"/>
        <v>100</v>
      </c>
      <c r="T39" s="667" t="s">
        <v>14</v>
      </c>
      <c r="U39" s="668">
        <f t="shared" si="11"/>
        <v>100</v>
      </c>
      <c r="V39" s="667" t="s">
        <v>14</v>
      </c>
      <c r="W39" s="668">
        <f t="shared" si="12"/>
        <v>100</v>
      </c>
      <c r="X39" s="1265"/>
      <c r="Y39" s="343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9"/>
      <c r="Q40" s="1263">
        <f t="shared" si="14"/>
        <v>111</v>
      </c>
      <c r="R40" s="669" t="s">
        <v>14</v>
      </c>
      <c r="S40" s="670">
        <f t="shared" si="10"/>
        <v>100</v>
      </c>
      <c r="T40" s="669" t="s">
        <v>14</v>
      </c>
      <c r="U40" s="670">
        <f t="shared" si="11"/>
        <v>100</v>
      </c>
      <c r="V40" s="669" t="s">
        <v>14</v>
      </c>
      <c r="W40" s="670">
        <f t="shared" si="12"/>
        <v>100</v>
      </c>
      <c r="X40" s="671"/>
      <c r="Y40" s="343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2" t="str">
        <f>A41</f>
        <v>成交单价</v>
      </c>
      <c r="Q41" s="3432"/>
      <c r="R41" s="3433">
        <f>E41</f>
        <v>0</v>
      </c>
      <c r="S41" s="3433"/>
      <c r="T41" s="3433">
        <f>G41</f>
        <v>0</v>
      </c>
      <c r="U41" s="3433"/>
      <c r="V41" s="3433">
        <f>I41</f>
        <v>0</v>
      </c>
      <c r="W41" s="343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2" t="str">
        <f>A42</f>
        <v>比较价值（元/平方米）</v>
      </c>
      <c r="Q42" s="3432"/>
      <c r="R42" s="3491" t="e">
        <f>ROUND(PRODUCT(R41,AA7:AA40),0)</f>
        <v>#DIV/0!</v>
      </c>
      <c r="S42" s="3491"/>
      <c r="T42" s="3491" t="e">
        <f>ROUND(PRODUCT(T41,AB7:AB40),0)</f>
        <v>#DIV/0!</v>
      </c>
      <c r="U42" s="3491"/>
      <c r="V42" s="3491" t="e">
        <f>ROUND(PRODUCT(V41,AC7:AC40),0)</f>
        <v>#DIV/0!</v>
      </c>
      <c r="W42" s="349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9" t="str">
        <f>A43</f>
        <v>估价对象XX用房的比较价值（楼面单价，元/平方米）</v>
      </c>
      <c r="Q43" s="3430"/>
      <c r="R43" s="3492" t="e">
        <f>ROUND(IF(D42="简单平均",AVERAGE(R42:W42),R42*F42+T42*H42+V42*J42),0)</f>
        <v>#DIV/0!</v>
      </c>
      <c r="S43" s="3492"/>
      <c r="T43" s="3492"/>
      <c r="U43" s="3492"/>
      <c r="V43" s="3492"/>
      <c r="W43" s="349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47" t="s">
        <v>1887</v>
      </c>
      <c r="H50" s="349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63105.500000000007</v>
      </c>
      <c r="F51" s="611" t="e">
        <f t="shared" ref="F51:F60" si="15">ROUND(B51*E51/10000,0)</f>
        <v>#DIV/0!</v>
      </c>
      <c r="G51" s="3443"/>
      <c r="H51" s="343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三级</v>
      </c>
      <c r="I52" s="727">
        <f>SUMIF(修正!A59:A70,H52,修正!B59:B70)</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三级</v>
      </c>
      <c r="I53" s="727">
        <f>SUMIF(修正!A59:A70,H53,修正!C59:C70)</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三级</v>
      </c>
      <c r="I54" s="727">
        <f>SUMIF(修正!A59:A70,H54,修正!D59:D70)</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SUMIF(修正!A59:A70,H56,修正!E59:E70)</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SUMIF(修正!A59:A70,H57,修正!F59:F70)</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35992.839999999997</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SUMIF(修正!A59:A70,H59,修正!G59:G70)</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SUMIF(修正!A59:A70,H60,修正!G59:G70)</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01" t="s">
        <v>2084</v>
      </c>
      <c r="D1" s="3502"/>
      <c r="E1" s="3502"/>
      <c r="F1" s="3502"/>
      <c r="G1" s="3502"/>
      <c r="H1" s="3502"/>
      <c r="I1" s="3502"/>
      <c r="J1" s="3502"/>
      <c r="K1" s="3502"/>
      <c r="L1" s="3502"/>
      <c r="M1" s="3502"/>
      <c r="N1" s="3502"/>
      <c r="O1" s="3502"/>
      <c r="P1" s="3502"/>
      <c r="Q1" s="3502"/>
      <c r="R1" s="3502"/>
      <c r="S1" s="350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8" t="s">
        <v>27</v>
      </c>
      <c r="D22" s="3499"/>
      <c r="E22" s="3499"/>
      <c r="F22" s="3499"/>
      <c r="G22" s="3499"/>
      <c r="H22" s="3499"/>
      <c r="I22" s="3499"/>
      <c r="J22" s="3499"/>
      <c r="K22" s="3499"/>
      <c r="L22" s="3499"/>
      <c r="M22" s="3499"/>
      <c r="N22" s="3499"/>
      <c r="O22" s="3499"/>
      <c r="P22" s="3499"/>
      <c r="Q22" s="350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v>
      </c>
      <c r="B3" s="3224"/>
      <c r="C3" s="3224"/>
      <c r="D3" s="3224"/>
      <c r="E3" s="3224"/>
    </row>
    <row r="4" spans="1:5" ht="19.5" thickBot="1">
      <c r="A4" s="1391"/>
      <c r="B4" s="3222" t="s">
        <v>917</v>
      </c>
      <c r="C4" s="3222"/>
      <c r="D4" s="3222"/>
      <c r="E4" s="1391"/>
    </row>
    <row r="5" spans="1:5" ht="16.5" thickTop="1">
      <c r="B5" s="3220" t="s">
        <v>909</v>
      </c>
      <c r="C5" s="1392" t="s">
        <v>910</v>
      </c>
      <c r="D5" s="797" t="e">
        <f ca="1">结果表!H101</f>
        <v>#REF!</v>
      </c>
    </row>
    <row r="6" spans="1:5" ht="15.75">
      <c r="B6" s="3220"/>
      <c r="C6" s="1392" t="s">
        <v>911</v>
      </c>
      <c r="D6" s="797" t="e">
        <f ca="1">NUMBERSTRING(INT(D5*10000),2)&amp;"元整"</f>
        <v>#REF!</v>
      </c>
    </row>
    <row r="7" spans="1:5" ht="15.75">
      <c r="B7" s="3225"/>
      <c r="C7" s="1393" t="s">
        <v>912</v>
      </c>
      <c r="D7" s="798" t="e">
        <f ca="1">结果表!H102</f>
        <v>#REF!</v>
      </c>
    </row>
    <row r="8" spans="1:5" ht="15.75">
      <c r="B8" s="3226" t="str">
        <f>结果表!E103</f>
        <v>2.估价师知悉的法定优先受偿款</v>
      </c>
      <c r="C8" s="1394" t="s">
        <v>913</v>
      </c>
      <c r="D8" s="798">
        <f>结果表!H103</f>
        <v>0</v>
      </c>
    </row>
    <row r="9" spans="1:5" ht="15.75">
      <c r="B9" s="322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9" t="str">
        <f>结果表!E107</f>
        <v>3.房地产抵押价值</v>
      </c>
      <c r="C13" s="1397" t="s">
        <v>910</v>
      </c>
      <c r="D13" s="800" t="e">
        <f ca="1">结果表!H107</f>
        <v>#REF!</v>
      </c>
    </row>
    <row r="14" spans="1:5" ht="15.75">
      <c r="B14" s="3220"/>
      <c r="C14" s="1392" t="s">
        <v>911</v>
      </c>
      <c r="D14" s="797" t="e">
        <f ca="1">NUMBERSTRING(INT(D13*10000),2)&amp;"元整"</f>
        <v>#REF!</v>
      </c>
    </row>
    <row r="15" spans="1:5" ht="15">
      <c r="B15" s="3225"/>
      <c r="C15" s="1393" t="s">
        <v>921</v>
      </c>
      <c r="D15" s="806" t="e">
        <f ca="1">结果表!H108</f>
        <v>#REF!</v>
      </c>
    </row>
    <row r="16" spans="1:5" ht="15">
      <c r="B16" s="3226" t="str">
        <f>结果表!E109</f>
        <v>——</v>
      </c>
      <c r="C16" s="1397" t="s">
        <v>922</v>
      </c>
      <c r="D16" s="1398" t="str">
        <f>结果表!H109</f>
        <v>——</v>
      </c>
    </row>
    <row r="17" spans="1:5" ht="15.75">
      <c r="B17" s="3227"/>
      <c r="C17" s="1392" t="s">
        <v>923</v>
      </c>
      <c r="D17" s="797" t="e">
        <f>NUMBERSTRING(INT(D16*10000),2)&amp;"元整"</f>
        <v>#VALUE!</v>
      </c>
    </row>
    <row r="18" spans="1:5" ht="15">
      <c r="B18" s="3228"/>
      <c r="C18" s="1393" t="s">
        <v>912</v>
      </c>
      <c r="D18" s="806" t="str">
        <f>结果表!H110</f>
        <v>——</v>
      </c>
    </row>
    <row r="19" spans="1:5" ht="15.75">
      <c r="B19" s="3219" t="str">
        <f>结果表!E111</f>
        <v>——</v>
      </c>
      <c r="C19" s="1397" t="s">
        <v>910</v>
      </c>
      <c r="D19" s="798" t="str">
        <f>结果表!H111</f>
        <v>——</v>
      </c>
    </row>
    <row r="20" spans="1:5" ht="15.75">
      <c r="B20" s="3220"/>
      <c r="C20" s="1392" t="s">
        <v>923</v>
      </c>
      <c r="D20" s="797" t="e">
        <f>NUMBERSTRING(INT(D19*10000),2)&amp;"元整"</f>
        <v>#VALUE!</v>
      </c>
    </row>
    <row r="21" spans="1:5" ht="15.75" thickBot="1">
      <c r="B21" s="322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120199</v>
      </c>
      <c r="C2" s="1984" t="s">
        <v>2074</v>
      </c>
      <c r="D2" s="1984" t="s">
        <v>2075</v>
      </c>
      <c r="E2" s="2398">
        <f ca="1">SUMIF(E6:E13,"&lt;&gt;#ref!",E6:E13)</f>
        <v>99098.34</v>
      </c>
      <c r="F2" s="2545"/>
      <c r="G2" s="2545"/>
      <c r="H2" s="2545"/>
      <c r="I2" s="2545"/>
      <c r="J2" s="2545"/>
      <c r="K2" s="2545"/>
      <c r="L2" s="2545"/>
      <c r="M2" s="2545"/>
      <c r="N2" s="2545"/>
      <c r="O2" s="2545"/>
      <c r="P2" s="2545"/>
    </row>
    <row r="3" spans="1:16" ht="15.75">
      <c r="A3" s="1984" t="s">
        <v>2076</v>
      </c>
      <c r="B3" s="2388">
        <f ca="1">ROUND(B2*10000/E2,0)</f>
        <v>12129</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120199</v>
      </c>
      <c r="C6" s="1984" t="s">
        <v>2074</v>
      </c>
      <c r="D6" s="2545"/>
      <c r="E6" s="2398">
        <f ca="1">SUMIF(INDIRECT("'"&amp;A6&amp;"'"&amp;"!C:C"),"建筑面积",INDIRECT("'"&amp;A6&amp;"'"&amp;"!D:D"))</f>
        <v>99098.34</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24" sqref="L2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271205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27123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125865</v>
      </c>
      <c r="D5" s="203" t="s">
        <v>1469</v>
      </c>
      <c r="E5" s="204" t="s">
        <v>1470</v>
      </c>
      <c r="F5" s="204" t="s">
        <v>1471</v>
      </c>
      <c r="G5" s="205"/>
    </row>
    <row r="6" spans="1:9" s="206" customFormat="1" ht="13.5" customHeight="1">
      <c r="A6" s="732" t="s">
        <v>1472</v>
      </c>
      <c r="B6" s="207" t="s">
        <v>1473</v>
      </c>
      <c r="C6" s="208">
        <f>基准地价修正!B2</f>
        <v>120199</v>
      </c>
      <c r="D6" s="209"/>
      <c r="E6" s="210"/>
      <c r="F6" s="210"/>
      <c r="G6" s="211"/>
    </row>
    <row r="7" spans="1:9" s="206" customFormat="1" ht="13.5" customHeight="1">
      <c r="A7" s="732" t="s">
        <v>1474</v>
      </c>
      <c r="B7" s="207" t="s">
        <v>1475</v>
      </c>
      <c r="C7" s="212">
        <f>ROUND(C6*F7,0)</f>
        <v>3666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2000</v>
      </c>
      <c r="D8" s="214"/>
      <c r="E8" s="212"/>
      <c r="F8" s="213"/>
      <c r="G8" s="1714" t="s">
        <v>3424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3425</v>
      </c>
      <c r="H9" s="1070"/>
      <c r="I9" s="1716" t="s">
        <v>1479</v>
      </c>
    </row>
    <row r="10" spans="1:9" s="206" customFormat="1" ht="13.5" customHeight="1">
      <c r="A10" s="733" t="s">
        <v>356</v>
      </c>
      <c r="B10" s="216" t="s">
        <v>1480</v>
      </c>
      <c r="C10" s="217">
        <f ca="1">ROUND(D10*E10/10000,0)</f>
        <v>2000</v>
      </c>
      <c r="D10" s="795">
        <f ca="1">IF(B1="",'数据-汇总表'!E6,IF(INDIRECT("'数据-取费表'!c"&amp;$G$1)="住宅",INDIRECT("'数据-取费表'!s"&amp;$G$1),INDIRECT("'数据-取费表'!k"&amp;$G$1)+INDIRECT("'数据-取费表'!s"&amp;$G$1)))</f>
        <v>99989.78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99989.78</v>
      </c>
      <c r="E19" s="203">
        <f>'数据-取费表'!B31</f>
        <v>200</v>
      </c>
      <c r="F19" s="223"/>
      <c r="G19" s="1714" t="s">
        <v>3426</v>
      </c>
    </row>
    <row r="20" spans="1:7" s="206" customFormat="1" ht="13.5" customHeight="1">
      <c r="A20" s="247" t="s">
        <v>1493</v>
      </c>
      <c r="B20" s="202" t="s">
        <v>1494</v>
      </c>
      <c r="C20" s="224">
        <f ca="1">ROUND((C5+C19)*F20,0)</f>
        <v>2517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12799</v>
      </c>
      <c r="D22" s="227">
        <f ca="1">C26</f>
        <v>1E-3</v>
      </c>
      <c r="E22" s="228" t="s">
        <v>1498</v>
      </c>
      <c r="F22" s="229">
        <f ca="1">'数据-取费表'!B40</f>
        <v>3.2500000000000001E-2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12675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124</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20541</v>
      </c>
      <c r="D27" s="227">
        <f ca="1">C29</f>
        <v>3.2000000000000002E-3</v>
      </c>
      <c r="E27" s="228" t="s">
        <v>1514</v>
      </c>
      <c r="F27" s="238">
        <f ca="1">IF(B1="",'数据-取费表'!Q16,INDIRECT("'数据-取费表'!q"&amp;$G$1))</f>
        <v>0.16</v>
      </c>
      <c r="G27" s="239" t="s">
        <v>1515</v>
      </c>
    </row>
    <row r="28" spans="1:7" s="206" customFormat="1" ht="13.5" customHeight="1">
      <c r="A28" s="734" t="s">
        <v>346</v>
      </c>
      <c r="B28" s="240" t="s">
        <v>1516</v>
      </c>
      <c r="C28" s="241">
        <f ca="1">ROUND((C5+C19+C20)*F27*'数据-取费表'!B21/'数据-取费表'!B20,0)</f>
        <v>20541</v>
      </c>
      <c r="D28" s="227"/>
      <c r="E28" s="228"/>
      <c r="F28" s="238"/>
      <c r="G28" s="239"/>
    </row>
    <row r="29" spans="1:7" s="206" customFormat="1" ht="13.5" customHeight="1">
      <c r="A29" s="734" t="s">
        <v>347</v>
      </c>
      <c r="B29" s="240" t="s">
        <v>1517</v>
      </c>
      <c r="C29" s="230">
        <f ca="1">ROUND(C21*F27*'数据-取费表'!B21/'数据-取费表'!B20,4)</f>
        <v>3.2000000000000002E-3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175308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79698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72615</v>
      </c>
      <c r="D34" s="209"/>
      <c r="E34" s="212"/>
      <c r="F34" s="249">
        <f ca="1">IF('数据-取费表'!B24=0,1,IF(B1="",'数据-取费表'!N16,INDIRECT("'数据-取费表'!n"&amp;$G$1)))</f>
        <v>1</v>
      </c>
      <c r="G34" s="211" t="s">
        <v>1526</v>
      </c>
    </row>
    <row r="35" spans="1:7" ht="13.5" customHeight="1">
      <c r="A35" s="734" t="s">
        <v>351</v>
      </c>
      <c r="B35" s="207" t="s">
        <v>1527</v>
      </c>
      <c r="C35" s="212">
        <f ca="1">ROUND(C34*F35,0)</f>
        <v>3631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2000</v>
      </c>
      <c r="D37" s="209">
        <f ca="1">D19</f>
        <v>99989.78</v>
      </c>
      <c r="E37" s="241">
        <f>'数据-取费表'!B35</f>
        <v>200</v>
      </c>
      <c r="F37" s="251"/>
      <c r="G37" s="253" t="s">
        <v>1532</v>
      </c>
    </row>
    <row r="38" spans="1:7" ht="13.5" customHeight="1">
      <c r="A38" s="734" t="s">
        <v>354</v>
      </c>
      <c r="B38" s="207" t="s">
        <v>1533</v>
      </c>
      <c r="C38" s="212">
        <f ca="1">ROUND(C34*F38,0)</f>
        <v>1452</v>
      </c>
      <c r="D38" s="212"/>
      <c r="E38" s="212"/>
      <c r="F38" s="251">
        <f>'数据-取费表'!B36</f>
        <v>0.02</v>
      </c>
      <c r="G38" s="211" t="s">
        <v>1528</v>
      </c>
    </row>
    <row r="39" spans="1:7" s="206" customFormat="1" ht="13.5" customHeight="1">
      <c r="A39" s="247" t="s">
        <v>1534</v>
      </c>
      <c r="B39" s="202" t="s">
        <v>1535</v>
      </c>
      <c r="C39" s="224">
        <f ca="1">ROUND(C33*F20,0)</f>
        <v>1594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3995</v>
      </c>
      <c r="D41" s="227">
        <f ca="1">C44</f>
        <v>1E-3</v>
      </c>
      <c r="E41" s="228" t="s">
        <v>1539</v>
      </c>
      <c r="F41" s="229">
        <f ca="1">F22</f>
        <v>3.2500000000000001E-2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3917</v>
      </c>
      <c r="D42" s="230"/>
      <c r="E42" s="230"/>
      <c r="F42" s="231"/>
      <c r="G42" s="3400" t="s">
        <v>1544</v>
      </c>
    </row>
    <row r="43" spans="1:7" ht="13.5" customHeight="1">
      <c r="A43" s="734" t="s">
        <v>347</v>
      </c>
      <c r="B43" s="207" t="s">
        <v>1545</v>
      </c>
      <c r="C43" s="230">
        <f ca="1">ROUND(IF('数据-取费表'!B22&lt;=1,C39*F22*'数据-取费表'!B21/2,C39*(POWER((1+F22),'数据-取费表'!B21/2)-1)),0)</f>
        <v>78</v>
      </c>
      <c r="D43" s="230"/>
      <c r="E43" s="230"/>
      <c r="F43" s="231"/>
      <c r="G43" s="3401"/>
    </row>
    <row r="44" spans="1:7" ht="13.5" customHeight="1">
      <c r="A44" s="734" t="s">
        <v>348</v>
      </c>
      <c r="B44" s="207" t="s">
        <v>1546</v>
      </c>
      <c r="C44" s="230">
        <f ca="1">ROUND(IF('数据-取费表'!B22&lt;=1,C40*F22*'数据-取费表'!B21/2,C40*(POWER((1+F22),'数据-取费表'!B21/2)-1)),4)</f>
        <v>1E-3</v>
      </c>
      <c r="D44" s="230"/>
      <c r="E44" s="230"/>
      <c r="F44" s="231"/>
      <c r="G44" s="3402"/>
    </row>
    <row r="45" spans="1:7" s="206" customFormat="1" ht="13.5" customHeight="1">
      <c r="A45" s="247" t="s">
        <v>1547</v>
      </c>
      <c r="B45" s="236" t="s">
        <v>1513</v>
      </c>
      <c r="C45" s="237">
        <f ca="1">C46</f>
        <v>13007</v>
      </c>
      <c r="D45" s="227">
        <f ca="1">C47</f>
        <v>3.2000000000000002E-3</v>
      </c>
      <c r="E45" s="228" t="s">
        <v>1539</v>
      </c>
      <c r="F45" s="238">
        <f ca="1">F27</f>
        <v>0.16</v>
      </c>
      <c r="G45" s="239" t="s">
        <v>1548</v>
      </c>
    </row>
    <row r="46" spans="1:7" s="206" customFormat="1" ht="13.5" customHeight="1">
      <c r="A46" s="734" t="s">
        <v>346</v>
      </c>
      <c r="B46" s="240" t="s">
        <v>1549</v>
      </c>
      <c r="C46" s="241">
        <f ca="1">ROUND((C33+C39)*F27,0)</f>
        <v>13007</v>
      </c>
      <c r="D46" s="255"/>
      <c r="E46" s="228"/>
      <c r="F46" s="238"/>
      <c r="G46" s="239"/>
    </row>
    <row r="47" spans="1:7" s="206" customFormat="1" ht="13.5" customHeight="1">
      <c r="A47" s="734" t="s">
        <v>347</v>
      </c>
      <c r="B47" s="240" t="s">
        <v>1550</v>
      </c>
      <c r="C47" s="230">
        <f ca="1">ROUND(C40*F27,4)</f>
        <v>3.2000000000000002E-3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106552</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95897</v>
      </c>
      <c r="D51" s="224"/>
      <c r="E51" s="224"/>
      <c r="F51" s="256"/>
      <c r="G51" s="226" t="s">
        <v>1560</v>
      </c>
    </row>
    <row r="52" spans="1:7" s="200" customFormat="1" ht="16.5" thickBot="1">
      <c r="A52" s="257" t="s">
        <v>1561</v>
      </c>
      <c r="B52" s="258"/>
      <c r="C52" s="259">
        <f ca="1">C31+C51</f>
        <v>271205</v>
      </c>
      <c r="D52" s="258"/>
      <c r="E52" s="258"/>
      <c r="F52" s="258"/>
      <c r="G52" s="260"/>
    </row>
    <row r="55" spans="1:7" ht="15">
      <c r="B55" s="262" t="s">
        <v>1562</v>
      </c>
      <c r="C55" s="263"/>
    </row>
    <row r="56" spans="1:7">
      <c r="B56" s="265" t="s">
        <v>802</v>
      </c>
      <c r="C56" s="267">
        <f ca="1">1-C57</f>
        <v>0.64600000000000002</v>
      </c>
    </row>
    <row r="57" spans="1:7">
      <c r="B57" s="265" t="s">
        <v>803</v>
      </c>
      <c r="C57" s="266">
        <f ca="1">ROUND(C51/C52,3)</f>
        <v>0.35399999999999998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85" zoomScaleNormal="80" zoomScaleSheetLayoutView="85" workbookViewId="0">
      <selection activeCell="L14" sqref="L1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99098.34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120199</v>
      </c>
      <c r="C2" s="1846" t="s">
        <v>1935</v>
      </c>
      <c r="D2" s="162" t="s">
        <v>1936</v>
      </c>
      <c r="E2" s="3121"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27139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12129</v>
      </c>
      <c r="C3" s="1846" t="s">
        <v>1941</v>
      </c>
      <c r="D3" s="162" t="s">
        <v>1942</v>
      </c>
      <c r="E3" s="3119" t="s">
        <v>3399</v>
      </c>
      <c r="F3" s="1848" t="s">
        <v>3417</v>
      </c>
      <c r="G3" s="708">
        <f>IF(F3="宗地容积率",'数据-汇总表'!I4,IF(F3="估价对象容积率",'数据-汇总表'!I6,'数据-汇总表'!I7))</f>
        <v>3</v>
      </c>
      <c r="H3" s="162" t="s">
        <v>1943</v>
      </c>
      <c r="I3" s="729"/>
      <c r="J3" s="1842" t="s">
        <v>1944</v>
      </c>
      <c r="K3" s="1056"/>
      <c r="L3" s="1847" t="s">
        <v>1945</v>
      </c>
      <c r="M3" s="811">
        <f>SUMPRODUCT((区片价!B30:B54=I2)*(区片价!C3:G3=E2)*(区片价!C30:G54))</f>
        <v>23400</v>
      </c>
      <c r="N3" s="813">
        <f>SUMPRODUCT((因素修正幅度!B30:B54=I2)*(因素修正幅度!C3:G3=E2)*(因素修正幅度!C30:G54))</f>
        <v>8.7999999999999995E-2</v>
      </c>
      <c r="O3" s="1056"/>
      <c r="P3" s="1056"/>
      <c r="Q3" s="1056"/>
      <c r="R3" s="1129">
        <v>2</v>
      </c>
      <c r="S3" s="3064">
        <f>ROUND(SUMPRODUCT((B106:B110=R3)*(C105:N105=G2)*(C106:N110)),4)</f>
        <v>1.1838</v>
      </c>
      <c r="T3" s="3064">
        <f t="shared" si="0"/>
        <v>21391</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511"/>
      <c r="B4" s="3512"/>
      <c r="C4" s="3512"/>
      <c r="D4" s="3513"/>
      <c r="E4" s="3513"/>
      <c r="F4" s="3513"/>
      <c r="G4" s="3513"/>
      <c r="H4" s="3513"/>
      <c r="I4" s="3513"/>
      <c r="J4" s="351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18078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23400</v>
      </c>
      <c r="D5" s="1252">
        <f>ROUND(C6*C17+C20,0)</f>
        <v>23400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15944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15323</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3</v>
      </c>
      <c r="AA7" s="1133"/>
      <c r="AB7" s="1133"/>
      <c r="AC7" s="1134"/>
      <c r="AD7" s="1135"/>
      <c r="AE7" s="1135"/>
      <c r="AF7" s="1135"/>
      <c r="AG7" s="1135"/>
      <c r="AH7" s="1135"/>
      <c r="AI7" s="1135"/>
      <c r="AJ7" s="1136"/>
    </row>
    <row r="8" spans="1:36" ht="25.5">
      <c r="A8" s="3010"/>
      <c r="B8" s="162" t="s">
        <v>1957</v>
      </c>
      <c r="C8" s="1870" t="s">
        <v>3418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08" t="s">
        <v>1960</v>
      </c>
      <c r="X8" s="350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10"/>
      <c r="X9" s="3065" t="s">
        <v>3256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1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3228</v>
      </c>
      <c r="B12" s="3014" t="s">
        <v>3229</v>
      </c>
      <c r="C12" s="3015"/>
      <c r="D12" s="3016" t="s">
        <v>3230</v>
      </c>
      <c r="E12" s="3017" t="s">
        <v>3231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3233</v>
      </c>
      <c r="G14" s="3021" t="s">
        <v>3233</v>
      </c>
      <c r="H14" s="3021" t="s">
        <v>3233</v>
      </c>
      <c r="I14" s="3021" t="s">
        <v>3233</v>
      </c>
      <c r="J14" s="3021" t="s">
        <v>3233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3235</v>
      </c>
      <c r="B17" s="3028" t="s">
        <v>3236</v>
      </c>
      <c r="C17" s="3037">
        <f>ROUND(IF(OR(E2="工业",E2="公共服务"),1,IF(AND(E18=0,E19=0),1,IF(AND(E18=J24,E19=G19),0.8,IF(E19=0,1+E17*(-0.2),1+E17*G17*(-0.2))))),4)</f>
        <v>1</v>
      </c>
      <c r="D17" s="3029" t="s">
        <v>3237</v>
      </c>
      <c r="E17" s="3037">
        <f>ROUND(G18/I18,2)</f>
        <v>0</v>
      </c>
      <c r="F17" s="3029" t="s">
        <v>3240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3238</v>
      </c>
      <c r="E18" s="2357"/>
      <c r="F18" s="3031" t="s">
        <v>3241</v>
      </c>
      <c r="G18" s="3035">
        <f>ROUND(1-(1/(POWER(1+G24,E18))),4)</f>
        <v>0</v>
      </c>
      <c r="H18" s="3031" t="s">
        <v>3243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3239</v>
      </c>
      <c r="E19" s="3044"/>
      <c r="F19" s="3045" t="s">
        <v>3242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15" t="s">
        <v>3244</v>
      </c>
      <c r="B20" s="159" t="s">
        <v>1994</v>
      </c>
      <c r="C20" s="3032">
        <f>ROUND(IF(F21="与级别开发程度一致",0,(G21-E21)/C21),0)</f>
        <v>0</v>
      </c>
      <c r="D20" s="3047" t="s">
        <v>1998</v>
      </c>
      <c r="E20" s="3048"/>
      <c r="F20" s="3521" t="s">
        <v>1995</v>
      </c>
      <c r="G20" s="352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1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6" t="s">
        <v>2002</v>
      </c>
      <c r="E23" s="717">
        <v>44197</v>
      </c>
      <c r="F23" s="1896" t="s">
        <v>2003</v>
      </c>
      <c r="G23" s="718">
        <f>'数据-取费表'!B2</f>
        <v>45973</v>
      </c>
      <c r="H23" s="3049" t="s">
        <v>3420</v>
      </c>
      <c r="I23" s="3050" t="str">
        <f>IF(H23="季度增幅（自定义）",SUMIF(N25:N28,E2,O25:O28),"")</f>
        <v/>
      </c>
      <c r="J23" s="3142" t="s">
        <v>3421</v>
      </c>
      <c r="K23" s="1061"/>
      <c r="L23" s="1897" t="s">
        <v>2004</v>
      </c>
      <c r="M23" s="1241">
        <f>ROUND(SUMIF(地价!B2:G2,E2,地价!B16:G16),0)</f>
        <v>350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0.71919999999999995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18.809999999999999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3323</v>
      </c>
      <c r="C25" s="461">
        <f>IF(B25="容积率修正",IF(G3&lt;10,D26,J26),C27)</f>
        <v>0.97299999999999998</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3245</v>
      </c>
      <c r="D26" s="1263">
        <f>IF(E26=G26,F26,IF(G3&lt;10,ROUND(F26+(H26-F26)*(G3-E26)/(G26-E26),4),"——"))</f>
        <v>0.97299999999999998</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912" t="s">
        <v>3246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1.0472999999999999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120199</v>
      </c>
      <c r="D30" s="1925"/>
      <c r="E30" s="1842"/>
      <c r="F30" s="1926"/>
      <c r="G30" s="1842"/>
      <c r="H30" s="1842"/>
      <c r="I30" s="1842"/>
      <c r="J30" s="1927"/>
      <c r="K30" s="1056"/>
      <c r="L30" s="3056" t="s">
        <v>1936</v>
      </c>
      <c r="M30" s="3057" t="s">
        <v>1990</v>
      </c>
      <c r="N30" s="3057" t="s">
        <v>1991</v>
      </c>
      <c r="O30" s="3057" t="s">
        <v>1992</v>
      </c>
      <c r="P30" s="3057" t="s">
        <v>1993</v>
      </c>
      <c r="Q30" s="3060" t="s">
        <v>3250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2311</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17582</v>
      </c>
      <c r="D33" s="1940">
        <f>'数据-汇总表'!F19</f>
        <v>63105.500000000007</v>
      </c>
      <c r="E33" s="727">
        <f>ROUND(C33*D33/10000,0)</f>
        <v>110952</v>
      </c>
      <c r="F33" s="3051" t="s">
        <v>3248</v>
      </c>
      <c r="G33" s="1941"/>
      <c r="H33" s="1941"/>
      <c r="I33" s="1941"/>
      <c r="J33" s="1942"/>
      <c r="K33" s="1056"/>
      <c r="L33" s="3054" t="s">
        <v>3251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4396</v>
      </c>
      <c r="D34" s="1945"/>
      <c r="E34" s="727">
        <f>ROUND(IF(B25="楼层修正",SUM(V2:V16)*M40,C34*D34/10000),0)</f>
        <v>0</v>
      </c>
      <c r="F34" s="1946" t="s">
        <v>2032</v>
      </c>
      <c r="G34" s="1947"/>
      <c r="H34" s="1947"/>
      <c r="I34" s="1947"/>
      <c r="J34" s="1948"/>
      <c r="K34" s="1056"/>
      <c r="L34" s="3054" t="s">
        <v>3252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3249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3253</v>
      </c>
      <c r="L36" s="3143">
        <f ca="1">'数据-取费表'!B40</f>
        <v>3.2500000000000001E-2</v>
      </c>
      <c r="M36" s="2366">
        <f ca="1">ROUND($L$36*(1+M31),3)</f>
        <v>4.1000000000000002E-2</v>
      </c>
      <c r="N36" s="2366">
        <f ca="1">ROUND($L$36*(1+N31),3)</f>
        <v>3.9E-2</v>
      </c>
      <c r="O36" s="2366">
        <f ca="1">ROUND($L$36*(1+O31),3)</f>
        <v>3.6999999999999998E-2</v>
      </c>
      <c r="P36" s="2366">
        <f ca="1">ROUND($L$36*(1+P31),3)</f>
        <v>3.5999999999999997E-2</v>
      </c>
      <c r="Q36" s="2366">
        <f ca="1">ROUND($L$36*(1+Q31),3)</f>
        <v>3.6999999999999998E-2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9"/>
      <c r="B37" s="1955" t="s">
        <v>2036</v>
      </c>
      <c r="C37" s="167">
        <f>ROUND(D5*C22*C23*C24*C28*F37,0)</f>
        <v>10842</v>
      </c>
      <c r="D37" s="1940"/>
      <c r="E37" s="163">
        <f>ROUND(C37*D37/10000,0)</f>
        <v>0</v>
      </c>
      <c r="F37" s="163">
        <f>SUMIF(修正!A59:A70,G2,修正!B59:B70)</f>
        <v>0.6</v>
      </c>
      <c r="G37" s="163">
        <f>ROUND(IF(E2="工业",C37*$M$42,C37*$M$41),0)</f>
        <v>2711</v>
      </c>
      <c r="H37" s="163">
        <f>D37</f>
        <v>0</v>
      </c>
      <c r="I37" s="163">
        <f>ROUND(G37*H37/10000,0)</f>
        <v>0</v>
      </c>
      <c r="J37" s="2755"/>
      <c r="K37" s="3062" t="s">
        <v>3254</v>
      </c>
      <c r="L37" s="1964">
        <f ca="1">L36+K38</f>
        <v>3.7499999999999999E-2</v>
      </c>
      <c r="M37" s="2366">
        <f ca="1">ROUND($L$37*(1+M31),3)</f>
        <v>4.7E-2</v>
      </c>
      <c r="N37" s="2366">
        <f t="shared" ref="N37:Q37" ca="1" si="3">ROUND($L$37*(1+N31),3)</f>
        <v>4.4999999999999998E-2</v>
      </c>
      <c r="O37" s="2366">
        <f t="shared" ca="1" si="3"/>
        <v>4.2999999999999997E-2</v>
      </c>
      <c r="P37" s="2366">
        <f t="shared" ca="1" si="3"/>
        <v>4.1000000000000002E-2</v>
      </c>
      <c r="Q37" s="2366">
        <f t="shared" ca="1" si="3"/>
        <v>4.2999999999999997E-2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20"/>
      <c r="B38" s="1884" t="s">
        <v>2037</v>
      </c>
      <c r="C38" s="167">
        <f>ROUND(D5*C22*C23*C24*C28*F38,0)</f>
        <v>5421</v>
      </c>
      <c r="D38" s="1940"/>
      <c r="E38" s="163">
        <f t="shared" ref="E38:E42" si="4">ROUND(C38*D38/10000,0)</f>
        <v>0</v>
      </c>
      <c r="F38" s="163">
        <f>SUMIF(修正!A59:A70,G2,修正!C59:C70)</f>
        <v>0.3</v>
      </c>
      <c r="G38" s="163">
        <f>ROUND(IF(E2="工业",C38*$M$42,C38*$M$41),0)</f>
        <v>1355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20"/>
      <c r="B39" s="1884" t="s">
        <v>3247</v>
      </c>
      <c r="C39" s="167">
        <f>ROUND(D5*C22*C23*C24*C28*F39,0)</f>
        <v>4517</v>
      </c>
      <c r="D39" s="1940"/>
      <c r="E39" s="163">
        <f t="shared" si="4"/>
        <v>0</v>
      </c>
      <c r="F39" s="163">
        <f>SUMIF(修正!A59:A70,G2,修正!D59:D70)</f>
        <v>0.25</v>
      </c>
      <c r="G39" s="163">
        <f>ROUND(IF(E2="工业",C39*$M$42,C39*$M$41),0)</f>
        <v>1129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4517</v>
      </c>
      <c r="D40" s="1940"/>
      <c r="E40" s="163">
        <f t="shared" si="4"/>
        <v>0</v>
      </c>
      <c r="F40" s="167">
        <f>SUMIF(修正!A59:A70,G2,修正!E59:E70)</f>
        <v>0.25</v>
      </c>
      <c r="G40" s="163">
        <f>ROUND(IF(E2="工业",C40*$M$42,C40*$M$41),0)</f>
        <v>1129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4281</v>
      </c>
      <c r="D41" s="1940"/>
      <c r="E41" s="163">
        <f t="shared" si="4"/>
        <v>0</v>
      </c>
      <c r="F41" s="167">
        <f>SUMIF(修正!A59:A70,G2,修正!F59:F70)</f>
        <v>0.25</v>
      </c>
      <c r="G41" s="163">
        <f>ROUND(IF(E2="工业",C41*$M$42,C41*$M$41),0)</f>
        <v>1070</v>
      </c>
      <c r="H41" s="163">
        <f t="shared" si="5"/>
        <v>0</v>
      </c>
      <c r="I41" s="163">
        <f t="shared" si="6"/>
        <v>0</v>
      </c>
      <c r="J41" s="939"/>
      <c r="L41" s="3063" t="s">
        <v>3255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2569</v>
      </c>
      <c r="D42" s="1945">
        <f>'数据-汇总表'!G20</f>
        <v>35992.839999999997</v>
      </c>
      <c r="E42" s="179">
        <f t="shared" si="4"/>
        <v>9247</v>
      </c>
      <c r="F42" s="723">
        <f>SUMIF(修正!A59:A70,G2,修正!G59:G70)</f>
        <v>0.15</v>
      </c>
      <c r="G42" s="179">
        <f>ROUND(IF(E2="工业",C42*$M$42,C42*$M$41),0)</f>
        <v>642</v>
      </c>
      <c r="H42" s="179">
        <f t="shared" si="5"/>
        <v>35992.839999999997</v>
      </c>
      <c r="I42" s="179">
        <f t="shared" si="6"/>
        <v>2311</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0.68159999999999998</v>
      </c>
      <c r="D44" s="163" t="s">
        <v>1999</v>
      </c>
      <c r="E44" s="1991">
        <f>G24</f>
        <v>5.5E-2</v>
      </c>
      <c r="F44" s="163" t="s">
        <v>2008</v>
      </c>
      <c r="G44" s="175">
        <f>项目基本情况!D15</f>
        <v>18.809999999999999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1.0472999999999999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f>估价对象房地状况!C4</f>
        <v>0</v>
      </c>
      <c r="C50" s="1887" t="s">
        <v>3422</v>
      </c>
      <c r="D50" s="1002">
        <f t="shared" ref="D50:D58" si="7">SUMIF($J$49:$N$49,C50,J50:N50)</f>
        <v>1.32E-2</v>
      </c>
      <c r="E50" s="702">
        <f>ROUND(SUM(D50:D58),4)</f>
        <v>4.7300000000000002E-2</v>
      </c>
      <c r="F50" s="1675">
        <f>IF(E2="商业",SUMIF(L1:L12,G2,N1:N12),"——")</f>
        <v>8.7999999999999995E-2</v>
      </c>
      <c r="G50" s="1000">
        <f>H50</f>
        <v>1.32E-2</v>
      </c>
      <c r="H50" s="1003">
        <f t="shared" ref="H50:H58" si="8">IFERROR(ROUNDDOWN($F$50*I50/2,4),"——")</f>
        <v>1.32E-2</v>
      </c>
      <c r="I50" s="3069">
        <v>0.3</v>
      </c>
      <c r="J50" s="1001">
        <f t="shared" ref="J50:J58" si="9">K50+$G50</f>
        <v>2.64E-2</v>
      </c>
      <c r="K50" s="1001">
        <f t="shared" ref="K50:K58" si="10">$L50+$G50</f>
        <v>1.32E-2</v>
      </c>
      <c r="L50" s="1001">
        <v>0</v>
      </c>
      <c r="M50" s="1001">
        <f t="shared" ref="M50:N58" si="11">L50-$G50</f>
        <v>-1.32E-2</v>
      </c>
      <c r="N50" s="1001">
        <f t="shared" si="11"/>
        <v>-2.64E-2</v>
      </c>
      <c r="AA50" s="1057"/>
      <c r="AB50" s="1057"/>
      <c r="AC50" s="1057"/>
      <c r="AD50" s="1057"/>
      <c r="AE50" s="1057"/>
      <c r="AF50" s="1057"/>
      <c r="AG50" s="1057"/>
      <c r="AH50" s="1057"/>
      <c r="AI50" s="1057"/>
      <c r="AJ50" s="1057"/>
      <c r="AK50" s="1057"/>
    </row>
    <row r="51" spans="1:37" s="1056" customFormat="1" ht="38.25">
      <c r="A51" s="1970" t="s">
        <v>2053</v>
      </c>
      <c r="B51" s="1262">
        <f>估价对象房地状况!C18</f>
        <v>0</v>
      </c>
      <c r="C51" s="1887" t="s">
        <v>3422</v>
      </c>
      <c r="D51" s="1002">
        <f t="shared" si="7"/>
        <v>9.5999999999999992E-3</v>
      </c>
      <c r="E51" s="703"/>
      <c r="F51" s="1675"/>
      <c r="G51" s="1000">
        <f t="shared" ref="G51:G58" si="12">H51</f>
        <v>9.5999999999999992E-3</v>
      </c>
      <c r="H51" s="1003">
        <f t="shared" si="8"/>
        <v>9.5999999999999992E-3</v>
      </c>
      <c r="I51" s="3069">
        <v>0.22</v>
      </c>
      <c r="J51" s="1001">
        <f t="shared" si="9"/>
        <v>1.9199999999999998E-2</v>
      </c>
      <c r="K51" s="1001">
        <f t="shared" si="10"/>
        <v>9.5999999999999992E-3</v>
      </c>
      <c r="L51" s="1001">
        <v>0</v>
      </c>
      <c r="M51" s="1001">
        <f t="shared" si="11"/>
        <v>-9.5999999999999992E-3</v>
      </c>
      <c r="N51" s="1001">
        <f t="shared" si="11"/>
        <v>-1.9199999999999998E-2</v>
      </c>
      <c r="AA51" s="1057"/>
      <c r="AB51" s="1057"/>
      <c r="AC51" s="1057"/>
      <c r="AD51" s="1057"/>
      <c r="AE51" s="1057"/>
      <c r="AF51" s="1057"/>
      <c r="AG51" s="1057"/>
      <c r="AH51" s="1057"/>
      <c r="AI51" s="1057"/>
      <c r="AJ51" s="1057"/>
      <c r="AK51" s="1057"/>
    </row>
    <row r="52" spans="1:37" s="1056" customFormat="1" ht="36">
      <c r="A52" s="3071" t="s">
        <v>3257</v>
      </c>
      <c r="B52" s="1262">
        <f>估价对象房地状况!C19</f>
        <v>0</v>
      </c>
      <c r="C52" s="1887" t="s">
        <v>3422</v>
      </c>
      <c r="D52" s="1002">
        <f t="shared" si="7"/>
        <v>5.1999999999999998E-3</v>
      </c>
      <c r="E52" s="703"/>
      <c r="F52" s="1675"/>
      <c r="G52" s="1000">
        <f t="shared" si="12"/>
        <v>5.1999999999999998E-3</v>
      </c>
      <c r="H52" s="1003">
        <f t="shared" si="8"/>
        <v>5.1999999999999998E-3</v>
      </c>
      <c r="I52" s="3069">
        <v>0.12</v>
      </c>
      <c r="J52" s="1001">
        <f t="shared" si="9"/>
        <v>1.04E-2</v>
      </c>
      <c r="K52" s="1001">
        <f t="shared" si="10"/>
        <v>5.1999999999999998E-3</v>
      </c>
      <c r="L52" s="1001">
        <v>0</v>
      </c>
      <c r="M52" s="1001">
        <f t="shared" si="11"/>
        <v>-5.1999999999999998E-3</v>
      </c>
      <c r="N52" s="1001">
        <f t="shared" si="11"/>
        <v>-1.04E-2</v>
      </c>
      <c r="AA52" s="1057"/>
      <c r="AB52" s="1057"/>
      <c r="AC52" s="1057"/>
      <c r="AD52" s="1057"/>
      <c r="AE52" s="1057"/>
      <c r="AF52" s="1057"/>
      <c r="AG52" s="1057"/>
      <c r="AH52" s="1057"/>
      <c r="AI52" s="1057"/>
      <c r="AJ52" s="1057"/>
      <c r="AK52" s="1057"/>
    </row>
    <row r="53" spans="1:37" s="1056" customFormat="1" ht="36.75">
      <c r="A53" s="1970" t="s">
        <v>2054</v>
      </c>
      <c r="B53" s="1974" t="s">
        <v>2055</v>
      </c>
      <c r="C53" s="1887" t="s">
        <v>3422</v>
      </c>
      <c r="D53" s="1002">
        <f t="shared" si="7"/>
        <v>2.2000000000000001E-3</v>
      </c>
      <c r="E53" s="703"/>
      <c r="F53" s="1675"/>
      <c r="G53" s="1000">
        <f t="shared" si="12"/>
        <v>2.2000000000000001E-3</v>
      </c>
      <c r="H53" s="1003">
        <f t="shared" si="8"/>
        <v>2.2000000000000001E-3</v>
      </c>
      <c r="I53" s="3069">
        <v>0.05</v>
      </c>
      <c r="J53" s="1001">
        <f t="shared" si="9"/>
        <v>4.4000000000000003E-3</v>
      </c>
      <c r="K53" s="1001">
        <f t="shared" si="10"/>
        <v>2.2000000000000001E-3</v>
      </c>
      <c r="L53" s="1001">
        <v>0</v>
      </c>
      <c r="M53" s="1001">
        <f t="shared" si="11"/>
        <v>-2.2000000000000001E-3</v>
      </c>
      <c r="N53" s="1001">
        <f t="shared" si="11"/>
        <v>-4.4000000000000003E-3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3422</v>
      </c>
      <c r="D54" s="1002">
        <f t="shared" si="7"/>
        <v>3.5000000000000001E-3</v>
      </c>
      <c r="E54" s="703"/>
      <c r="F54" s="1675"/>
      <c r="G54" s="1000">
        <f t="shared" si="12"/>
        <v>3.5000000000000001E-3</v>
      </c>
      <c r="H54" s="1003">
        <f t="shared" si="8"/>
        <v>3.5000000000000001E-3</v>
      </c>
      <c r="I54" s="3069">
        <v>0.08</v>
      </c>
      <c r="J54" s="1001">
        <f t="shared" si="9"/>
        <v>7.0000000000000001E-3</v>
      </c>
      <c r="K54" s="1001">
        <f t="shared" si="10"/>
        <v>3.5000000000000001E-3</v>
      </c>
      <c r="L54" s="1001">
        <v>0</v>
      </c>
      <c r="M54" s="1001">
        <f t="shared" si="11"/>
        <v>-3.5000000000000001E-3</v>
      </c>
      <c r="N54" s="1001">
        <f t="shared" si="11"/>
        <v>-7.0000000000000001E-3</v>
      </c>
      <c r="AA54" s="1057"/>
      <c r="AB54" s="1057"/>
      <c r="AC54" s="1057"/>
      <c r="AD54" s="1057"/>
      <c r="AE54" s="1057"/>
      <c r="AF54" s="1057"/>
      <c r="AG54" s="1057"/>
      <c r="AH54" s="1057"/>
      <c r="AI54" s="1057"/>
      <c r="AJ54" s="1057"/>
      <c r="AK54" s="1057"/>
    </row>
    <row r="55" spans="1:37" s="1056" customFormat="1" ht="24">
      <c r="A55" s="1970" t="s">
        <v>2057</v>
      </c>
      <c r="B55" s="1975" t="s">
        <v>2058</v>
      </c>
      <c r="C55" s="1887" t="s">
        <v>3422</v>
      </c>
      <c r="D55" s="1002">
        <f t="shared" si="7"/>
        <v>2.2000000000000001E-3</v>
      </c>
      <c r="E55" s="703"/>
      <c r="F55" s="1675"/>
      <c r="G55" s="1000">
        <f t="shared" si="12"/>
        <v>2.2000000000000001E-3</v>
      </c>
      <c r="H55" s="1003">
        <f t="shared" si="8"/>
        <v>2.2000000000000001E-3</v>
      </c>
      <c r="I55" s="3069">
        <v>0.05</v>
      </c>
      <c r="J55" s="1001">
        <f t="shared" si="9"/>
        <v>4.4000000000000003E-3</v>
      </c>
      <c r="K55" s="1001">
        <f t="shared" si="10"/>
        <v>2.2000000000000001E-3</v>
      </c>
      <c r="L55" s="1001">
        <v>0</v>
      </c>
      <c r="M55" s="1001">
        <f t="shared" si="11"/>
        <v>-2.2000000000000001E-3</v>
      </c>
      <c r="N55" s="1001">
        <f t="shared" si="11"/>
        <v>-4.4000000000000003E-3</v>
      </c>
      <c r="AA55" s="1057"/>
      <c r="AB55" s="1057"/>
      <c r="AC55" s="1057"/>
      <c r="AD55" s="1057"/>
      <c r="AE55" s="1057"/>
      <c r="AF55" s="1057"/>
      <c r="AG55" s="1057"/>
      <c r="AH55" s="1057"/>
      <c r="AI55" s="1057"/>
      <c r="AJ55" s="1057"/>
      <c r="AK55" s="1057"/>
    </row>
    <row r="56" spans="1:37" s="1056" customFormat="1" ht="25.5">
      <c r="A56" s="1976" t="s">
        <v>2059</v>
      </c>
      <c r="B56" s="1240">
        <f>估价对象房地状况!C21</f>
        <v>0</v>
      </c>
      <c r="C56" s="1887" t="s">
        <v>3422</v>
      </c>
      <c r="D56" s="1002">
        <f t="shared" si="7"/>
        <v>2.2000000000000001E-3</v>
      </c>
      <c r="E56" s="703"/>
      <c r="F56" s="1675"/>
      <c r="G56" s="1000">
        <f t="shared" si="12"/>
        <v>2.2000000000000001E-3</v>
      </c>
      <c r="H56" s="1003">
        <f t="shared" si="8"/>
        <v>2.2000000000000001E-3</v>
      </c>
      <c r="I56" s="3069">
        <v>0.05</v>
      </c>
      <c r="J56" s="1001">
        <f t="shared" si="9"/>
        <v>4.4000000000000003E-3</v>
      </c>
      <c r="K56" s="1001">
        <f t="shared" si="10"/>
        <v>2.2000000000000001E-3</v>
      </c>
      <c r="L56" s="1001">
        <v>0</v>
      </c>
      <c r="M56" s="1001">
        <f t="shared" si="11"/>
        <v>-2.2000000000000001E-3</v>
      </c>
      <c r="N56" s="1001">
        <f t="shared" si="11"/>
        <v>-4.4000000000000003E-3</v>
      </c>
      <c r="AA56" s="1057"/>
      <c r="AB56" s="1057"/>
      <c r="AC56" s="1057"/>
      <c r="AD56" s="1057"/>
      <c r="AE56" s="1057"/>
      <c r="AF56" s="1057"/>
      <c r="AG56" s="1057"/>
      <c r="AH56" s="1057"/>
      <c r="AI56" s="1057"/>
      <c r="AJ56" s="1057"/>
      <c r="AK56" s="1057"/>
    </row>
    <row r="57" spans="1:37" s="1056" customFormat="1" ht="25.5">
      <c r="A57" s="1976" t="s">
        <v>2060</v>
      </c>
      <c r="B57" s="1262">
        <f>估价对象房地状况!C22</f>
        <v>0</v>
      </c>
      <c r="C57" s="1887" t="s">
        <v>3423</v>
      </c>
      <c r="D57" s="1002">
        <f t="shared" si="7"/>
        <v>7.0000000000000001E-3</v>
      </c>
      <c r="E57" s="703"/>
      <c r="F57" s="1675"/>
      <c r="G57" s="1000">
        <f t="shared" si="12"/>
        <v>3.5000000000000001E-3</v>
      </c>
      <c r="H57" s="1003">
        <f t="shared" si="8"/>
        <v>3.5000000000000001E-3</v>
      </c>
      <c r="I57" s="3069">
        <v>0.08</v>
      </c>
      <c r="J57" s="1001">
        <f t="shared" si="9"/>
        <v>7.0000000000000001E-3</v>
      </c>
      <c r="K57" s="1001">
        <f t="shared" si="10"/>
        <v>3.5000000000000001E-3</v>
      </c>
      <c r="L57" s="1001">
        <v>0</v>
      </c>
      <c r="M57" s="1001">
        <f t="shared" si="11"/>
        <v>-3.5000000000000001E-3</v>
      </c>
      <c r="N57" s="1001">
        <f t="shared" si="11"/>
        <v>-7.0000000000000001E-3</v>
      </c>
      <c r="AA57" s="1057"/>
      <c r="AB57" s="1057"/>
      <c r="AC57" s="1057"/>
      <c r="AD57" s="1057"/>
      <c r="AE57" s="1057"/>
      <c r="AF57" s="1057"/>
      <c r="AG57" s="1057"/>
      <c r="AH57" s="1057"/>
      <c r="AI57" s="1057"/>
      <c r="AJ57" s="1057"/>
      <c r="AK57" s="1057"/>
    </row>
    <row r="58" spans="1:37" s="1056" customFormat="1" ht="26.25" thickBot="1">
      <c r="A58" s="1977" t="s">
        <v>2061</v>
      </c>
      <c r="B58" s="1978">
        <f>估价对象房地状况!C20</f>
        <v>0</v>
      </c>
      <c r="C58" s="1887" t="s">
        <v>3422</v>
      </c>
      <c r="D58" s="1002">
        <f t="shared" si="7"/>
        <v>2.2000000000000001E-3</v>
      </c>
      <c r="E58" s="704"/>
      <c r="F58" s="1675"/>
      <c r="G58" s="1000">
        <f t="shared" si="12"/>
        <v>2.2000000000000001E-3</v>
      </c>
      <c r="H58" s="1003">
        <f t="shared" si="8"/>
        <v>2.2000000000000001E-3</v>
      </c>
      <c r="I58" s="3070">
        <v>0.05</v>
      </c>
      <c r="J58" s="1001">
        <f t="shared" si="9"/>
        <v>4.4000000000000003E-3</v>
      </c>
      <c r="K58" s="1001">
        <f t="shared" si="10"/>
        <v>2.2000000000000001E-3</v>
      </c>
      <c r="L58" s="1001">
        <v>0</v>
      </c>
      <c r="M58" s="1001">
        <f t="shared" si="11"/>
        <v>-2.2000000000000001E-3</v>
      </c>
      <c r="N58" s="1001">
        <f t="shared" si="11"/>
        <v>-4.4000000000000003E-3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3257</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3257</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3258</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2602</v>
      </c>
      <c r="B91" s="3080">
        <f>1+E93</f>
        <v>1</v>
      </c>
      <c r="C91" s="3073"/>
      <c r="D91" s="3074"/>
      <c r="E91" s="1675"/>
      <c r="F91" s="1675"/>
      <c r="G91" s="3075"/>
      <c r="H91" s="3076"/>
      <c r="I91" s="3077"/>
      <c r="J91" s="3078"/>
      <c r="K91" s="3078"/>
      <c r="L91" s="3078"/>
      <c r="M91" s="3078"/>
      <c r="N91" s="3078"/>
    </row>
    <row r="92" spans="1:37" ht="24.75">
      <c r="A92" s="3081" t="s">
        <v>3259</v>
      </c>
      <c r="B92" s="2310"/>
      <c r="C92" s="2310" t="s">
        <v>3268</v>
      </c>
      <c r="D92" s="2310" t="s">
        <v>3269</v>
      </c>
      <c r="E92" s="3053" t="s">
        <v>3270</v>
      </c>
      <c r="F92" s="3083" t="s">
        <v>3271</v>
      </c>
      <c r="G92" s="2310" t="s">
        <v>3272</v>
      </c>
      <c r="H92" s="3090" t="s">
        <v>3275</v>
      </c>
      <c r="I92" s="2310" t="s">
        <v>3276</v>
      </c>
      <c r="J92" s="2150" t="s">
        <v>3277</v>
      </c>
      <c r="K92" s="2150" t="s">
        <v>3278</v>
      </c>
      <c r="L92" s="2150" t="s">
        <v>3279</v>
      </c>
      <c r="M92" s="2150" t="s">
        <v>3280</v>
      </c>
      <c r="N92" s="2150" t="s">
        <v>3281</v>
      </c>
    </row>
    <row r="93" spans="1:37" ht="24">
      <c r="A93" s="3071" t="s">
        <v>3260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3261</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3257</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3262</v>
      </c>
      <c r="B96" s="3087" t="s">
        <v>3273</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3263</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3264</v>
      </c>
      <c r="B98" s="3088" t="s">
        <v>3274</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3265</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3266</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3267</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517" t="s">
        <v>3282</v>
      </c>
      <c r="B103" s="3517"/>
      <c r="C103" s="3517"/>
      <c r="D103" s="3517"/>
      <c r="E103" s="3517"/>
      <c r="F103" s="3517"/>
      <c r="G103" s="3517"/>
      <c r="H103" s="3517"/>
      <c r="I103" s="3517"/>
      <c r="J103" s="3517"/>
      <c r="K103" s="1667"/>
      <c r="L103" s="1667"/>
      <c r="M103" s="1667"/>
      <c r="N103" s="1667"/>
    </row>
    <row r="104" spans="1:14">
      <c r="A104" s="3518" t="s">
        <v>3283</v>
      </c>
      <c r="B104" s="3518" t="s">
        <v>3284</v>
      </c>
      <c r="C104" s="3091" t="s">
        <v>3285</v>
      </c>
      <c r="D104" s="3092"/>
      <c r="E104" s="3092"/>
      <c r="F104" s="3092"/>
      <c r="G104" s="3092"/>
      <c r="H104" s="3092"/>
      <c r="I104" s="3092"/>
      <c r="J104" s="3093"/>
      <c r="K104" s="3094"/>
      <c r="L104" s="3094"/>
      <c r="M104" s="3094"/>
      <c r="N104" s="3094"/>
    </row>
    <row r="105" spans="1:14">
      <c r="A105" s="3518"/>
      <c r="B105" s="3518"/>
      <c r="C105" s="3095" t="s">
        <v>3286</v>
      </c>
      <c r="D105" s="3095" t="s">
        <v>3287</v>
      </c>
      <c r="E105" s="3095" t="s">
        <v>3288</v>
      </c>
      <c r="F105" s="3095" t="s">
        <v>3289</v>
      </c>
      <c r="G105" s="3095" t="s">
        <v>3290</v>
      </c>
      <c r="H105" s="3095" t="s">
        <v>3291</v>
      </c>
      <c r="I105" s="3095" t="s">
        <v>3292</v>
      </c>
      <c r="J105" s="3095" t="s">
        <v>3293</v>
      </c>
      <c r="K105" s="3095" t="s">
        <v>3294</v>
      </c>
      <c r="L105" s="3095" t="s">
        <v>3295</v>
      </c>
      <c r="M105" s="3095" t="s">
        <v>3296</v>
      </c>
      <c r="N105" s="3095" t="s">
        <v>3297</v>
      </c>
    </row>
    <row r="106" spans="1:14">
      <c r="A106" s="3504" t="s">
        <v>3298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0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0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0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0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05"/>
      <c r="B111" s="3095" t="s">
        <v>3256</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506"/>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507" t="s">
        <v>3299</v>
      </c>
      <c r="B113" s="3507"/>
      <c r="C113" s="3507"/>
      <c r="D113" s="3507"/>
      <c r="E113" s="3507"/>
      <c r="F113" s="3507"/>
      <c r="G113" s="3507"/>
      <c r="H113" s="3507"/>
      <c r="I113" s="3507"/>
      <c r="J113" s="350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3300</v>
      </c>
      <c r="B116" s="3115">
        <f>G3</f>
        <v>3</v>
      </c>
      <c r="C116" s="3100" t="s">
        <v>3301</v>
      </c>
      <c r="D116" s="3101">
        <f>SUMPRODUCT((A118:A122=F116)*(B117:M117=H116)*B118:M122)</f>
        <v>0.90700000000000003</v>
      </c>
      <c r="E116" s="162" t="s">
        <v>3302</v>
      </c>
      <c r="F116" s="3102" t="str">
        <f>E2</f>
        <v>商业</v>
      </c>
      <c r="G116" s="162" t="s">
        <v>3303</v>
      </c>
      <c r="H116" s="3102" t="str">
        <f>G2</f>
        <v>三级</v>
      </c>
      <c r="I116" s="162"/>
      <c r="J116" s="3103"/>
      <c r="K116" s="3103"/>
      <c r="L116" s="3103"/>
      <c r="M116" s="3103"/>
      <c r="N116" s="3098"/>
    </row>
    <row r="117" spans="1:14">
      <c r="A117" s="3104"/>
      <c r="B117" s="3105" t="s">
        <v>3304</v>
      </c>
      <c r="C117" s="3105" t="s">
        <v>3305</v>
      </c>
      <c r="D117" s="3105" t="s">
        <v>3306</v>
      </c>
      <c r="E117" s="3106" t="s">
        <v>3307</v>
      </c>
      <c r="F117" s="3106" t="s">
        <v>3308</v>
      </c>
      <c r="G117" s="3106" t="s">
        <v>3309</v>
      </c>
      <c r="H117" s="3107" t="s">
        <v>3310</v>
      </c>
      <c r="I117" s="3107" t="s">
        <v>3311</v>
      </c>
      <c r="J117" s="3108" t="s">
        <v>3312</v>
      </c>
      <c r="K117" s="3108" t="s">
        <v>3313</v>
      </c>
      <c r="L117" s="3108" t="s">
        <v>3314</v>
      </c>
      <c r="M117" s="3109" t="s">
        <v>3315</v>
      </c>
      <c r="N117" s="3098"/>
    </row>
    <row r="118" spans="1:14">
      <c r="A118" s="3058" t="s">
        <v>3316</v>
      </c>
      <c r="B118" s="3090">
        <f>ROUND(0.9968-0.011*B116,4)</f>
        <v>0.96379999999999999</v>
      </c>
      <c r="C118" s="3090">
        <f>B118</f>
        <v>0.96379999999999999</v>
      </c>
      <c r="D118" s="3090">
        <f>ROUND(0.949-0.014*B116,4)</f>
        <v>0.90700000000000003</v>
      </c>
      <c r="E118" s="3090">
        <f>D118</f>
        <v>0.90700000000000003</v>
      </c>
      <c r="F118" s="3090">
        <f>E118</f>
        <v>0.90700000000000003</v>
      </c>
      <c r="G118" s="3090">
        <f>F118</f>
        <v>0.90700000000000003</v>
      </c>
      <c r="H118" s="3090">
        <f>G118</f>
        <v>0.90700000000000003</v>
      </c>
      <c r="I118" s="3090">
        <f>ROUND(0.8486-0.018*B116,4)</f>
        <v>0.79459999999999997</v>
      </c>
      <c r="J118" s="3090">
        <f t="shared" ref="J118:M122" si="36">I118</f>
        <v>0.79459999999999997</v>
      </c>
      <c r="K118" s="3090">
        <f t="shared" si="36"/>
        <v>0.79459999999999997</v>
      </c>
      <c r="L118" s="3090">
        <f t="shared" si="36"/>
        <v>0.79459999999999997</v>
      </c>
      <c r="M118" s="3110">
        <f t="shared" si="36"/>
        <v>0.79459999999999997</v>
      </c>
      <c r="N118" s="3098"/>
    </row>
    <row r="119" spans="1:14">
      <c r="A119" s="3058" t="s">
        <v>3317</v>
      </c>
      <c r="B119" s="3090">
        <f>ROUND(0.993-0.0112*B116,4)</f>
        <v>0.95940000000000003</v>
      </c>
      <c r="C119" s="3090">
        <f>B119</f>
        <v>0.95940000000000003</v>
      </c>
      <c r="D119" s="3090">
        <f>ROUND(0.9415-0.0142*B116,4)</f>
        <v>0.89890000000000003</v>
      </c>
      <c r="E119" s="3090">
        <f t="shared" ref="E119:H120" si="37">D119</f>
        <v>0.89890000000000003</v>
      </c>
      <c r="F119" s="3090">
        <f t="shared" si="37"/>
        <v>0.89890000000000003</v>
      </c>
      <c r="G119" s="3090">
        <f t="shared" si="37"/>
        <v>0.89890000000000003</v>
      </c>
      <c r="H119" s="3090">
        <f t="shared" si="37"/>
        <v>0.89890000000000003</v>
      </c>
      <c r="I119" s="3090">
        <f>ROUND(0.838-0.0182*B116,4)</f>
        <v>0.78339999999999999</v>
      </c>
      <c r="J119" s="3090">
        <f t="shared" si="36"/>
        <v>0.78339999999999999</v>
      </c>
      <c r="K119" s="3090">
        <f t="shared" si="36"/>
        <v>0.78339999999999999</v>
      </c>
      <c r="L119" s="3090">
        <f t="shared" si="36"/>
        <v>0.78339999999999999</v>
      </c>
      <c r="M119" s="3110">
        <f t="shared" si="36"/>
        <v>0.78339999999999999</v>
      </c>
      <c r="N119" s="3098"/>
    </row>
    <row r="120" spans="1:14">
      <c r="A120" s="3058" t="s">
        <v>3318</v>
      </c>
      <c r="B120" s="3090">
        <f>ROUND(0.9448-0.0115*B116,4)</f>
        <v>0.9103</v>
      </c>
      <c r="C120" s="3090">
        <f>B120</f>
        <v>0.9103</v>
      </c>
      <c r="D120" s="3090">
        <f>ROUND(0.937-0.0145*B116,4)</f>
        <v>0.89349999999999996</v>
      </c>
      <c r="E120" s="3090">
        <f t="shared" si="37"/>
        <v>0.89349999999999996</v>
      </c>
      <c r="F120" s="3090">
        <f t="shared" si="37"/>
        <v>0.89349999999999996</v>
      </c>
      <c r="G120" s="3090">
        <f t="shared" si="37"/>
        <v>0.89349999999999996</v>
      </c>
      <c r="H120" s="3090">
        <f t="shared" si="37"/>
        <v>0.89349999999999996</v>
      </c>
      <c r="I120" s="3090">
        <f>ROUND(0.7965-0.0185*B116,4)</f>
        <v>0.74099999999999999</v>
      </c>
      <c r="J120" s="3090">
        <f t="shared" si="36"/>
        <v>0.74099999999999999</v>
      </c>
      <c r="K120" s="3090">
        <f t="shared" si="36"/>
        <v>0.74099999999999999</v>
      </c>
      <c r="L120" s="3090">
        <f t="shared" si="36"/>
        <v>0.74099999999999999</v>
      </c>
      <c r="M120" s="3110">
        <f t="shared" si="36"/>
        <v>0.74099999999999999</v>
      </c>
      <c r="N120" s="3098"/>
    </row>
    <row r="121" spans="1:14" ht="13.5" thickBot="1">
      <c r="A121" s="3111" t="s">
        <v>3319</v>
      </c>
      <c r="B121" s="3112">
        <f>ROUND(0.7836-0.012*B116,4)</f>
        <v>0.74760000000000004</v>
      </c>
      <c r="C121" s="3112">
        <f>B121</f>
        <v>0.74760000000000004</v>
      </c>
      <c r="D121" s="3112">
        <f>ROUND(0.753-0.015*B116,4)</f>
        <v>0.70799999999999996</v>
      </c>
      <c r="E121" s="3112">
        <f>D121</f>
        <v>0.70799999999999996</v>
      </c>
      <c r="F121" s="3112">
        <f>E121</f>
        <v>0.70799999999999996</v>
      </c>
      <c r="G121" s="3112">
        <f>ROUND(0.6612-0.018*B116,4)</f>
        <v>0.60719999999999996</v>
      </c>
      <c r="H121" s="3112">
        <f>G121</f>
        <v>0.60719999999999996</v>
      </c>
      <c r="I121" s="3112">
        <f>ROUND(0.5905-0.019*B116,4)</f>
        <v>0.53349999999999997</v>
      </c>
      <c r="J121" s="3112">
        <f t="shared" si="36"/>
        <v>0.53349999999999997</v>
      </c>
      <c r="K121" s="3112">
        <f t="shared" si="36"/>
        <v>0.53349999999999997</v>
      </c>
      <c r="L121" s="3112">
        <f t="shared" si="36"/>
        <v>0.53349999999999997</v>
      </c>
      <c r="M121" s="3113">
        <f t="shared" si="36"/>
        <v>0.53349999999999997</v>
      </c>
      <c r="N121" s="3098"/>
    </row>
    <row r="122" spans="1:14">
      <c r="A122" s="3114" t="s">
        <v>2602</v>
      </c>
      <c r="B122" s="3090">
        <f>ROUND(0.9404-0.0106*B116,4)</f>
        <v>0.90859999999999996</v>
      </c>
      <c r="C122" s="3090">
        <f>B122</f>
        <v>0.90859999999999996</v>
      </c>
      <c r="D122" s="3090">
        <f>ROUND(0.8955-0.0135*B116,4)</f>
        <v>0.85499999999999998</v>
      </c>
      <c r="E122" s="3090">
        <f t="shared" ref="E122:H122" si="38">D122</f>
        <v>0.85499999999999998</v>
      </c>
      <c r="F122" s="3090">
        <f t="shared" si="38"/>
        <v>0.85499999999999998</v>
      </c>
      <c r="G122" s="3090">
        <f t="shared" si="38"/>
        <v>0.85499999999999998</v>
      </c>
      <c r="H122" s="3090">
        <f t="shared" si="38"/>
        <v>0.85499999999999998</v>
      </c>
      <c r="I122" s="3090">
        <f>ROUND(0.7632-0.0166*B116,4)</f>
        <v>0.71340000000000003</v>
      </c>
      <c r="J122" s="3090">
        <f t="shared" si="36"/>
        <v>0.71340000000000003</v>
      </c>
      <c r="K122" s="3090">
        <f t="shared" si="36"/>
        <v>0.71340000000000003</v>
      </c>
      <c r="L122" s="3090">
        <f t="shared" si="36"/>
        <v>0.71340000000000003</v>
      </c>
      <c r="M122" s="3110">
        <f t="shared" si="36"/>
        <v>0.71340000000000003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2584</v>
      </c>
      <c r="B1" s="2812" t="s">
        <v>2585</v>
      </c>
      <c r="C1" s="2812" t="s">
        <v>2586</v>
      </c>
      <c r="D1" s="2812" t="s">
        <v>2587</v>
      </c>
      <c r="E1" s="2812" t="s">
        <v>2588</v>
      </c>
      <c r="F1" s="2812" t="s">
        <v>2589</v>
      </c>
      <c r="G1" s="2812" t="s">
        <v>2590</v>
      </c>
      <c r="H1" s="2812" t="s">
        <v>2591</v>
      </c>
      <c r="I1" s="2812" t="s">
        <v>2592</v>
      </c>
      <c r="J1" s="2812" t="s">
        <v>2593</v>
      </c>
      <c r="K1" s="2812" t="s">
        <v>2594</v>
      </c>
      <c r="L1" s="2812" t="s">
        <v>2595</v>
      </c>
      <c r="M1" s="2813" t="s">
        <v>2596</v>
      </c>
    </row>
    <row r="2" spans="1:13" ht="19.5" customHeight="1">
      <c r="A2" s="2815" t="s">
        <v>2597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2613</v>
      </c>
      <c r="B18" s="2837"/>
      <c r="C18" s="2838"/>
      <c r="D18" s="2838"/>
      <c r="E18" s="2837"/>
      <c r="F18" s="2838"/>
      <c r="G18" s="2838"/>
    </row>
    <row r="19" spans="1:13" ht="19.5" customHeight="1" thickBot="1">
      <c r="A19" s="2835" t="s">
        <v>2614</v>
      </c>
      <c r="B19" s="2840" t="s">
        <v>2615</v>
      </c>
      <c r="C19" s="2840" t="s">
        <v>2616</v>
      </c>
      <c r="D19" s="2841"/>
      <c r="E19" s="2835" t="s">
        <v>2617</v>
      </c>
      <c r="F19" s="2842"/>
      <c r="G19" s="2842"/>
    </row>
    <row r="20" spans="1:13" ht="19.5" customHeight="1">
      <c r="A20" s="3534" t="s">
        <v>2597</v>
      </c>
      <c r="B20" s="3527" t="s">
        <v>2618</v>
      </c>
      <c r="C20" s="3169" t="s">
        <v>2429</v>
      </c>
      <c r="D20" s="3169"/>
      <c r="E20" s="2845">
        <v>1</v>
      </c>
      <c r="F20" s="2846" t="s">
        <v>2430</v>
      </c>
      <c r="G20" s="2846"/>
    </row>
    <row r="21" spans="1:13" ht="19.5" customHeight="1">
      <c r="A21" s="3535"/>
      <c r="B21" s="3523"/>
      <c r="C21" s="2858" t="s">
        <v>2431</v>
      </c>
      <c r="D21" s="2858"/>
      <c r="E21" s="2849">
        <v>1</v>
      </c>
      <c r="F21" s="2846" t="s">
        <v>2432</v>
      </c>
      <c r="G21" s="2846"/>
    </row>
    <row r="22" spans="1:13" ht="19.5" customHeight="1">
      <c r="A22" s="3535"/>
      <c r="B22" s="3523"/>
      <c r="C22" s="2858" t="s">
        <v>2433</v>
      </c>
      <c r="D22" s="2858"/>
      <c r="E22" s="2849">
        <v>0.9</v>
      </c>
      <c r="F22" s="2846" t="s">
        <v>2434</v>
      </c>
      <c r="G22" s="2846"/>
    </row>
    <row r="23" spans="1:13" ht="19.5" customHeight="1">
      <c r="A23" s="3535"/>
      <c r="B23" s="3523"/>
      <c r="C23" s="2858" t="s">
        <v>2435</v>
      </c>
      <c r="D23" s="2858"/>
      <c r="E23" s="2849">
        <v>0.9</v>
      </c>
      <c r="F23" s="2846" t="s">
        <v>2436</v>
      </c>
      <c r="G23" s="2846"/>
    </row>
    <row r="24" spans="1:13" ht="19.5" customHeight="1">
      <c r="A24" s="3535"/>
      <c r="B24" s="3523"/>
      <c r="C24" s="2858" t="s">
        <v>2437</v>
      </c>
      <c r="D24" s="2858"/>
      <c r="E24" s="2849">
        <v>0.8</v>
      </c>
      <c r="F24" s="2846" t="s">
        <v>2438</v>
      </c>
      <c r="G24" s="2846"/>
    </row>
    <row r="25" spans="1:13" ht="19.5" customHeight="1">
      <c r="A25" s="3535"/>
      <c r="B25" s="3523"/>
      <c r="C25" s="2858" t="s">
        <v>2439</v>
      </c>
      <c r="D25" s="2858"/>
      <c r="E25" s="2849">
        <v>0.8</v>
      </c>
      <c r="F25" s="2846"/>
      <c r="G25" s="2846"/>
    </row>
    <row r="26" spans="1:13" ht="19.5" customHeight="1">
      <c r="A26" s="3535"/>
      <c r="B26" s="3523"/>
      <c r="C26" s="2858" t="s">
        <v>3397</v>
      </c>
      <c r="D26" s="2858"/>
      <c r="E26" s="2849">
        <v>0.43</v>
      </c>
      <c r="F26" s="2846"/>
      <c r="G26" s="2846"/>
    </row>
    <row r="27" spans="1:13" ht="19.5" customHeight="1" thickBot="1">
      <c r="A27" s="3536"/>
      <c r="B27" s="3528"/>
      <c r="C27" s="3165" t="s">
        <v>3398</v>
      </c>
      <c r="D27" s="3165"/>
      <c r="E27" s="2852">
        <f>E26*0.9</f>
        <v>0.38700000000000001</v>
      </c>
      <c r="F27" s="2846" t="s">
        <v>2440</v>
      </c>
      <c r="G27" s="2846"/>
    </row>
    <row r="28" spans="1:13" ht="19.5" customHeight="1" thickBot="1">
      <c r="A28" s="3164" t="s">
        <v>2619</v>
      </c>
      <c r="B28" s="3163" t="s">
        <v>2618</v>
      </c>
      <c r="C28" s="3166" t="s">
        <v>2620</v>
      </c>
      <c r="D28" s="3167"/>
      <c r="E28" s="3168">
        <v>1</v>
      </c>
      <c r="F28" s="2846" t="s">
        <v>2441</v>
      </c>
      <c r="G28" s="2846"/>
    </row>
    <row r="29" spans="1:13" ht="19.5" customHeight="1">
      <c r="A29" s="3529" t="s">
        <v>2621</v>
      </c>
      <c r="B29" s="3532" t="s">
        <v>2602</v>
      </c>
      <c r="C29" s="2843" t="s">
        <v>2442</v>
      </c>
      <c r="D29" s="2844"/>
      <c r="E29" s="2845">
        <v>1</v>
      </c>
      <c r="F29" s="2846" t="s">
        <v>2443</v>
      </c>
      <c r="G29" s="2846"/>
    </row>
    <row r="30" spans="1:13" ht="19.5" customHeight="1">
      <c r="A30" s="3530"/>
      <c r="B30" s="3526"/>
      <c r="C30" s="2847" t="s">
        <v>2444</v>
      </c>
      <c r="D30" s="2848"/>
      <c r="E30" s="2849">
        <v>1</v>
      </c>
      <c r="F30" s="2846" t="s">
        <v>2445</v>
      </c>
      <c r="G30" s="2846"/>
    </row>
    <row r="31" spans="1:13" ht="19.5" customHeight="1">
      <c r="A31" s="3530"/>
      <c r="B31" s="3526"/>
      <c r="C31" s="2847" t="s">
        <v>2446</v>
      </c>
      <c r="D31" s="2848"/>
      <c r="E31" s="2849">
        <v>0.8</v>
      </c>
      <c r="F31" s="2846" t="s">
        <v>2447</v>
      </c>
      <c r="G31" s="2846"/>
    </row>
    <row r="32" spans="1:13" ht="19.5" customHeight="1">
      <c r="A32" s="3530"/>
      <c r="B32" s="3526"/>
      <c r="C32" s="2847" t="s">
        <v>2448</v>
      </c>
      <c r="D32" s="2848"/>
      <c r="E32" s="2849">
        <v>0.8</v>
      </c>
      <c r="F32" s="2846" t="s">
        <v>2449</v>
      </c>
      <c r="G32" s="2846"/>
    </row>
    <row r="33" spans="1:7" ht="19.5" customHeight="1">
      <c r="A33" s="3530"/>
      <c r="B33" s="3526"/>
      <c r="C33" s="2847" t="s">
        <v>2450</v>
      </c>
      <c r="D33" s="2848"/>
      <c r="E33" s="2849">
        <v>0.8</v>
      </c>
      <c r="F33" s="2846" t="s">
        <v>2451</v>
      </c>
      <c r="G33" s="2846"/>
    </row>
    <row r="34" spans="1:7" ht="19.5" customHeight="1">
      <c r="A34" s="3530"/>
      <c r="B34" s="3526"/>
      <c r="C34" s="2847" t="s">
        <v>2452</v>
      </c>
      <c r="D34" s="2848"/>
      <c r="E34" s="2849">
        <v>0.7</v>
      </c>
      <c r="F34" s="2846" t="s">
        <v>2453</v>
      </c>
      <c r="G34" s="2846"/>
    </row>
    <row r="35" spans="1:7" ht="19.5" customHeight="1">
      <c r="A35" s="3530"/>
      <c r="B35" s="3526"/>
      <c r="C35" s="2847" t="s">
        <v>2454</v>
      </c>
      <c r="D35" s="2848"/>
      <c r="E35" s="2849">
        <v>0.8</v>
      </c>
      <c r="F35" s="2846" t="s">
        <v>2455</v>
      </c>
      <c r="G35" s="2846"/>
    </row>
    <row r="36" spans="1:7" ht="19.5" customHeight="1">
      <c r="A36" s="3530"/>
      <c r="B36" s="3526"/>
      <c r="C36" s="2847" t="s">
        <v>2456</v>
      </c>
      <c r="D36" s="2848"/>
      <c r="E36" s="2849">
        <v>0.6</v>
      </c>
      <c r="F36" s="2846" t="s">
        <v>2457</v>
      </c>
      <c r="G36" s="2846"/>
    </row>
    <row r="37" spans="1:7" ht="19.5" customHeight="1">
      <c r="A37" s="3530"/>
      <c r="B37" s="3526"/>
      <c r="C37" s="2847" t="s">
        <v>2458</v>
      </c>
      <c r="D37" s="2848"/>
      <c r="E37" s="2849">
        <v>0.2</v>
      </c>
      <c r="F37" s="2846" t="s">
        <v>2459</v>
      </c>
      <c r="G37" s="2846"/>
    </row>
    <row r="38" spans="1:7" ht="19.5" customHeight="1">
      <c r="A38" s="3530"/>
      <c r="B38" s="3526"/>
      <c r="C38" s="2847" t="s">
        <v>2460</v>
      </c>
      <c r="D38" s="2848"/>
      <c r="E38" s="2849">
        <v>0.2</v>
      </c>
      <c r="F38" s="2846" t="s">
        <v>2461</v>
      </c>
      <c r="G38" s="2846"/>
    </row>
    <row r="39" spans="1:7" ht="19.5" customHeight="1">
      <c r="A39" s="3530"/>
      <c r="B39" s="3524" t="s">
        <v>2622</v>
      </c>
      <c r="C39" s="2847" t="s">
        <v>2462</v>
      </c>
      <c r="D39" s="2848"/>
      <c r="E39" s="2849">
        <v>0.6</v>
      </c>
      <c r="F39" s="2846" t="s">
        <v>2463</v>
      </c>
      <c r="G39" s="2846"/>
    </row>
    <row r="40" spans="1:7" ht="19.5" customHeight="1">
      <c r="A40" s="3530"/>
      <c r="B40" s="3526"/>
      <c r="C40" s="2847" t="s">
        <v>2464</v>
      </c>
      <c r="D40" s="2848"/>
      <c r="E40" s="2849">
        <v>0.6</v>
      </c>
      <c r="F40" s="2846" t="s">
        <v>2465</v>
      </c>
      <c r="G40" s="2846"/>
    </row>
    <row r="41" spans="1:7" ht="19.5" customHeight="1" thickBot="1">
      <c r="A41" s="3531"/>
      <c r="B41" s="3533"/>
      <c r="C41" s="2850" t="s">
        <v>2466</v>
      </c>
      <c r="D41" s="2851"/>
      <c r="E41" s="2852">
        <v>0.6</v>
      </c>
      <c r="F41" s="2846" t="s">
        <v>2467</v>
      </c>
      <c r="G41" s="2846"/>
    </row>
    <row r="42" spans="1:7" ht="19.5" customHeight="1" thickBot="1">
      <c r="A42" s="2853" t="s">
        <v>2599</v>
      </c>
      <c r="B42" s="2854" t="s">
        <v>2599</v>
      </c>
      <c r="C42" s="2855" t="s">
        <v>2623</v>
      </c>
      <c r="D42" s="2856"/>
      <c r="E42" s="2857">
        <v>1</v>
      </c>
      <c r="F42" s="2846" t="s">
        <v>2468</v>
      </c>
      <c r="G42" s="2846"/>
    </row>
    <row r="43" spans="1:7" ht="19.5" customHeight="1">
      <c r="A43" s="3534" t="s">
        <v>2600</v>
      </c>
      <c r="B43" s="3532" t="s">
        <v>2624</v>
      </c>
      <c r="C43" s="2843" t="s">
        <v>2469</v>
      </c>
      <c r="D43" s="2844"/>
      <c r="E43" s="2845">
        <v>1</v>
      </c>
      <c r="F43" s="2846" t="s">
        <v>2470</v>
      </c>
      <c r="G43" s="2846"/>
    </row>
    <row r="44" spans="1:7" ht="19.5" customHeight="1">
      <c r="A44" s="3535"/>
      <c r="B44" s="3526"/>
      <c r="C44" s="2847" t="s">
        <v>2471</v>
      </c>
      <c r="D44" s="2848"/>
      <c r="E44" s="2849">
        <v>1</v>
      </c>
      <c r="F44" s="2846" t="s">
        <v>2472</v>
      </c>
      <c r="G44" s="2846"/>
    </row>
    <row r="45" spans="1:7" ht="19.5" customHeight="1">
      <c r="A45" s="3535"/>
      <c r="B45" s="3525"/>
      <c r="C45" s="2847" t="s">
        <v>2473</v>
      </c>
      <c r="D45" s="2848"/>
      <c r="E45" s="2849">
        <v>1.5</v>
      </c>
      <c r="F45" s="2846" t="s">
        <v>2474</v>
      </c>
      <c r="G45" s="2846"/>
    </row>
    <row r="46" spans="1:7" ht="19.5" customHeight="1">
      <c r="A46" s="3535"/>
      <c r="B46" s="2858" t="s">
        <v>2625</v>
      </c>
      <c r="C46" s="2847" t="s">
        <v>2626</v>
      </c>
      <c r="D46" s="2848"/>
      <c r="E46" s="2849">
        <v>2</v>
      </c>
      <c r="F46" s="2846" t="s">
        <v>2475</v>
      </c>
      <c r="G46" s="2846"/>
    </row>
    <row r="47" spans="1:7" ht="19.5" customHeight="1">
      <c r="A47" s="3535"/>
      <c r="B47" s="3524" t="s">
        <v>2627</v>
      </c>
      <c r="C47" s="2847" t="s">
        <v>2476</v>
      </c>
      <c r="D47" s="2848"/>
      <c r="E47" s="2849">
        <v>1</v>
      </c>
      <c r="F47" s="2846" t="s">
        <v>2477</v>
      </c>
      <c r="G47" s="2846"/>
    </row>
    <row r="48" spans="1:7" ht="19.5" customHeight="1">
      <c r="A48" s="3535"/>
      <c r="B48" s="3526"/>
      <c r="C48" s="2847" t="s">
        <v>2478</v>
      </c>
      <c r="D48" s="2848"/>
      <c r="E48" s="2849">
        <v>1</v>
      </c>
      <c r="F48" s="2846" t="s">
        <v>2479</v>
      </c>
      <c r="G48" s="2846"/>
    </row>
    <row r="49" spans="1:7" ht="19.5" customHeight="1">
      <c r="A49" s="3535"/>
      <c r="B49" s="3526"/>
      <c r="C49" s="2847" t="s">
        <v>2480</v>
      </c>
      <c r="D49" s="2848"/>
      <c r="E49" s="2849">
        <v>1</v>
      </c>
      <c r="F49" s="2846" t="s">
        <v>2481</v>
      </c>
      <c r="G49" s="2846"/>
    </row>
    <row r="50" spans="1:7" ht="19.5" customHeight="1">
      <c r="A50" s="3535"/>
      <c r="B50" s="3526"/>
      <c r="C50" s="2847" t="s">
        <v>2482</v>
      </c>
      <c r="D50" s="2848"/>
      <c r="E50" s="2849">
        <v>1</v>
      </c>
      <c r="F50" s="2846" t="s">
        <v>2483</v>
      </c>
      <c r="G50" s="2846"/>
    </row>
    <row r="51" spans="1:7" ht="19.5" customHeight="1">
      <c r="A51" s="3535"/>
      <c r="B51" s="3526"/>
      <c r="C51" s="2847" t="s">
        <v>2484</v>
      </c>
      <c r="D51" s="2848"/>
      <c r="E51" s="2849">
        <v>1</v>
      </c>
      <c r="F51" s="2846" t="s">
        <v>2485</v>
      </c>
      <c r="G51" s="2846"/>
    </row>
    <row r="52" spans="1:7" ht="19.5" customHeight="1">
      <c r="A52" s="3535"/>
      <c r="B52" s="3526"/>
      <c r="C52" s="2847" t="s">
        <v>2486</v>
      </c>
      <c r="D52" s="2848"/>
      <c r="E52" s="2849">
        <v>1</v>
      </c>
      <c r="F52" s="2846" t="s">
        <v>2487</v>
      </c>
      <c r="G52" s="2846"/>
    </row>
    <row r="53" spans="1:7" ht="19.5" customHeight="1" thickBot="1">
      <c r="A53" s="3536"/>
      <c r="B53" s="3533"/>
      <c r="C53" s="2850" t="s">
        <v>2488</v>
      </c>
      <c r="D53" s="2851"/>
      <c r="E53" s="2852">
        <v>1</v>
      </c>
      <c r="F53" s="2846" t="s">
        <v>2489</v>
      </c>
      <c r="G53" s="2846"/>
    </row>
    <row r="54" spans="1:7" ht="19.5" customHeight="1">
      <c r="A54" s="2859"/>
      <c r="B54" s="2859"/>
      <c r="C54" s="2859"/>
      <c r="D54" s="2859"/>
      <c r="E54" s="2859"/>
      <c r="F54" s="2859"/>
      <c r="G54" s="2859"/>
    </row>
    <row r="56" spans="1:7" ht="19.5" customHeight="1">
      <c r="A56" s="2860"/>
      <c r="B56" s="2832" t="s">
        <v>2628</v>
      </c>
      <c r="C56" s="2832" t="s">
        <v>2628</v>
      </c>
      <c r="D56" s="2832" t="s">
        <v>2628</v>
      </c>
      <c r="E56" s="2835" t="s">
        <v>2628</v>
      </c>
      <c r="F56" s="2835" t="s">
        <v>2629</v>
      </c>
      <c r="G56" s="2835" t="s">
        <v>2630</v>
      </c>
    </row>
    <row r="57" spans="1:7" ht="19.5" customHeight="1">
      <c r="A57" s="2861"/>
      <c r="B57" s="2835" t="s">
        <v>2597</v>
      </c>
      <c r="C57" s="2835" t="s">
        <v>2597</v>
      </c>
      <c r="D57" s="2835" t="s">
        <v>2597</v>
      </c>
      <c r="E57" s="2832" t="s">
        <v>2598</v>
      </c>
      <c r="F57" s="2832" t="s">
        <v>2600</v>
      </c>
      <c r="G57" s="2832" t="s">
        <v>2631</v>
      </c>
    </row>
    <row r="58" spans="1:7" ht="19.5" customHeight="1">
      <c r="A58" s="2862"/>
      <c r="B58" s="2832">
        <v>1</v>
      </c>
      <c r="C58" s="2832">
        <v>2</v>
      </c>
      <c r="D58" s="2832">
        <v>3</v>
      </c>
      <c r="E58" s="2863" t="s">
        <v>2632</v>
      </c>
      <c r="F58" s="2863" t="s">
        <v>2632</v>
      </c>
      <c r="G58" s="2863" t="s">
        <v>2632</v>
      </c>
    </row>
    <row r="59" spans="1:7" ht="19.5" customHeight="1">
      <c r="A59" s="2864" t="s">
        <v>2585</v>
      </c>
      <c r="B59" s="2832">
        <v>0.7</v>
      </c>
      <c r="C59" s="2832">
        <v>0.4</v>
      </c>
      <c r="D59" s="2832">
        <v>0.3</v>
      </c>
      <c r="E59" s="2863">
        <v>0.3</v>
      </c>
      <c r="F59" s="2832">
        <v>0.3</v>
      </c>
      <c r="G59" s="2832">
        <v>0.2</v>
      </c>
    </row>
    <row r="60" spans="1:7" ht="19.5" customHeight="1">
      <c r="A60" s="2864" t="s">
        <v>2586</v>
      </c>
      <c r="B60" s="2832">
        <v>0.7</v>
      </c>
      <c r="C60" s="2832">
        <v>0.4</v>
      </c>
      <c r="D60" s="2832">
        <v>0.3</v>
      </c>
      <c r="E60" s="2832">
        <v>0.3</v>
      </c>
      <c r="F60" s="2832">
        <v>0.3</v>
      </c>
      <c r="G60" s="2832">
        <v>0.2</v>
      </c>
    </row>
    <row r="61" spans="1:7" ht="19.5" customHeight="1">
      <c r="A61" s="2864" t="s">
        <v>2587</v>
      </c>
      <c r="B61" s="2832">
        <v>0.6</v>
      </c>
      <c r="C61" s="2832">
        <v>0.3</v>
      </c>
      <c r="D61" s="2832">
        <v>0.25</v>
      </c>
      <c r="E61" s="2832">
        <v>0.25</v>
      </c>
      <c r="F61" s="2832">
        <v>0.25</v>
      </c>
      <c r="G61" s="2832">
        <v>0.15</v>
      </c>
    </row>
    <row r="62" spans="1:7" ht="19.5" customHeight="1">
      <c r="A62" s="2864" t="s">
        <v>2588</v>
      </c>
      <c r="B62" s="2832">
        <v>0.6</v>
      </c>
      <c r="C62" s="2832">
        <v>0.3</v>
      </c>
      <c r="D62" s="2832">
        <v>0.25</v>
      </c>
      <c r="E62" s="2832">
        <v>0.25</v>
      </c>
      <c r="F62" s="2832">
        <v>0.25</v>
      </c>
      <c r="G62" s="2832">
        <v>0.15</v>
      </c>
    </row>
    <row r="63" spans="1:7" ht="19.5" customHeight="1">
      <c r="A63" s="2864" t="s">
        <v>2589</v>
      </c>
      <c r="B63" s="2832">
        <v>0.6</v>
      </c>
      <c r="C63" s="2832">
        <v>0.3</v>
      </c>
      <c r="D63" s="2832">
        <v>0.25</v>
      </c>
      <c r="E63" s="2832">
        <v>0.25</v>
      </c>
      <c r="F63" s="2832">
        <v>0.25</v>
      </c>
      <c r="G63" s="2832">
        <v>0.15</v>
      </c>
    </row>
    <row r="64" spans="1:7" ht="19.5" customHeight="1">
      <c r="A64" s="2864" t="s">
        <v>2590</v>
      </c>
      <c r="B64" s="2832">
        <v>0.6</v>
      </c>
      <c r="C64" s="2832">
        <v>0.3</v>
      </c>
      <c r="D64" s="2832">
        <v>0.25</v>
      </c>
      <c r="E64" s="2832">
        <v>0.25</v>
      </c>
      <c r="F64" s="2832">
        <v>0.25</v>
      </c>
      <c r="G64" s="2832">
        <v>0.15</v>
      </c>
    </row>
    <row r="65" spans="1:7" ht="19.5" customHeight="1">
      <c r="A65" s="2864" t="s">
        <v>2591</v>
      </c>
      <c r="B65" s="2832">
        <v>0.6</v>
      </c>
      <c r="C65" s="2832">
        <v>0.3</v>
      </c>
      <c r="D65" s="2832">
        <v>0.25</v>
      </c>
      <c r="E65" s="2832">
        <v>0.25</v>
      </c>
      <c r="F65" s="2832">
        <v>0.25</v>
      </c>
      <c r="G65" s="2832">
        <v>0.15</v>
      </c>
    </row>
    <row r="66" spans="1:7" ht="19.5" customHeight="1">
      <c r="A66" s="2864" t="s">
        <v>2592</v>
      </c>
      <c r="B66" s="2832">
        <v>0.5</v>
      </c>
      <c r="C66" s="2832">
        <v>0.2</v>
      </c>
      <c r="D66" s="2832">
        <v>0.2</v>
      </c>
      <c r="E66" s="2832">
        <v>0.2</v>
      </c>
      <c r="F66" s="2832">
        <v>0.2</v>
      </c>
      <c r="G66" s="2832">
        <v>0.1</v>
      </c>
    </row>
    <row r="67" spans="1:7" ht="19.5" customHeight="1">
      <c r="A67" s="2864" t="s">
        <v>2593</v>
      </c>
      <c r="B67" s="2832">
        <v>0.5</v>
      </c>
      <c r="C67" s="2832">
        <v>0.2</v>
      </c>
      <c r="D67" s="2832">
        <v>0.2</v>
      </c>
      <c r="E67" s="2832">
        <v>0.2</v>
      </c>
      <c r="F67" s="2832">
        <v>0.2</v>
      </c>
      <c r="G67" s="2832">
        <v>0.1</v>
      </c>
    </row>
    <row r="68" spans="1:7" ht="19.5" customHeight="1">
      <c r="A68" s="2864" t="s">
        <v>2594</v>
      </c>
      <c r="B68" s="2832">
        <v>0.5</v>
      </c>
      <c r="C68" s="2832">
        <v>0.2</v>
      </c>
      <c r="D68" s="2832">
        <v>0.2</v>
      </c>
      <c r="E68" s="2832">
        <v>0.2</v>
      </c>
      <c r="F68" s="2832">
        <v>0.2</v>
      </c>
      <c r="G68" s="2832">
        <v>0.1</v>
      </c>
    </row>
    <row r="69" spans="1:7" ht="19.5" customHeight="1">
      <c r="A69" s="2864" t="s">
        <v>2595</v>
      </c>
      <c r="B69" s="2832">
        <v>0.5</v>
      </c>
      <c r="C69" s="2832">
        <v>0.2</v>
      </c>
      <c r="D69" s="2832">
        <v>0.2</v>
      </c>
      <c r="E69" s="2832">
        <v>0.2</v>
      </c>
      <c r="F69" s="2832">
        <v>0.2</v>
      </c>
      <c r="G69" s="2832">
        <v>0.1</v>
      </c>
    </row>
    <row r="70" spans="1:7" ht="19.5" customHeight="1">
      <c r="A70" s="2864" t="s">
        <v>2596</v>
      </c>
      <c r="B70" s="2832">
        <v>0.5</v>
      </c>
      <c r="C70" s="2832">
        <v>0.2</v>
      </c>
      <c r="D70" s="2832">
        <v>0.2</v>
      </c>
      <c r="E70" s="2832">
        <v>0.2</v>
      </c>
      <c r="F70" s="2832">
        <v>0.2</v>
      </c>
      <c r="G70" s="2832">
        <v>0.1</v>
      </c>
    </row>
    <row r="72" spans="1:7" ht="19.5" customHeight="1">
      <c r="A72" s="2846"/>
      <c r="B72" s="2865"/>
      <c r="C72" s="2865"/>
      <c r="D72" s="2865" t="s">
        <v>2633</v>
      </c>
      <c r="E72" s="2865"/>
      <c r="F72" s="2865"/>
    </row>
    <row r="73" spans="1:7" ht="19.5" customHeight="1">
      <c r="A73" s="2858" t="s">
        <v>2634</v>
      </c>
      <c r="B73" s="2858" t="s">
        <v>2635</v>
      </c>
      <c r="C73" s="2858" t="s">
        <v>2636</v>
      </c>
      <c r="D73" s="2858" t="s">
        <v>2637</v>
      </c>
      <c r="E73" s="2858" t="s">
        <v>2638</v>
      </c>
      <c r="F73" s="2858" t="s">
        <v>2639</v>
      </c>
    </row>
    <row r="74" spans="1:7" ht="13.5">
      <c r="A74" s="2858"/>
      <c r="B74" s="2858"/>
      <c r="C74" s="2858" t="s">
        <v>2640</v>
      </c>
      <c r="D74" s="2858"/>
      <c r="E74" s="2858" t="s">
        <v>2611</v>
      </c>
      <c r="F74" s="2858" t="s">
        <v>2611</v>
      </c>
    </row>
    <row r="75" spans="1:7" ht="13.5">
      <c r="A75" s="2858">
        <v>1</v>
      </c>
      <c r="B75" s="3524" t="s">
        <v>2641</v>
      </c>
      <c r="C75" s="2832" t="s">
        <v>2642</v>
      </c>
      <c r="D75" s="2832" t="s">
        <v>2643</v>
      </c>
      <c r="E75" s="2858">
        <v>0.2</v>
      </c>
      <c r="F75" s="2858">
        <v>25</v>
      </c>
    </row>
    <row r="76" spans="1:7" ht="24">
      <c r="A76" s="2858">
        <v>2</v>
      </c>
      <c r="B76" s="3526"/>
      <c r="C76" s="2832" t="s">
        <v>2644</v>
      </c>
      <c r="D76" s="2832" t="s">
        <v>2645</v>
      </c>
      <c r="E76" s="2858">
        <v>0.2</v>
      </c>
      <c r="F76" s="2858">
        <v>25</v>
      </c>
    </row>
    <row r="77" spans="1:7" ht="24">
      <c r="A77" s="2858">
        <v>3</v>
      </c>
      <c r="B77" s="3526"/>
      <c r="C77" s="2832" t="s">
        <v>2646</v>
      </c>
      <c r="D77" s="2832" t="s">
        <v>2647</v>
      </c>
      <c r="E77" s="2858">
        <v>0.2</v>
      </c>
      <c r="F77" s="2858">
        <v>25</v>
      </c>
    </row>
    <row r="78" spans="1:7" ht="13.5">
      <c r="A78" s="2858">
        <v>4</v>
      </c>
      <c r="B78" s="3526"/>
      <c r="C78" s="2832" t="s">
        <v>2648</v>
      </c>
      <c r="D78" s="2832" t="s">
        <v>2649</v>
      </c>
      <c r="E78" s="2858">
        <v>0.15</v>
      </c>
      <c r="F78" s="2858">
        <v>20</v>
      </c>
    </row>
    <row r="79" spans="1:7" ht="24">
      <c r="A79" s="2858">
        <v>5</v>
      </c>
      <c r="B79" s="3526"/>
      <c r="C79" s="2832" t="s">
        <v>2650</v>
      </c>
      <c r="D79" s="2832" t="s">
        <v>2651</v>
      </c>
      <c r="E79" s="2858">
        <v>0.15</v>
      </c>
      <c r="F79" s="2858">
        <v>20</v>
      </c>
    </row>
    <row r="80" spans="1:7" ht="24">
      <c r="A80" s="2858">
        <v>6</v>
      </c>
      <c r="B80" s="3526"/>
      <c r="C80" s="2832" t="s">
        <v>2652</v>
      </c>
      <c r="D80" s="2832" t="s">
        <v>2653</v>
      </c>
      <c r="E80" s="2858">
        <v>0.15</v>
      </c>
      <c r="F80" s="2858">
        <v>20</v>
      </c>
    </row>
    <row r="81" spans="1:6" ht="24">
      <c r="A81" s="2858">
        <v>7</v>
      </c>
      <c r="B81" s="3526"/>
      <c r="C81" s="2832" t="s">
        <v>2654</v>
      </c>
      <c r="D81" s="2832" t="s">
        <v>2655</v>
      </c>
      <c r="E81" s="2858">
        <v>0.15</v>
      </c>
      <c r="F81" s="2858">
        <v>20</v>
      </c>
    </row>
    <row r="82" spans="1:6" ht="24">
      <c r="A82" s="2858">
        <v>8</v>
      </c>
      <c r="B82" s="3526"/>
      <c r="C82" s="2832" t="s">
        <v>2656</v>
      </c>
      <c r="D82" s="2832" t="s">
        <v>2657</v>
      </c>
      <c r="E82" s="2858">
        <v>0.1</v>
      </c>
      <c r="F82" s="2858">
        <v>15</v>
      </c>
    </row>
    <row r="83" spans="1:6" ht="24">
      <c r="A83" s="2858">
        <v>9</v>
      </c>
      <c r="B83" s="3526"/>
      <c r="C83" s="2832" t="s">
        <v>2658</v>
      </c>
      <c r="D83" s="2832" t="s">
        <v>2659</v>
      </c>
      <c r="E83" s="2858">
        <v>0.1</v>
      </c>
      <c r="F83" s="2858">
        <v>15</v>
      </c>
    </row>
    <row r="84" spans="1:6" ht="24">
      <c r="A84" s="2858">
        <v>10</v>
      </c>
      <c r="B84" s="3526"/>
      <c r="C84" s="2832" t="s">
        <v>2660</v>
      </c>
      <c r="D84" s="2832" t="s">
        <v>2661</v>
      </c>
      <c r="E84" s="2858">
        <v>0.1</v>
      </c>
      <c r="F84" s="2858">
        <v>15</v>
      </c>
    </row>
    <row r="85" spans="1:6" ht="24">
      <c r="A85" s="2858">
        <v>11</v>
      </c>
      <c r="B85" s="3526"/>
      <c r="C85" s="2832" t="s">
        <v>2662</v>
      </c>
      <c r="D85" s="2832" t="s">
        <v>2663</v>
      </c>
      <c r="E85" s="2858">
        <v>0.1</v>
      </c>
      <c r="F85" s="2858">
        <v>15</v>
      </c>
    </row>
    <row r="86" spans="1:6" ht="24">
      <c r="A86" s="2858">
        <v>12</v>
      </c>
      <c r="B86" s="3526"/>
      <c r="C86" s="2832" t="s">
        <v>2664</v>
      </c>
      <c r="D86" s="2832" t="s">
        <v>2665</v>
      </c>
      <c r="E86" s="2858">
        <v>0.1</v>
      </c>
      <c r="F86" s="2858">
        <v>15</v>
      </c>
    </row>
    <row r="87" spans="1:6" ht="13.5">
      <c r="A87" s="2858">
        <v>13</v>
      </c>
      <c r="B87" s="3526"/>
      <c r="C87" s="2832" t="s">
        <v>2666</v>
      </c>
      <c r="D87" s="2832" t="s">
        <v>2667</v>
      </c>
      <c r="E87" s="2858">
        <v>0.1</v>
      </c>
      <c r="F87" s="2858">
        <v>15</v>
      </c>
    </row>
    <row r="88" spans="1:6" ht="13.5">
      <c r="A88" s="2858">
        <v>14</v>
      </c>
      <c r="B88" s="3526"/>
      <c r="C88" s="2832" t="s">
        <v>2668</v>
      </c>
      <c r="D88" s="2832" t="s">
        <v>2669</v>
      </c>
      <c r="E88" s="2858">
        <v>0.1</v>
      </c>
      <c r="F88" s="2858">
        <v>15</v>
      </c>
    </row>
    <row r="89" spans="1:6" ht="13.5">
      <c r="A89" s="2858">
        <v>15</v>
      </c>
      <c r="B89" s="3526"/>
      <c r="C89" s="2832" t="s">
        <v>2670</v>
      </c>
      <c r="D89" s="2832" t="s">
        <v>2671</v>
      </c>
      <c r="E89" s="2858">
        <v>0.1</v>
      </c>
      <c r="F89" s="2858">
        <v>15</v>
      </c>
    </row>
    <row r="90" spans="1:6" ht="24">
      <c r="A90" s="2858">
        <v>16</v>
      </c>
      <c r="B90" s="3526"/>
      <c r="C90" s="2832" t="s">
        <v>2672</v>
      </c>
      <c r="D90" s="2832" t="s">
        <v>2673</v>
      </c>
      <c r="E90" s="2858">
        <v>0.1</v>
      </c>
      <c r="F90" s="2858">
        <v>15</v>
      </c>
    </row>
    <row r="91" spans="1:6" ht="24">
      <c r="A91" s="2858">
        <v>17</v>
      </c>
      <c r="B91" s="3525"/>
      <c r="C91" s="2832" t="s">
        <v>2674</v>
      </c>
      <c r="D91" s="2832" t="s">
        <v>2675</v>
      </c>
      <c r="E91" s="2858">
        <v>0.1</v>
      </c>
      <c r="F91" s="2858">
        <v>15</v>
      </c>
    </row>
    <row r="92" spans="1:6" ht="13.5">
      <c r="A92" s="2858">
        <v>18</v>
      </c>
      <c r="B92" s="3524" t="s">
        <v>2676</v>
      </c>
      <c r="C92" s="2832" t="s">
        <v>2677</v>
      </c>
      <c r="D92" s="2832" t="s">
        <v>2678</v>
      </c>
      <c r="E92" s="2858">
        <v>0.2</v>
      </c>
      <c r="F92" s="2858">
        <v>25</v>
      </c>
    </row>
    <row r="93" spans="1:6" ht="24">
      <c r="A93" s="2858">
        <v>19</v>
      </c>
      <c r="B93" s="3526"/>
      <c r="C93" s="2832" t="s">
        <v>2679</v>
      </c>
      <c r="D93" s="2832" t="s">
        <v>2680</v>
      </c>
      <c r="E93" s="2858">
        <v>0.2</v>
      </c>
      <c r="F93" s="2858">
        <v>25</v>
      </c>
    </row>
    <row r="94" spans="1:6" ht="13.5">
      <c r="A94" s="2858">
        <v>20</v>
      </c>
      <c r="B94" s="3526"/>
      <c r="C94" s="2832" t="s">
        <v>2681</v>
      </c>
      <c r="D94" s="2832" t="s">
        <v>2682</v>
      </c>
      <c r="E94" s="2858">
        <v>0.15</v>
      </c>
      <c r="F94" s="2858">
        <v>20</v>
      </c>
    </row>
    <row r="95" spans="1:6" ht="13.5">
      <c r="A95" s="2858">
        <v>21</v>
      </c>
      <c r="B95" s="3526"/>
      <c r="C95" s="2832" t="s">
        <v>2683</v>
      </c>
      <c r="D95" s="2832" t="s">
        <v>2684</v>
      </c>
      <c r="E95" s="2858">
        <v>0.15</v>
      </c>
      <c r="F95" s="2858">
        <v>20</v>
      </c>
    </row>
    <row r="96" spans="1:6" ht="13.5">
      <c r="A96" s="2858">
        <v>22</v>
      </c>
      <c r="B96" s="3526"/>
      <c r="C96" s="2832" t="s">
        <v>2685</v>
      </c>
      <c r="D96" s="2832" t="s">
        <v>2686</v>
      </c>
      <c r="E96" s="2858">
        <v>0.15</v>
      </c>
      <c r="F96" s="2858">
        <v>20</v>
      </c>
    </row>
    <row r="97" spans="1:6" ht="36">
      <c r="A97" s="2858">
        <v>23</v>
      </c>
      <c r="B97" s="3526"/>
      <c r="C97" s="2832" t="s">
        <v>2687</v>
      </c>
      <c r="D97" s="2832" t="s">
        <v>2688</v>
      </c>
      <c r="E97" s="2858">
        <v>0.15</v>
      </c>
      <c r="F97" s="2858">
        <v>20</v>
      </c>
    </row>
    <row r="98" spans="1:6" ht="13.5">
      <c r="A98" s="2858">
        <v>24</v>
      </c>
      <c r="B98" s="3526"/>
      <c r="C98" s="2832" t="s">
        <v>2689</v>
      </c>
      <c r="D98" s="2832" t="s">
        <v>2690</v>
      </c>
      <c r="E98" s="2858">
        <v>0.1</v>
      </c>
      <c r="F98" s="2858">
        <v>15</v>
      </c>
    </row>
    <row r="99" spans="1:6" ht="13.5">
      <c r="A99" s="2858">
        <v>25</v>
      </c>
      <c r="B99" s="3526"/>
      <c r="C99" s="2832" t="s">
        <v>2691</v>
      </c>
      <c r="D99" s="2832" t="s">
        <v>2692</v>
      </c>
      <c r="E99" s="2858">
        <v>0.1</v>
      </c>
      <c r="F99" s="2858">
        <v>15</v>
      </c>
    </row>
    <row r="100" spans="1:6" ht="24">
      <c r="A100" s="2858">
        <v>26</v>
      </c>
      <c r="B100" s="3526"/>
      <c r="C100" s="2832" t="s">
        <v>2693</v>
      </c>
      <c r="D100" s="2832" t="s">
        <v>2694</v>
      </c>
      <c r="E100" s="2858">
        <v>0.1</v>
      </c>
      <c r="F100" s="2858">
        <v>15</v>
      </c>
    </row>
    <row r="101" spans="1:6" ht="24">
      <c r="A101" s="2858">
        <v>27</v>
      </c>
      <c r="B101" s="3526"/>
      <c r="C101" s="2832" t="s">
        <v>2695</v>
      </c>
      <c r="D101" s="2832" t="s">
        <v>2696</v>
      </c>
      <c r="E101" s="2858">
        <v>0.1</v>
      </c>
      <c r="F101" s="2858">
        <v>15</v>
      </c>
    </row>
    <row r="102" spans="1:6" ht="13.5">
      <c r="A102" s="2858">
        <v>28</v>
      </c>
      <c r="B102" s="3526"/>
      <c r="C102" s="2832" t="s">
        <v>2697</v>
      </c>
      <c r="D102" s="2832" t="s">
        <v>2698</v>
      </c>
      <c r="E102" s="2858">
        <v>0.1</v>
      </c>
      <c r="F102" s="2858">
        <v>15</v>
      </c>
    </row>
    <row r="103" spans="1:6" ht="13.5">
      <c r="A103" s="2858">
        <v>29</v>
      </c>
      <c r="B103" s="3526"/>
      <c r="C103" s="2832" t="s">
        <v>2699</v>
      </c>
      <c r="D103" s="2832" t="s">
        <v>2700</v>
      </c>
      <c r="E103" s="2858">
        <v>0.1</v>
      </c>
      <c r="F103" s="2858">
        <v>15</v>
      </c>
    </row>
    <row r="104" spans="1:6" ht="13.5">
      <c r="A104" s="2858">
        <v>30</v>
      </c>
      <c r="B104" s="3526"/>
      <c r="C104" s="2832" t="s">
        <v>2701</v>
      </c>
      <c r="D104" s="2832" t="s">
        <v>2702</v>
      </c>
      <c r="E104" s="2858">
        <v>0.1</v>
      </c>
      <c r="F104" s="2858">
        <v>15</v>
      </c>
    </row>
    <row r="105" spans="1:6" ht="24">
      <c r="A105" s="2858">
        <v>31</v>
      </c>
      <c r="B105" s="3526"/>
      <c r="C105" s="2832" t="s">
        <v>2703</v>
      </c>
      <c r="D105" s="2832" t="s">
        <v>2704</v>
      </c>
      <c r="E105" s="2858">
        <v>0.1</v>
      </c>
      <c r="F105" s="2858">
        <v>15</v>
      </c>
    </row>
    <row r="106" spans="1:6" ht="24">
      <c r="A106" s="2858">
        <v>32</v>
      </c>
      <c r="B106" s="3526"/>
      <c r="C106" s="2832" t="s">
        <v>2705</v>
      </c>
      <c r="D106" s="2832" t="s">
        <v>2706</v>
      </c>
      <c r="E106" s="2858">
        <v>0.1</v>
      </c>
      <c r="F106" s="2858">
        <v>15</v>
      </c>
    </row>
    <row r="107" spans="1:6" ht="24">
      <c r="A107" s="2858">
        <v>33</v>
      </c>
      <c r="B107" s="3526"/>
      <c r="C107" s="2832" t="s">
        <v>2707</v>
      </c>
      <c r="D107" s="2832" t="s">
        <v>2708</v>
      </c>
      <c r="E107" s="2858">
        <v>0.1</v>
      </c>
      <c r="F107" s="2858">
        <v>15</v>
      </c>
    </row>
    <row r="108" spans="1:6" ht="24">
      <c r="A108" s="2858">
        <v>34</v>
      </c>
      <c r="B108" s="3525"/>
      <c r="C108" s="2832" t="s">
        <v>2709</v>
      </c>
      <c r="D108" s="2832" t="s">
        <v>2710</v>
      </c>
      <c r="E108" s="2858">
        <v>0.1</v>
      </c>
      <c r="F108" s="2858">
        <v>15</v>
      </c>
    </row>
    <row r="109" spans="1:6" ht="24">
      <c r="A109" s="2858">
        <v>35</v>
      </c>
      <c r="B109" s="3524" t="s">
        <v>2711</v>
      </c>
      <c r="C109" s="2858" t="s">
        <v>2712</v>
      </c>
      <c r="D109" s="2832" t="s">
        <v>2713</v>
      </c>
      <c r="E109" s="2858">
        <v>0.15</v>
      </c>
      <c r="F109" s="2858">
        <v>20</v>
      </c>
    </row>
    <row r="110" spans="1:6" ht="13.5">
      <c r="A110" s="2858">
        <v>36</v>
      </c>
      <c r="B110" s="3526"/>
      <c r="C110" s="2858" t="s">
        <v>2714</v>
      </c>
      <c r="D110" s="2832" t="s">
        <v>2715</v>
      </c>
      <c r="E110" s="2858">
        <v>0.15</v>
      </c>
      <c r="F110" s="2858">
        <v>20</v>
      </c>
    </row>
    <row r="111" spans="1:6" ht="13.5">
      <c r="A111" s="2858">
        <v>37</v>
      </c>
      <c r="B111" s="3526"/>
      <c r="C111" s="2858" t="s">
        <v>2716</v>
      </c>
      <c r="D111" s="2832" t="s">
        <v>2717</v>
      </c>
      <c r="E111" s="2858">
        <v>0.15</v>
      </c>
      <c r="F111" s="2858">
        <v>20</v>
      </c>
    </row>
    <row r="112" spans="1:6" ht="13.5">
      <c r="A112" s="2858">
        <v>38</v>
      </c>
      <c r="B112" s="3526"/>
      <c r="C112" s="2858" t="s">
        <v>2718</v>
      </c>
      <c r="D112" s="2832" t="s">
        <v>2719</v>
      </c>
      <c r="E112" s="2858">
        <v>0.1</v>
      </c>
      <c r="F112" s="2858">
        <v>15</v>
      </c>
    </row>
    <row r="113" spans="1:6" ht="24">
      <c r="A113" s="2858">
        <v>39</v>
      </c>
      <c r="B113" s="3526"/>
      <c r="C113" s="2858" t="s">
        <v>2720</v>
      </c>
      <c r="D113" s="2832" t="s">
        <v>2721</v>
      </c>
      <c r="E113" s="2858">
        <v>0.1</v>
      </c>
      <c r="F113" s="2858">
        <v>15</v>
      </c>
    </row>
    <row r="114" spans="1:6" ht="24">
      <c r="A114" s="2858">
        <v>40</v>
      </c>
      <c r="B114" s="3525"/>
      <c r="C114" s="2858" t="s">
        <v>2722</v>
      </c>
      <c r="D114" s="2832" t="s">
        <v>2723</v>
      </c>
      <c r="E114" s="2858">
        <v>0.1</v>
      </c>
      <c r="F114" s="2858">
        <v>15</v>
      </c>
    </row>
    <row r="115" spans="1:6" ht="13.5">
      <c r="A115" s="2858">
        <v>41</v>
      </c>
      <c r="B115" s="3523" t="s">
        <v>2724</v>
      </c>
      <c r="C115" s="2858" t="s">
        <v>2725</v>
      </c>
      <c r="D115" s="2832" t="s">
        <v>2726</v>
      </c>
      <c r="E115" s="2858">
        <v>0.1</v>
      </c>
      <c r="F115" s="2858">
        <v>15</v>
      </c>
    </row>
    <row r="116" spans="1:6" ht="13.5">
      <c r="A116" s="2858">
        <v>42</v>
      </c>
      <c r="B116" s="3523"/>
      <c r="C116" s="2858" t="s">
        <v>2727</v>
      </c>
      <c r="D116" s="2832" t="s">
        <v>2728</v>
      </c>
      <c r="E116" s="2858">
        <v>0.1</v>
      </c>
      <c r="F116" s="2858">
        <v>15</v>
      </c>
    </row>
    <row r="117" spans="1:6" ht="24">
      <c r="A117" s="2858">
        <v>43</v>
      </c>
      <c r="B117" s="3523"/>
      <c r="C117" s="2858" t="s">
        <v>2729</v>
      </c>
      <c r="D117" s="2832" t="s">
        <v>2730</v>
      </c>
      <c r="E117" s="2858">
        <v>0.1</v>
      </c>
      <c r="F117" s="2858">
        <v>15</v>
      </c>
    </row>
    <row r="118" spans="1:6" ht="13.5">
      <c r="A118" s="2858">
        <v>44</v>
      </c>
      <c r="B118" s="3524" t="s">
        <v>2731</v>
      </c>
      <c r="C118" s="2858" t="s">
        <v>2732</v>
      </c>
      <c r="D118" s="2832" t="s">
        <v>2733</v>
      </c>
      <c r="E118" s="2858">
        <v>0.1</v>
      </c>
      <c r="F118" s="2858">
        <v>15</v>
      </c>
    </row>
    <row r="119" spans="1:6" ht="24">
      <c r="A119" s="2858">
        <v>45</v>
      </c>
      <c r="B119" s="3525"/>
      <c r="C119" s="2832" t="s">
        <v>2734</v>
      </c>
      <c r="D119" s="2832" t="s">
        <v>2735</v>
      </c>
      <c r="E119" s="2858">
        <v>0.1</v>
      </c>
      <c r="F119" s="2858">
        <v>15</v>
      </c>
    </row>
    <row r="120" spans="1:6" ht="24">
      <c r="A120" s="2858">
        <v>46</v>
      </c>
      <c r="B120" s="3524" t="s">
        <v>2736</v>
      </c>
      <c r="C120" s="2858" t="s">
        <v>2737</v>
      </c>
      <c r="D120" s="2832" t="s">
        <v>2738</v>
      </c>
      <c r="E120" s="2858">
        <v>0.1</v>
      </c>
      <c r="F120" s="2858">
        <v>15</v>
      </c>
    </row>
    <row r="121" spans="1:6" ht="24">
      <c r="A121" s="2858">
        <v>47</v>
      </c>
      <c r="B121" s="3525"/>
      <c r="C121" s="2858" t="s">
        <v>2739</v>
      </c>
      <c r="D121" s="2832" t="s">
        <v>2740</v>
      </c>
      <c r="E121" s="2858">
        <v>0.1</v>
      </c>
      <c r="F121" s="2858">
        <v>15</v>
      </c>
    </row>
    <row r="122" spans="1:6" ht="13.5">
      <c r="A122" s="2858">
        <v>48</v>
      </c>
      <c r="B122" s="3524" t="s">
        <v>2741</v>
      </c>
      <c r="C122" s="2858" t="s">
        <v>2742</v>
      </c>
      <c r="D122" s="2832" t="s">
        <v>2743</v>
      </c>
      <c r="E122" s="2858">
        <v>0.1</v>
      </c>
      <c r="F122" s="2858">
        <v>15</v>
      </c>
    </row>
    <row r="123" spans="1:6" ht="13.5">
      <c r="A123" s="2858">
        <v>49</v>
      </c>
      <c r="B123" s="3525"/>
      <c r="C123" s="2858" t="s">
        <v>2744</v>
      </c>
      <c r="D123" s="2832" t="s">
        <v>2745</v>
      </c>
      <c r="E123" s="2858">
        <v>0.1</v>
      </c>
      <c r="F123" s="2858">
        <v>15</v>
      </c>
    </row>
    <row r="124" spans="1:6" ht="24">
      <c r="A124" s="2858">
        <v>50</v>
      </c>
      <c r="B124" s="3523" t="s">
        <v>2746</v>
      </c>
      <c r="C124" s="2858" t="s">
        <v>2747</v>
      </c>
      <c r="D124" s="2832" t="s">
        <v>2748</v>
      </c>
      <c r="E124" s="2858">
        <v>0.1</v>
      </c>
      <c r="F124" s="2858">
        <v>15</v>
      </c>
    </row>
    <row r="125" spans="1:6" ht="24">
      <c r="A125" s="2858">
        <v>51</v>
      </c>
      <c r="B125" s="3523"/>
      <c r="C125" s="2858" t="s">
        <v>2749</v>
      </c>
      <c r="D125" s="2832" t="s">
        <v>2750</v>
      </c>
      <c r="E125" s="2858">
        <v>0.1</v>
      </c>
      <c r="F125" s="2858">
        <v>15</v>
      </c>
    </row>
    <row r="126" spans="1:6" ht="24">
      <c r="A126" s="2858">
        <v>52</v>
      </c>
      <c r="B126" s="3523" t="s">
        <v>2751</v>
      </c>
      <c r="C126" s="2858" t="s">
        <v>2752</v>
      </c>
      <c r="D126" s="2832" t="s">
        <v>2753</v>
      </c>
      <c r="E126" s="2858">
        <v>0.1</v>
      </c>
      <c r="F126" s="2858">
        <v>15</v>
      </c>
    </row>
    <row r="127" spans="1:6" ht="24">
      <c r="A127" s="2858">
        <v>53</v>
      </c>
      <c r="B127" s="3523"/>
      <c r="C127" s="2858" t="s">
        <v>2754</v>
      </c>
      <c r="D127" s="2832" t="s">
        <v>2755</v>
      </c>
      <c r="E127" s="2858">
        <v>0.1</v>
      </c>
      <c r="F127" s="2858">
        <v>15</v>
      </c>
    </row>
    <row r="128" spans="1:6" ht="13.5">
      <c r="A128" s="2858">
        <v>54</v>
      </c>
      <c r="B128" s="2858" t="s">
        <v>2756</v>
      </c>
      <c r="C128" s="2858" t="s">
        <v>2757</v>
      </c>
      <c r="D128" s="2832" t="s">
        <v>2758</v>
      </c>
      <c r="E128" s="2858">
        <v>0.1</v>
      </c>
      <c r="F128" s="2858">
        <v>15</v>
      </c>
    </row>
    <row r="129" spans="1:6" ht="13.5">
      <c r="A129" s="2858">
        <v>55</v>
      </c>
      <c r="B129" s="3523" t="s">
        <v>2759</v>
      </c>
      <c r="C129" s="2858" t="s">
        <v>2760</v>
      </c>
      <c r="D129" s="2832" t="s">
        <v>2761</v>
      </c>
      <c r="E129" s="2858">
        <v>0.1</v>
      </c>
      <c r="F129" s="2858">
        <v>15</v>
      </c>
    </row>
    <row r="130" spans="1:6" ht="13.5">
      <c r="A130" s="2858">
        <v>56</v>
      </c>
      <c r="B130" s="3523"/>
      <c r="C130" s="2858" t="s">
        <v>2762</v>
      </c>
      <c r="D130" s="2832" t="s">
        <v>2763</v>
      </c>
      <c r="E130" s="2858">
        <v>0.1</v>
      </c>
      <c r="F130" s="2858">
        <v>15</v>
      </c>
    </row>
    <row r="131" spans="1:6" ht="24">
      <c r="A131" s="2858">
        <v>57</v>
      </c>
      <c r="B131" s="3523"/>
      <c r="C131" s="2858" t="s">
        <v>2764</v>
      </c>
      <c r="D131" s="2832" t="s">
        <v>2765</v>
      </c>
      <c r="E131" s="2858">
        <v>0.1</v>
      </c>
      <c r="F131" s="2858">
        <v>15</v>
      </c>
    </row>
    <row r="132" spans="1:6" ht="24">
      <c r="A132" s="2858">
        <v>58</v>
      </c>
      <c r="B132" s="3523" t="s">
        <v>2766</v>
      </c>
      <c r="C132" s="2858" t="s">
        <v>2767</v>
      </c>
      <c r="D132" s="2832" t="s">
        <v>2768</v>
      </c>
      <c r="E132" s="2858">
        <v>0.1</v>
      </c>
      <c r="F132" s="2858">
        <v>15</v>
      </c>
    </row>
    <row r="133" spans="1:6" ht="13.5">
      <c r="A133" s="2858">
        <v>59</v>
      </c>
      <c r="B133" s="3523"/>
      <c r="C133" s="2858" t="s">
        <v>2769</v>
      </c>
      <c r="D133" s="2832" t="s">
        <v>2770</v>
      </c>
      <c r="E133" s="2858">
        <v>0.1</v>
      </c>
      <c r="F133" s="2858">
        <v>15</v>
      </c>
    </row>
    <row r="134" spans="1:6" ht="13.5">
      <c r="A134" s="2858">
        <v>60</v>
      </c>
      <c r="B134" s="3524" t="s">
        <v>2771</v>
      </c>
      <c r="C134" s="2858" t="s">
        <v>2772</v>
      </c>
      <c r="D134" s="2832" t="s">
        <v>2773</v>
      </c>
      <c r="E134" s="2858">
        <v>0.1</v>
      </c>
      <c r="F134" s="2858">
        <v>15</v>
      </c>
    </row>
    <row r="135" spans="1:6" ht="13.5">
      <c r="A135" s="2858">
        <v>61</v>
      </c>
      <c r="B135" s="3525"/>
      <c r="C135" s="2858" t="s">
        <v>2774</v>
      </c>
      <c r="D135" s="2832" t="s">
        <v>2775</v>
      </c>
      <c r="E135" s="2858">
        <v>0.1</v>
      </c>
      <c r="F135" s="2858">
        <v>15</v>
      </c>
    </row>
    <row r="136" spans="1:6" ht="24">
      <c r="A136" s="2858">
        <v>62</v>
      </c>
      <c r="B136" s="2858" t="s">
        <v>2776</v>
      </c>
      <c r="C136" s="2858" t="s">
        <v>2777</v>
      </c>
      <c r="D136" s="2832" t="s">
        <v>2778</v>
      </c>
      <c r="E136" s="2858">
        <v>0.1</v>
      </c>
      <c r="F136" s="2858">
        <v>15</v>
      </c>
    </row>
    <row r="137" spans="1:6" ht="13.5">
      <c r="A137" s="2858">
        <v>63</v>
      </c>
      <c r="B137" s="3523" t="s">
        <v>2779</v>
      </c>
      <c r="C137" s="2858" t="s">
        <v>2780</v>
      </c>
      <c r="D137" s="2832" t="s">
        <v>2781</v>
      </c>
      <c r="E137" s="2858">
        <v>0.1</v>
      </c>
      <c r="F137" s="2858">
        <v>15</v>
      </c>
    </row>
    <row r="138" spans="1:6" ht="13.5">
      <c r="A138" s="2858">
        <v>64</v>
      </c>
      <c r="B138" s="3523"/>
      <c r="C138" s="2858" t="s">
        <v>2782</v>
      </c>
      <c r="D138" s="2832" t="s">
        <v>2783</v>
      </c>
      <c r="E138" s="2858">
        <v>0.1</v>
      </c>
      <c r="F138" s="2858">
        <v>15</v>
      </c>
    </row>
    <row r="139" spans="1:6" ht="13.5">
      <c r="A139" s="2858">
        <v>65</v>
      </c>
      <c r="B139" s="2858" t="s">
        <v>2784</v>
      </c>
      <c r="C139" s="2858" t="s">
        <v>2785</v>
      </c>
      <c r="D139" s="2832" t="s">
        <v>2786</v>
      </c>
      <c r="E139" s="2858">
        <v>0.1</v>
      </c>
      <c r="F139" s="2858">
        <v>15</v>
      </c>
    </row>
    <row r="140" spans="1:6" ht="13.5">
      <c r="A140" s="2858"/>
      <c r="B140" s="2858"/>
      <c r="C140" s="2858"/>
      <c r="D140" s="2858"/>
      <c r="E140" s="2858" t="s">
        <v>2787</v>
      </c>
      <c r="F140" s="2858"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2788</v>
      </c>
      <c r="B1" s="2866"/>
      <c r="C1" s="2866"/>
      <c r="D1" s="2866"/>
      <c r="E1" s="2866"/>
      <c r="F1" s="2866"/>
      <c r="G1" s="2866"/>
      <c r="H1" s="2866"/>
      <c r="I1" s="2866"/>
      <c r="J1" s="2866"/>
      <c r="K1" s="2866"/>
      <c r="L1" s="2866"/>
      <c r="M1" s="2866"/>
      <c r="N1" s="707"/>
    </row>
    <row r="2" spans="1:20">
      <c r="A2" s="2867" t="s">
        <v>2789</v>
      </c>
      <c r="B2" s="2868" t="s">
        <v>2585</v>
      </c>
      <c r="C2" s="2868" t="s">
        <v>2586</v>
      </c>
      <c r="D2" s="2868" t="s">
        <v>2587</v>
      </c>
      <c r="E2" s="2868" t="s">
        <v>2588</v>
      </c>
      <c r="F2" s="2868" t="s">
        <v>2589</v>
      </c>
      <c r="G2" s="2868" t="s">
        <v>2590</v>
      </c>
      <c r="H2" s="2869" t="s">
        <v>2591</v>
      </c>
      <c r="I2" s="2869" t="s">
        <v>2592</v>
      </c>
      <c r="J2" s="2870" t="s">
        <v>2593</v>
      </c>
      <c r="K2" s="2870" t="s">
        <v>2594</v>
      </c>
      <c r="L2" s="2870" t="s">
        <v>2595</v>
      </c>
      <c r="M2" s="2871" t="s">
        <v>2596</v>
      </c>
      <c r="Q2" s="2881" t="s">
        <v>2794</v>
      </c>
      <c r="R2" s="2881" t="s">
        <v>2795</v>
      </c>
      <c r="S2" s="2881" t="s">
        <v>2796</v>
      </c>
      <c r="T2" s="2881" t="s">
        <v>2797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2790</v>
      </c>
      <c r="B93" s="2866"/>
      <c r="C93" s="2866"/>
      <c r="D93" s="2866"/>
      <c r="E93" s="2866"/>
      <c r="F93" s="2866"/>
      <c r="G93" s="2866"/>
      <c r="H93" s="2866"/>
      <c r="I93" s="2866"/>
      <c r="J93" s="2866"/>
      <c r="K93" s="2866"/>
      <c r="L93" s="2866"/>
      <c r="M93" s="2866"/>
    </row>
    <row r="94" spans="1:20">
      <c r="A94" s="2867" t="s">
        <v>2789</v>
      </c>
      <c r="B94" s="2868" t="s">
        <v>2585</v>
      </c>
      <c r="C94" s="2868" t="s">
        <v>2586</v>
      </c>
      <c r="D94" s="2868" t="s">
        <v>2587</v>
      </c>
      <c r="E94" s="2868" t="s">
        <v>2588</v>
      </c>
      <c r="F94" s="2868" t="s">
        <v>2589</v>
      </c>
      <c r="G94" s="2868" t="s">
        <v>2590</v>
      </c>
      <c r="H94" s="2869" t="s">
        <v>2591</v>
      </c>
      <c r="I94" s="2869" t="s">
        <v>2592</v>
      </c>
      <c r="J94" s="2870" t="s">
        <v>2593</v>
      </c>
      <c r="K94" s="2870" t="s">
        <v>2594</v>
      </c>
      <c r="L94" s="2870" t="s">
        <v>2595</v>
      </c>
      <c r="M94" s="2871" t="s">
        <v>2596</v>
      </c>
      <c r="N94">
        <f>SUMPRODUCT((A95:A184=ROUNDDOWN(基准地价修正!G3,1))*(B94:M94=基准地价修正!G2)*(B95:M184))</f>
        <v>0.96309999999999996</v>
      </c>
      <c r="Q94" s="2881" t="s">
        <v>2794</v>
      </c>
      <c r="R94" s="2881" t="s">
        <v>2795</v>
      </c>
      <c r="S94" s="2881" t="s">
        <v>2796</v>
      </c>
      <c r="T94" s="2881" t="s">
        <v>2797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2791</v>
      </c>
      <c r="B185" s="2866"/>
      <c r="C185" s="2866"/>
      <c r="D185" s="2866"/>
      <c r="E185" s="2866"/>
      <c r="F185" s="2866"/>
      <c r="G185" s="2866"/>
      <c r="H185" s="2866"/>
      <c r="I185" s="2866"/>
      <c r="J185" s="2866"/>
      <c r="K185" s="2866"/>
      <c r="L185" s="2866"/>
      <c r="M185" s="2866"/>
    </row>
    <row r="186" spans="1:20">
      <c r="A186" s="2867" t="s">
        <v>2789</v>
      </c>
      <c r="B186" s="2868" t="s">
        <v>2585</v>
      </c>
      <c r="C186" s="2868" t="s">
        <v>2586</v>
      </c>
      <c r="D186" s="2868" t="s">
        <v>2587</v>
      </c>
      <c r="E186" s="2868" t="s">
        <v>2588</v>
      </c>
      <c r="F186" s="2868" t="s">
        <v>2589</v>
      </c>
      <c r="G186" s="2868" t="s">
        <v>2590</v>
      </c>
      <c r="H186" s="2869" t="s">
        <v>2591</v>
      </c>
      <c r="I186" s="2869" t="s">
        <v>2592</v>
      </c>
      <c r="J186" s="2870" t="s">
        <v>2593</v>
      </c>
      <c r="K186" s="2870" t="s">
        <v>2594</v>
      </c>
      <c r="L186" s="2870" t="s">
        <v>2595</v>
      </c>
      <c r="M186" s="2871" t="s">
        <v>2596</v>
      </c>
      <c r="Q186" s="2881" t="s">
        <v>2794</v>
      </c>
      <c r="R186" s="2881" t="s">
        <v>2795</v>
      </c>
      <c r="S186" s="2881" t="s">
        <v>2796</v>
      </c>
      <c r="T186" s="2881" t="s">
        <v>2797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2792</v>
      </c>
      <c r="B277" s="2866"/>
      <c r="C277" s="2866"/>
      <c r="D277" s="2866"/>
      <c r="E277" s="2866"/>
      <c r="F277" s="2866"/>
      <c r="G277" s="2866"/>
      <c r="H277" s="2866"/>
      <c r="I277" s="2866"/>
      <c r="J277" s="2866"/>
      <c r="K277" s="2866"/>
      <c r="L277" s="2866"/>
      <c r="M277" s="2866"/>
    </row>
    <row r="278" spans="1:21">
      <c r="A278" s="2867" t="s">
        <v>2789</v>
      </c>
      <c r="B278" s="2868" t="s">
        <v>2585</v>
      </c>
      <c r="C278" s="2868" t="s">
        <v>2586</v>
      </c>
      <c r="D278" s="2868" t="s">
        <v>2587</v>
      </c>
      <c r="E278" s="2868" t="s">
        <v>2588</v>
      </c>
      <c r="F278" s="2868" t="s">
        <v>2589</v>
      </c>
      <c r="G278" s="2868" t="s">
        <v>2590</v>
      </c>
      <c r="H278" s="2869" t="s">
        <v>2591</v>
      </c>
      <c r="I278" s="2869" t="s">
        <v>2592</v>
      </c>
      <c r="J278" s="2870" t="s">
        <v>2593</v>
      </c>
      <c r="K278" s="2870" t="s">
        <v>2594</v>
      </c>
      <c r="L278" s="2870" t="s">
        <v>2595</v>
      </c>
      <c r="M278" s="2871" t="s">
        <v>2596</v>
      </c>
      <c r="Q278" s="2881" t="s">
        <v>2794</v>
      </c>
      <c r="R278" s="2881" t="s">
        <v>2795</v>
      </c>
      <c r="S278" s="2881" t="s">
        <v>2798</v>
      </c>
      <c r="T278" s="2881" t="s">
        <v>2799</v>
      </c>
      <c r="U278" s="2881" t="s">
        <v>2797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2793</v>
      </c>
      <c r="B369" s="2879"/>
      <c r="C369" s="2879"/>
      <c r="D369" s="2879"/>
      <c r="E369" s="2879"/>
      <c r="F369" s="2879"/>
      <c r="G369" s="2879"/>
      <c r="H369" s="2879"/>
      <c r="I369" s="2879"/>
      <c r="J369" s="2879"/>
      <c r="K369" s="2879"/>
      <c r="L369" s="2879"/>
      <c r="M369" s="2879"/>
    </row>
    <row r="370" spans="1:20">
      <c r="A370" s="2867" t="s">
        <v>2789</v>
      </c>
      <c r="B370" s="2868" t="s">
        <v>2585</v>
      </c>
      <c r="C370" s="2868" t="s">
        <v>2586</v>
      </c>
      <c r="D370" s="2868" t="s">
        <v>2587</v>
      </c>
      <c r="E370" s="2868" t="s">
        <v>2588</v>
      </c>
      <c r="F370" s="2868" t="s">
        <v>2589</v>
      </c>
      <c r="G370" s="2868" t="s">
        <v>2590</v>
      </c>
      <c r="H370" s="2869" t="s">
        <v>2591</v>
      </c>
      <c r="I370" s="2869" t="s">
        <v>2592</v>
      </c>
      <c r="J370" s="2870" t="s">
        <v>2593</v>
      </c>
      <c r="K370" s="2870" t="s">
        <v>2594</v>
      </c>
      <c r="L370" s="2870" t="s">
        <v>2595</v>
      </c>
      <c r="M370" s="2871" t="s">
        <v>2596</v>
      </c>
      <c r="N370">
        <f>SUMPRODUCT((A371:A460=ROUNDDOWN(基准地价修正!G3,1))*(B370:M370=基准地价修正!G2)*(B371:M460))</f>
        <v>0.91610000000000003</v>
      </c>
      <c r="Q370" s="2881" t="s">
        <v>2794</v>
      </c>
      <c r="R370" s="2881" t="s">
        <v>2795</v>
      </c>
      <c r="S370" s="2881" t="s">
        <v>2796</v>
      </c>
      <c r="T370" s="2881" t="s">
        <v>2797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127392</v>
      </c>
      <c r="C2" s="2" t="s">
        <v>106</v>
      </c>
      <c r="D2" s="191"/>
      <c r="E2" s="191"/>
      <c r="F2" s="191"/>
      <c r="G2" s="191"/>
    </row>
    <row r="3" spans="1:7" s="192" customFormat="1" ht="18" customHeight="1" thickBot="1">
      <c r="A3" s="195" t="s">
        <v>58</v>
      </c>
      <c r="B3" s="196">
        <f ca="1">ROUND(B2*10000/'数据-汇总表'!E3,0)</f>
        <v>12741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2000</v>
      </c>
      <c r="D10" s="795">
        <f>'数据-汇总表'!E6</f>
        <v>99989.78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2000</v>
      </c>
      <c r="D19" s="204">
        <f>'数据-汇总表'!E3</f>
        <v>99989.78</v>
      </c>
      <c r="E19" s="203">
        <f>'数据-取费表'!B31</f>
        <v>200</v>
      </c>
      <c r="F19" s="223"/>
      <c r="G19" s="1" t="s">
        <v>436</v>
      </c>
    </row>
    <row r="20" spans="1:7" s="206" customFormat="1" ht="13.5" customHeight="1">
      <c r="A20" s="731" t="s">
        <v>419</v>
      </c>
      <c r="B20" s="202" t="s">
        <v>77</v>
      </c>
      <c r="C20" s="224">
        <f>ROUND((C5+C19)*F20,0)</f>
        <v>452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2298</v>
      </c>
      <c r="D22" s="227">
        <f ca="1">C26</f>
        <v>1E-3</v>
      </c>
      <c r="E22" s="228" t="s">
        <v>99</v>
      </c>
      <c r="F22" s="229">
        <f ca="1">'数据-取费表'!B40</f>
        <v>3.2500000000000001E-2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2075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201</v>
      </c>
      <c r="D24" s="230"/>
      <c r="E24" s="230"/>
      <c r="F24" s="231"/>
      <c r="G24" s="232" t="s">
        <v>82</v>
      </c>
    </row>
    <row r="25" spans="1:7" s="206" customFormat="1" ht="24">
      <c r="A25" s="734" t="s">
        <v>348</v>
      </c>
      <c r="B25" s="207" t="s">
        <v>420</v>
      </c>
      <c r="C25" s="1042">
        <f ca="1">ROUND(IF('数据-取费表'!B22&lt;=1,C20*F22*'数据-取费表'!B23/2,C20*(POWER((1+F22),'数据-取费表'!B23/2)-1)),0)</f>
        <v>22</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3690</v>
      </c>
      <c r="D27" s="227">
        <f>C29</f>
        <v>3.2000000000000002E-3</v>
      </c>
      <c r="E27" s="228" t="s">
        <v>99</v>
      </c>
      <c r="F27" s="238">
        <f>'数据-取费表'!Q16</f>
        <v>0.16</v>
      </c>
      <c r="G27" s="239" t="s">
        <v>431</v>
      </c>
    </row>
    <row r="28" spans="1:7" s="206" customFormat="1" ht="13.5" customHeight="1">
      <c r="A28" s="734" t="s">
        <v>349</v>
      </c>
      <c r="B28" s="240" t="s">
        <v>424</v>
      </c>
      <c r="C28" s="241">
        <f>ROUND((C5+C19+C20)*F27*'数据-取费表'!B21/'数据-取费表'!B20,0)</f>
        <v>3690</v>
      </c>
      <c r="D28" s="227"/>
      <c r="E28" s="228"/>
      <c r="F28" s="238"/>
      <c r="G28" s="239"/>
    </row>
    <row r="29" spans="1:7" s="206" customFormat="1" ht="13.5" customHeight="1">
      <c r="A29" s="734" t="s">
        <v>347</v>
      </c>
      <c r="B29" s="240" t="s">
        <v>425</v>
      </c>
      <c r="C29" s="230">
        <f>ROUND(C21*F27*'数据-取费表'!B21/'数据-取费表'!B20,4)</f>
        <v>3.2000000000000002E-3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31492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79698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72615</v>
      </c>
      <c r="D34" s="209"/>
      <c r="E34" s="212"/>
      <c r="F34" s="249">
        <f>IF('数据-取费表'!B24=0,1,'数据-取费表'!N16)</f>
        <v>1</v>
      </c>
      <c r="G34" s="211" t="s">
        <v>89</v>
      </c>
    </row>
    <row r="35" spans="1:7" ht="13.5" customHeight="1">
      <c r="A35" s="734" t="s">
        <v>351</v>
      </c>
      <c r="B35" s="207" t="s">
        <v>33</v>
      </c>
      <c r="C35" s="212">
        <f>ROUND(C34*F35,0)</f>
        <v>3631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2000</v>
      </c>
      <c r="D37" s="209">
        <f>'数据-汇总表'!E3</f>
        <v>99989.78</v>
      </c>
      <c r="E37" s="241">
        <f>'数据-取费表'!B35</f>
        <v>200</v>
      </c>
      <c r="F37" s="251"/>
      <c r="G37" s="253" t="s">
        <v>92</v>
      </c>
    </row>
    <row r="38" spans="1:7" ht="13.5" customHeight="1">
      <c r="A38" s="734" t="s">
        <v>354</v>
      </c>
      <c r="B38" s="207" t="s">
        <v>36</v>
      </c>
      <c r="C38" s="212">
        <f>ROUND(C34*F38,0)</f>
        <v>1452</v>
      </c>
      <c r="D38" s="212"/>
      <c r="E38" s="212"/>
      <c r="F38" s="251">
        <f>'数据-取费表'!B36</f>
        <v>0.02</v>
      </c>
      <c r="G38" s="211" t="s">
        <v>90</v>
      </c>
    </row>
    <row r="39" spans="1:7" s="206" customFormat="1" ht="13.5" customHeight="1">
      <c r="A39" s="731" t="s">
        <v>338</v>
      </c>
      <c r="B39" s="202" t="s">
        <v>77</v>
      </c>
      <c r="C39" s="224">
        <f>ROUND(C33*F20,0)</f>
        <v>1594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3995</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3917</v>
      </c>
      <c r="D42" s="230"/>
      <c r="E42" s="230"/>
      <c r="F42" s="231"/>
      <c r="G42" s="3400" t="s">
        <v>94</v>
      </c>
    </row>
    <row r="43" spans="1:7" ht="13.5" customHeight="1">
      <c r="A43" s="734" t="s">
        <v>347</v>
      </c>
      <c r="B43" s="207" t="s">
        <v>426</v>
      </c>
      <c r="C43" s="230">
        <f ca="1">ROUND(IF('数据-取费表'!B22&lt;=1,C39*F22*'数据-取费表'!B21/2,C39*(POWER((1+F22),'数据-取费表'!B21/2)-1)),0)</f>
        <v>78</v>
      </c>
      <c r="D43" s="230"/>
      <c r="E43" s="230"/>
      <c r="F43" s="231"/>
      <c r="G43" s="3401"/>
    </row>
    <row r="44" spans="1:7" ht="13.5" customHeight="1">
      <c r="A44" s="734" t="s">
        <v>348</v>
      </c>
      <c r="B44" s="207" t="s">
        <v>428</v>
      </c>
      <c r="C44" s="230">
        <f ca="1">ROUND(IF('数据-取费表'!B22&lt;=1,C40*F22*'数据-取费表'!B21/2,C40*(POWER((1+F22),'数据-取费表'!B21/2)-1)),4)</f>
        <v>1E-3</v>
      </c>
      <c r="D44" s="230"/>
      <c r="E44" s="230"/>
      <c r="F44" s="231"/>
      <c r="G44" s="3402"/>
    </row>
    <row r="45" spans="1:7" s="206" customFormat="1" ht="13.5" customHeight="1">
      <c r="A45" s="731" t="s">
        <v>341</v>
      </c>
      <c r="B45" s="236" t="s">
        <v>85</v>
      </c>
      <c r="C45" s="237">
        <f>C46</f>
        <v>13007</v>
      </c>
      <c r="D45" s="227">
        <f>C47</f>
        <v>3.2000000000000002E-3</v>
      </c>
      <c r="E45" s="228" t="s">
        <v>102</v>
      </c>
      <c r="F45" s="238"/>
      <c r="G45" s="239" t="s">
        <v>434</v>
      </c>
    </row>
    <row r="46" spans="1:7" s="206" customFormat="1" ht="13.5" customHeight="1">
      <c r="A46" s="734" t="s">
        <v>349</v>
      </c>
      <c r="B46" s="240" t="s">
        <v>427</v>
      </c>
      <c r="C46" s="241">
        <f>ROUND((C33+C39)*F27,0)</f>
        <v>13007</v>
      </c>
      <c r="D46" s="255"/>
      <c r="E46" s="228"/>
      <c r="F46" s="238"/>
      <c r="G46" s="239"/>
    </row>
    <row r="47" spans="1:7" s="206" customFormat="1" ht="13.5" customHeight="1">
      <c r="A47" s="734" t="s">
        <v>347</v>
      </c>
      <c r="B47" s="240" t="s">
        <v>429</v>
      </c>
      <c r="C47" s="230">
        <f>ROUND(C40*F27,4)</f>
        <v>3.2000000000000002E-3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106556</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95900</v>
      </c>
      <c r="D51" s="224"/>
      <c r="E51" s="224"/>
      <c r="F51" s="256"/>
      <c r="G51" s="226" t="s">
        <v>37</v>
      </c>
    </row>
    <row r="52" spans="1:7" s="200" customFormat="1" ht="16.5" thickBot="1">
      <c r="A52" s="257" t="s">
        <v>38</v>
      </c>
      <c r="B52" s="258"/>
      <c r="C52" s="259">
        <f ca="1">C31+C51</f>
        <v>127392</v>
      </c>
      <c r="D52" s="258"/>
      <c r="E52" s="258"/>
      <c r="F52" s="258"/>
      <c r="G52" s="260"/>
    </row>
    <row r="55" spans="1:7" ht="15">
      <c r="B55" s="262" t="s">
        <v>39</v>
      </c>
      <c r="C55" s="263"/>
    </row>
    <row r="56" spans="1:7">
      <c r="B56" s="265" t="s">
        <v>40</v>
      </c>
      <c r="C56" s="266">
        <f ca="1">ROUND(C51/C52,3)</f>
        <v>0.753</v>
      </c>
    </row>
    <row r="57" spans="1:7">
      <c r="B57" s="265" t="s">
        <v>41</v>
      </c>
      <c r="C57" s="267">
        <f ca="1">1-C56</f>
        <v>0.247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37" t="s">
        <v>3171</v>
      </c>
      <c r="B1" s="3537"/>
    </row>
    <row r="2" spans="1:7" ht="14.25" thickBot="1">
      <c r="A2" s="2969"/>
      <c r="B2" s="2969"/>
    </row>
    <row r="3" spans="1:7" ht="14.25" thickBot="1">
      <c r="A3" s="2969"/>
      <c r="B3" s="2969"/>
      <c r="C3" s="2970" t="s">
        <v>2801</v>
      </c>
      <c r="D3" s="2970" t="s">
        <v>2857</v>
      </c>
      <c r="E3" s="2970" t="s">
        <v>2803</v>
      </c>
      <c r="F3" s="2970" t="s">
        <v>2858</v>
      </c>
      <c r="G3" s="2970" t="s">
        <v>2621</v>
      </c>
    </row>
    <row r="4" spans="1:7" ht="14.25" thickBot="1">
      <c r="A4" s="2971" t="s">
        <v>2856</v>
      </c>
      <c r="B4" s="2972" t="s">
        <v>2862</v>
      </c>
      <c r="C4" s="2970"/>
      <c r="D4" s="2970"/>
      <c r="E4" s="2970"/>
      <c r="F4" s="2970"/>
      <c r="G4" s="2970"/>
    </row>
    <row r="5" spans="1:7">
      <c r="A5" s="2973" t="s">
        <v>2830</v>
      </c>
      <c r="B5" s="2974" t="s">
        <v>2844</v>
      </c>
      <c r="C5" s="2975">
        <v>9.8000000000000004E-2</v>
      </c>
      <c r="D5" s="2975">
        <v>8.6999999999999994E-2</v>
      </c>
      <c r="E5" s="2975">
        <v>8.6999999999999994E-2</v>
      </c>
      <c r="F5" s="2975">
        <v>9.8000000000000004E-2</v>
      </c>
      <c r="G5" s="2976">
        <v>9.5000000000000001E-2</v>
      </c>
    </row>
    <row r="6" spans="1:7">
      <c r="A6" s="2977" t="s">
        <v>144</v>
      </c>
      <c r="B6" s="2978" t="s">
        <v>2859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2913</v>
      </c>
      <c r="C29" s="2987"/>
      <c r="D29" s="2983">
        <v>5.1999999999999998E-2</v>
      </c>
      <c r="E29" s="2983">
        <v>7.0000000000000007E-2</v>
      </c>
      <c r="F29" s="2987"/>
      <c r="G29" s="2985">
        <v>7.0999999999999994E-2</v>
      </c>
    </row>
    <row r="30" spans="1:7">
      <c r="A30" s="2988" t="s">
        <v>296</v>
      </c>
      <c r="B30" s="2974" t="s">
        <v>2846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2916</v>
      </c>
      <c r="C50" s="2979">
        <v>9.8000000000000004E-2</v>
      </c>
      <c r="D50" s="2979">
        <v>7.2999999999999995E-2</v>
      </c>
      <c r="E50" s="2979">
        <v>7.0999999999999994E-2</v>
      </c>
      <c r="F50" s="2990"/>
      <c r="G50" s="2980">
        <v>7.2999999999999995E-2</v>
      </c>
    </row>
    <row r="51" spans="1:7">
      <c r="A51" s="2989" t="s">
        <v>296</v>
      </c>
      <c r="B51" s="2978" t="s">
        <v>2918</v>
      </c>
      <c r="C51" s="2979">
        <v>9.9000000000000005E-2</v>
      </c>
      <c r="D51" s="2979">
        <v>8.5000000000000006E-2</v>
      </c>
      <c r="E51" s="2979">
        <v>6.3E-2</v>
      </c>
      <c r="F51" s="2990"/>
      <c r="G51" s="2980">
        <v>9.6000000000000002E-2</v>
      </c>
    </row>
    <row r="52" spans="1:7">
      <c r="A52" s="2989" t="s">
        <v>296</v>
      </c>
      <c r="B52" s="2978" t="s">
        <v>2922</v>
      </c>
      <c r="C52" s="2979">
        <v>7.3999999999999996E-2</v>
      </c>
      <c r="D52" s="2979">
        <v>9.6000000000000002E-2</v>
      </c>
      <c r="E52" s="2979">
        <v>0.05</v>
      </c>
      <c r="F52" s="2990"/>
      <c r="G52" s="2980">
        <v>9.8000000000000004E-2</v>
      </c>
    </row>
    <row r="53" spans="1:7">
      <c r="A53" s="2989" t="s">
        <v>296</v>
      </c>
      <c r="B53" s="2978" t="s">
        <v>2927</v>
      </c>
      <c r="C53" s="2979">
        <v>8.5999999999999993E-2</v>
      </c>
      <c r="D53" s="2990"/>
      <c r="E53" s="2979">
        <v>9.1999999999999998E-2</v>
      </c>
      <c r="F53" s="2990"/>
      <c r="G53" s="2991"/>
    </row>
    <row r="54" spans="1:7" ht="14.25" thickBot="1">
      <c r="A54" s="2992" t="s">
        <v>296</v>
      </c>
      <c r="B54" s="2982" t="s">
        <v>2930</v>
      </c>
      <c r="C54" s="2983">
        <v>9.6000000000000002E-2</v>
      </c>
      <c r="D54" s="2984"/>
      <c r="E54" s="2993"/>
      <c r="F54" s="2984"/>
      <c r="G54" s="2994"/>
    </row>
    <row r="55" spans="1:7">
      <c r="A55" s="2988" t="s">
        <v>110</v>
      </c>
      <c r="B55" s="2974" t="s">
        <v>2847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2928</v>
      </c>
      <c r="C78" s="2979">
        <v>0.1</v>
      </c>
      <c r="D78" s="2979">
        <v>8.5000000000000006E-2</v>
      </c>
      <c r="E78" s="2979">
        <v>9.6000000000000002E-2</v>
      </c>
      <c r="F78" s="2990"/>
      <c r="G78" s="2980">
        <v>9.6000000000000002E-2</v>
      </c>
    </row>
    <row r="79" spans="1:7">
      <c r="A79" s="2989" t="s">
        <v>110</v>
      </c>
      <c r="B79" s="2978" t="s">
        <v>2931</v>
      </c>
      <c r="C79" s="2979">
        <v>0.05</v>
      </c>
      <c r="D79" s="2979">
        <v>9.6000000000000002E-2</v>
      </c>
      <c r="E79" s="2979">
        <v>9.5000000000000001E-2</v>
      </c>
      <c r="F79" s="2990"/>
      <c r="G79" s="2980">
        <v>9.8000000000000004E-2</v>
      </c>
    </row>
    <row r="80" spans="1:7">
      <c r="A80" s="2989" t="s">
        <v>110</v>
      </c>
      <c r="B80" s="2978" t="s">
        <v>2935</v>
      </c>
      <c r="C80" s="2979">
        <v>8.5999999999999993E-2</v>
      </c>
      <c r="D80" s="2995"/>
      <c r="E80" s="2979">
        <v>0.1</v>
      </c>
      <c r="F80" s="2990"/>
      <c r="G80" s="2991"/>
    </row>
    <row r="81" spans="1:7">
      <c r="A81" s="2989" t="s">
        <v>110</v>
      </c>
      <c r="B81" s="2978" t="s">
        <v>2940</v>
      </c>
      <c r="C81" s="2979">
        <v>9.6000000000000002E-2</v>
      </c>
      <c r="D81" s="2990"/>
      <c r="E81" s="2979">
        <v>9.8000000000000004E-2</v>
      </c>
      <c r="F81" s="2990"/>
      <c r="G81" s="2991"/>
    </row>
    <row r="82" spans="1:7">
      <c r="A82" s="2989" t="s">
        <v>110</v>
      </c>
      <c r="B82" s="2978" t="s">
        <v>2947</v>
      </c>
      <c r="C82" s="2995"/>
      <c r="D82" s="2990"/>
      <c r="E82" s="2979">
        <v>7.6999999999999999E-2</v>
      </c>
      <c r="F82" s="2990"/>
      <c r="G82" s="2991"/>
    </row>
    <row r="83" spans="1:7">
      <c r="A83" s="2989" t="s">
        <v>110</v>
      </c>
      <c r="B83" s="2978" t="s">
        <v>2953</v>
      </c>
      <c r="C83" s="2990"/>
      <c r="D83" s="2990"/>
      <c r="E83" s="2990"/>
      <c r="F83" s="2979">
        <v>0.1</v>
      </c>
      <c r="G83" s="2996"/>
    </row>
    <row r="84" spans="1:7">
      <c r="A84" s="2989" t="s">
        <v>110</v>
      </c>
      <c r="B84" s="2978" t="s">
        <v>2960</v>
      </c>
      <c r="C84" s="2990"/>
      <c r="D84" s="2990"/>
      <c r="E84" s="2990"/>
      <c r="F84" s="2979">
        <v>0.1</v>
      </c>
      <c r="G84" s="2996"/>
    </row>
    <row r="85" spans="1:7">
      <c r="A85" s="2989" t="s">
        <v>110</v>
      </c>
      <c r="B85" s="2978" t="s">
        <v>2967</v>
      </c>
      <c r="C85" s="2990"/>
      <c r="D85" s="2990"/>
      <c r="E85" s="2990"/>
      <c r="F85" s="2979">
        <v>0.1</v>
      </c>
      <c r="G85" s="2996"/>
    </row>
    <row r="86" spans="1:7" ht="14.25" thickBot="1">
      <c r="A86" s="2992" t="s">
        <v>110</v>
      </c>
      <c r="B86" s="2982" t="s">
        <v>2972</v>
      </c>
      <c r="C86" s="2983">
        <v>9.8000000000000004E-2</v>
      </c>
      <c r="D86" s="2983">
        <v>9.8000000000000004E-2</v>
      </c>
      <c r="E86" s="2983">
        <v>9.6000000000000002E-2</v>
      </c>
      <c r="F86" s="2993"/>
      <c r="G86" s="2985">
        <v>0.1</v>
      </c>
    </row>
    <row r="87" spans="1:7">
      <c r="A87" s="2988" t="s">
        <v>303</v>
      </c>
      <c r="B87" s="2974" t="s">
        <v>2848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2941</v>
      </c>
      <c r="C113" s="2979">
        <v>0.1</v>
      </c>
      <c r="D113" s="2979">
        <v>0.1</v>
      </c>
      <c r="E113" s="2990"/>
      <c r="F113" s="2990"/>
      <c r="G113" s="2980">
        <v>0.1</v>
      </c>
    </row>
    <row r="114" spans="1:7">
      <c r="A114" s="2989" t="s">
        <v>303</v>
      </c>
      <c r="B114" s="2978" t="s">
        <v>2948</v>
      </c>
      <c r="C114" s="2979">
        <v>9.7000000000000003E-2</v>
      </c>
      <c r="D114" s="2979">
        <v>9.7000000000000003E-2</v>
      </c>
      <c r="E114" s="2990"/>
      <c r="F114" s="2990"/>
      <c r="G114" s="2980">
        <v>9.9000000000000005E-2</v>
      </c>
    </row>
    <row r="115" spans="1:7">
      <c r="A115" s="2989" t="s">
        <v>303</v>
      </c>
      <c r="B115" s="2978" t="s">
        <v>2954</v>
      </c>
      <c r="C115" s="2979">
        <v>0.1</v>
      </c>
      <c r="D115" s="2979">
        <v>0.1</v>
      </c>
      <c r="E115" s="2990"/>
      <c r="F115" s="2990"/>
      <c r="G115" s="2980">
        <v>0.1</v>
      </c>
    </row>
    <row r="116" spans="1:7">
      <c r="A116" s="2989" t="s">
        <v>303</v>
      </c>
      <c r="B116" s="2978" t="s">
        <v>2961</v>
      </c>
      <c r="C116" s="2979">
        <v>0.1</v>
      </c>
      <c r="D116" s="2979">
        <v>0.1</v>
      </c>
      <c r="E116" s="2990"/>
      <c r="F116" s="2990"/>
      <c r="G116" s="2980">
        <v>0.1</v>
      </c>
    </row>
    <row r="117" spans="1:7">
      <c r="A117" s="2989" t="s">
        <v>303</v>
      </c>
      <c r="B117" s="2978" t="s">
        <v>2968</v>
      </c>
      <c r="C117" s="2979">
        <v>9.7000000000000003E-2</v>
      </c>
      <c r="D117" s="2979">
        <v>9.7000000000000003E-2</v>
      </c>
      <c r="E117" s="2990"/>
      <c r="F117" s="2990"/>
      <c r="G117" s="2980">
        <v>9.7000000000000003E-2</v>
      </c>
    </row>
    <row r="118" spans="1:7">
      <c r="A118" s="2989" t="s">
        <v>303</v>
      </c>
      <c r="B118" s="2978" t="s">
        <v>2973</v>
      </c>
      <c r="C118" s="2979">
        <v>0.1</v>
      </c>
      <c r="D118" s="2979">
        <v>0.1</v>
      </c>
      <c r="E118" s="2990"/>
      <c r="F118" s="2990"/>
      <c r="G118" s="2980">
        <v>0.1</v>
      </c>
    </row>
    <row r="119" spans="1:7">
      <c r="A119" s="2989" t="s">
        <v>303</v>
      </c>
      <c r="B119" s="2978" t="s">
        <v>2977</v>
      </c>
      <c r="C119" s="2979">
        <v>5.0999999999999997E-2</v>
      </c>
      <c r="D119" s="2979">
        <v>5.1999999999999998E-2</v>
      </c>
      <c r="E119" s="2990"/>
      <c r="F119" s="2995"/>
      <c r="G119" s="2980">
        <v>0.06</v>
      </c>
    </row>
    <row r="120" spans="1:7">
      <c r="A120" s="2989" t="s">
        <v>303</v>
      </c>
      <c r="B120" s="2978" t="s">
        <v>2981</v>
      </c>
      <c r="C120" s="2990"/>
      <c r="D120" s="2990"/>
      <c r="E120" s="2990"/>
      <c r="F120" s="2979">
        <v>0.1</v>
      </c>
      <c r="G120" s="2996"/>
    </row>
    <row r="121" spans="1:7">
      <c r="A121" s="2989" t="s">
        <v>303</v>
      </c>
      <c r="B121" s="2978" t="s">
        <v>2986</v>
      </c>
      <c r="C121" s="2990"/>
      <c r="D121" s="2990"/>
      <c r="E121" s="2990"/>
      <c r="F121" s="2979">
        <v>0.1</v>
      </c>
      <c r="G121" s="2996"/>
    </row>
    <row r="122" spans="1:7">
      <c r="A122" s="2989" t="s">
        <v>303</v>
      </c>
      <c r="B122" s="2978" t="s">
        <v>2991</v>
      </c>
      <c r="C122" s="2979">
        <v>0.1</v>
      </c>
      <c r="D122" s="2979">
        <v>0.1</v>
      </c>
      <c r="E122" s="2979">
        <v>9.8000000000000004E-2</v>
      </c>
      <c r="F122" s="2979">
        <v>0.1</v>
      </c>
      <c r="G122" s="2980">
        <v>0.1</v>
      </c>
    </row>
    <row r="123" spans="1:7">
      <c r="A123" s="2989" t="s">
        <v>303</v>
      </c>
      <c r="B123" s="2978" t="s">
        <v>2996</v>
      </c>
      <c r="C123" s="2979">
        <v>0.1</v>
      </c>
      <c r="D123" s="2979">
        <v>0.1</v>
      </c>
      <c r="E123" s="2979">
        <v>9.8000000000000004E-2</v>
      </c>
      <c r="F123" s="2979">
        <v>0.1</v>
      </c>
      <c r="G123" s="2980">
        <v>0.1</v>
      </c>
    </row>
    <row r="124" spans="1:7">
      <c r="A124" s="2989" t="s">
        <v>303</v>
      </c>
      <c r="B124" s="2978" t="s">
        <v>3001</v>
      </c>
      <c r="C124" s="2979">
        <v>0.1</v>
      </c>
      <c r="D124" s="2979">
        <v>0.1</v>
      </c>
      <c r="E124" s="2979">
        <v>9.8000000000000004E-2</v>
      </c>
      <c r="F124" s="2995"/>
      <c r="G124" s="2980">
        <v>0.1</v>
      </c>
    </row>
    <row r="125" spans="1:7">
      <c r="A125" s="2989" t="s">
        <v>303</v>
      </c>
      <c r="B125" s="2978" t="s">
        <v>3006</v>
      </c>
      <c r="C125" s="2979">
        <v>9.8000000000000004E-2</v>
      </c>
      <c r="D125" s="2979">
        <v>9.8000000000000004E-2</v>
      </c>
      <c r="E125" s="2979">
        <v>9.6000000000000002E-2</v>
      </c>
      <c r="F125" s="2995"/>
      <c r="G125" s="2980">
        <v>0.1</v>
      </c>
    </row>
    <row r="126" spans="1:7" ht="14.25" thickBot="1">
      <c r="A126" s="2992" t="s">
        <v>303</v>
      </c>
      <c r="B126" s="2982" t="s">
        <v>3172</v>
      </c>
      <c r="C126" s="2983">
        <v>0.1</v>
      </c>
      <c r="D126" s="2983">
        <v>0.1</v>
      </c>
      <c r="E126" s="2983">
        <v>9.8000000000000004E-2</v>
      </c>
      <c r="F126" s="2983">
        <v>0.1</v>
      </c>
      <c r="G126" s="2985">
        <v>0.1</v>
      </c>
    </row>
    <row r="127" spans="1:7">
      <c r="A127" s="2988" t="s">
        <v>29</v>
      </c>
      <c r="B127" s="2974" t="s">
        <v>2849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2919</v>
      </c>
      <c r="C148" s="2979">
        <v>0.13</v>
      </c>
      <c r="D148" s="2979">
        <v>0.13</v>
      </c>
      <c r="E148" s="2979">
        <v>0.13</v>
      </c>
      <c r="F148" s="2990"/>
      <c r="G148" s="2980">
        <v>0.13</v>
      </c>
    </row>
    <row r="149" spans="1:7">
      <c r="A149" s="2989" t="s">
        <v>29</v>
      </c>
      <c r="B149" s="2978" t="s">
        <v>2923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2942</v>
      </c>
      <c r="C153" s="2979">
        <v>0.13</v>
      </c>
      <c r="D153" s="2979">
        <v>0.13</v>
      </c>
      <c r="E153" s="2979">
        <v>0.13</v>
      </c>
      <c r="F153" s="2979">
        <v>0.13</v>
      </c>
      <c r="G153" s="2980">
        <v>0.13</v>
      </c>
    </row>
    <row r="154" spans="1:7">
      <c r="A154" s="2989" t="s">
        <v>29</v>
      </c>
      <c r="B154" s="2978" t="s">
        <v>2949</v>
      </c>
      <c r="C154" s="2979">
        <v>0.121</v>
      </c>
      <c r="D154" s="2979">
        <v>0.121</v>
      </c>
      <c r="E154" s="2979">
        <v>0.105</v>
      </c>
      <c r="F154" s="2979">
        <v>0.121</v>
      </c>
      <c r="G154" s="2980">
        <v>0.123</v>
      </c>
    </row>
    <row r="155" spans="1:7">
      <c r="A155" s="2989" t="s">
        <v>29</v>
      </c>
      <c r="B155" s="2978" t="s">
        <v>2955</v>
      </c>
      <c r="C155" s="2979">
        <v>0.1</v>
      </c>
      <c r="D155" s="2979">
        <v>0.1</v>
      </c>
      <c r="E155" s="2979">
        <v>0.1</v>
      </c>
      <c r="F155" s="2979">
        <v>0.1</v>
      </c>
      <c r="G155" s="2980">
        <v>0.1</v>
      </c>
    </row>
    <row r="156" spans="1:7">
      <c r="A156" s="2989" t="s">
        <v>29</v>
      </c>
      <c r="B156" s="2978" t="s">
        <v>2962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2982</v>
      </c>
      <c r="C160" s="2979">
        <v>0.13</v>
      </c>
      <c r="D160" s="2979">
        <v>0.13</v>
      </c>
      <c r="E160" s="2979">
        <v>0.124</v>
      </c>
      <c r="F160" s="2979">
        <v>0.126</v>
      </c>
      <c r="G160" s="2980">
        <v>0.13</v>
      </c>
    </row>
    <row r="161" spans="1:7">
      <c r="A161" s="2989" t="s">
        <v>29</v>
      </c>
      <c r="B161" s="2978" t="s">
        <v>2987</v>
      </c>
      <c r="C161" s="2979">
        <v>0.13</v>
      </c>
      <c r="D161" s="2979">
        <v>0.13</v>
      </c>
      <c r="E161" s="2979">
        <v>0.124</v>
      </c>
      <c r="F161" s="2979">
        <v>0.127</v>
      </c>
      <c r="G161" s="2980">
        <v>0.13</v>
      </c>
    </row>
    <row r="162" spans="1:7">
      <c r="A162" s="2989" t="s">
        <v>29</v>
      </c>
      <c r="B162" s="2978" t="s">
        <v>2992</v>
      </c>
      <c r="C162" s="2979">
        <v>0.1</v>
      </c>
      <c r="D162" s="2979">
        <v>0.1</v>
      </c>
      <c r="E162" s="2979">
        <v>0.1</v>
      </c>
      <c r="F162" s="2979">
        <v>0.121</v>
      </c>
      <c r="G162" s="2980">
        <v>0.105</v>
      </c>
    </row>
    <row r="163" spans="1:7">
      <c r="A163" s="2989" t="s">
        <v>29</v>
      </c>
      <c r="B163" s="2978" t="s">
        <v>2997</v>
      </c>
      <c r="C163" s="2979">
        <v>0.1</v>
      </c>
      <c r="D163" s="2979">
        <v>0.1</v>
      </c>
      <c r="E163" s="2979">
        <v>0.1</v>
      </c>
      <c r="F163" s="2979">
        <v>0.1</v>
      </c>
      <c r="G163" s="2980">
        <v>0.1</v>
      </c>
    </row>
    <row r="164" spans="1:7">
      <c r="A164" s="2989" t="s">
        <v>29</v>
      </c>
      <c r="B164" s="2978" t="s">
        <v>3002</v>
      </c>
      <c r="C164" s="2995"/>
      <c r="D164" s="2995"/>
      <c r="E164" s="2995"/>
      <c r="F164" s="2979">
        <v>0.1</v>
      </c>
      <c r="G164" s="2991"/>
    </row>
    <row r="165" spans="1:7">
      <c r="A165" s="2989" t="s">
        <v>29</v>
      </c>
      <c r="B165" s="2978" t="s">
        <v>3173</v>
      </c>
      <c r="C165" s="2979">
        <v>0.126</v>
      </c>
      <c r="D165" s="2979">
        <v>0.126</v>
      </c>
      <c r="E165" s="2979">
        <v>0.11899999999999999</v>
      </c>
      <c r="F165" s="2979">
        <v>0.13</v>
      </c>
      <c r="G165" s="2980">
        <v>0.128</v>
      </c>
    </row>
    <row r="166" spans="1:7">
      <c r="A166" s="2989" t="s">
        <v>29</v>
      </c>
      <c r="B166" s="2978" t="s">
        <v>3012</v>
      </c>
      <c r="C166" s="2979">
        <v>0.129</v>
      </c>
      <c r="D166" s="2979">
        <v>0.129</v>
      </c>
      <c r="E166" s="2979">
        <v>0.123</v>
      </c>
      <c r="F166" s="2979">
        <v>0.128</v>
      </c>
      <c r="G166" s="2980">
        <v>0.13</v>
      </c>
    </row>
    <row r="167" spans="1:7">
      <c r="A167" s="2989" t="s">
        <v>29</v>
      </c>
      <c r="B167" s="2978" t="s">
        <v>3016</v>
      </c>
      <c r="C167" s="2979">
        <v>0.125</v>
      </c>
      <c r="D167" s="2979">
        <v>0.125</v>
      </c>
      <c r="E167" s="2979">
        <v>0.11700000000000001</v>
      </c>
      <c r="F167" s="2979">
        <v>0.13</v>
      </c>
      <c r="G167" s="2980">
        <v>0.126</v>
      </c>
    </row>
    <row r="168" spans="1:7">
      <c r="A168" s="2989" t="s">
        <v>29</v>
      </c>
      <c r="B168" s="2978" t="s">
        <v>3021</v>
      </c>
      <c r="C168" s="2979">
        <v>0.128</v>
      </c>
      <c r="D168" s="2979">
        <v>0.128</v>
      </c>
      <c r="E168" s="2979">
        <v>0.123</v>
      </c>
      <c r="F168" s="2990"/>
      <c r="G168" s="2980">
        <v>0.13</v>
      </c>
    </row>
    <row r="169" spans="1:7">
      <c r="A169" s="2989" t="s">
        <v>29</v>
      </c>
      <c r="B169" s="2978" t="s">
        <v>3174</v>
      </c>
      <c r="C169" s="2995"/>
      <c r="D169" s="2995"/>
      <c r="E169" s="2995"/>
      <c r="F169" s="2979">
        <v>0.05</v>
      </c>
      <c r="G169" s="2991"/>
    </row>
    <row r="170" spans="1:7">
      <c r="A170" s="2989" t="s">
        <v>29</v>
      </c>
      <c r="B170" s="2978" t="s">
        <v>3175</v>
      </c>
      <c r="C170" s="2995"/>
      <c r="D170" s="2995"/>
      <c r="E170" s="2995"/>
      <c r="F170" s="2979">
        <v>0.05</v>
      </c>
      <c r="G170" s="2991"/>
    </row>
    <row r="171" spans="1:7">
      <c r="A171" s="2989" t="s">
        <v>29</v>
      </c>
      <c r="B171" s="2978" t="s">
        <v>3176</v>
      </c>
      <c r="C171" s="2995"/>
      <c r="D171" s="2995"/>
      <c r="E171" s="2995"/>
      <c r="F171" s="2979">
        <v>0.05</v>
      </c>
      <c r="G171" s="2996"/>
    </row>
    <row r="172" spans="1:7">
      <c r="A172" s="2989" t="s">
        <v>29</v>
      </c>
      <c r="B172" s="2978" t="s">
        <v>3177</v>
      </c>
      <c r="C172" s="2995"/>
      <c r="D172" s="2995"/>
      <c r="E172" s="2995"/>
      <c r="F172" s="2979">
        <v>0.05</v>
      </c>
      <c r="G172" s="2996"/>
    </row>
    <row r="173" spans="1:7">
      <c r="A173" s="2989" t="s">
        <v>29</v>
      </c>
      <c r="B173" s="2978" t="s">
        <v>3178</v>
      </c>
      <c r="C173" s="2995"/>
      <c r="D173" s="2995"/>
      <c r="E173" s="2995"/>
      <c r="F173" s="2979">
        <v>0.05</v>
      </c>
      <c r="G173" s="2991"/>
    </row>
    <row r="174" spans="1:7">
      <c r="A174" s="2989" t="s">
        <v>29</v>
      </c>
      <c r="B174" s="2978" t="s">
        <v>3179</v>
      </c>
      <c r="C174" s="2995"/>
      <c r="D174" s="2995"/>
      <c r="E174" s="2995"/>
      <c r="F174" s="2979">
        <v>0.05</v>
      </c>
      <c r="G174" s="2991"/>
    </row>
    <row r="175" spans="1:7">
      <c r="A175" s="2989" t="s">
        <v>29</v>
      </c>
      <c r="B175" s="2978" t="s">
        <v>3180</v>
      </c>
      <c r="C175" s="2995"/>
      <c r="D175" s="2995"/>
      <c r="E175" s="2995"/>
      <c r="F175" s="2979">
        <v>0.05</v>
      </c>
      <c r="G175" s="2991"/>
    </row>
    <row r="176" spans="1:7">
      <c r="A176" s="2989" t="s">
        <v>29</v>
      </c>
      <c r="B176" s="2978" t="s">
        <v>3181</v>
      </c>
      <c r="C176" s="2995"/>
      <c r="D176" s="2995"/>
      <c r="E176" s="2995"/>
      <c r="F176" s="2979">
        <v>0.05</v>
      </c>
      <c r="G176" s="2991"/>
    </row>
    <row r="177" spans="1:7">
      <c r="A177" s="2989" t="s">
        <v>29</v>
      </c>
      <c r="B177" s="2978" t="s">
        <v>3182</v>
      </c>
      <c r="C177" s="2990"/>
      <c r="D177" s="2990"/>
      <c r="E177" s="2990"/>
      <c r="F177" s="2979">
        <v>0.05</v>
      </c>
      <c r="G177" s="2996"/>
    </row>
    <row r="178" spans="1:7">
      <c r="A178" s="2989" t="s">
        <v>29</v>
      </c>
      <c r="B178" s="2978" t="s">
        <v>3183</v>
      </c>
      <c r="C178" s="2990"/>
      <c r="D178" s="2990"/>
      <c r="E178" s="2990"/>
      <c r="F178" s="2979">
        <v>0.05</v>
      </c>
      <c r="G178" s="2996"/>
    </row>
    <row r="179" spans="1:7">
      <c r="A179" s="2989" t="s">
        <v>29</v>
      </c>
      <c r="B179" s="2978" t="s">
        <v>3184</v>
      </c>
      <c r="C179" s="2990"/>
      <c r="D179" s="2990"/>
      <c r="E179" s="2990"/>
      <c r="F179" s="2979">
        <v>0.05</v>
      </c>
      <c r="G179" s="2996"/>
    </row>
    <row r="180" spans="1:7">
      <c r="A180" s="2989" t="s">
        <v>29</v>
      </c>
      <c r="B180" s="2978" t="s">
        <v>3185</v>
      </c>
      <c r="C180" s="2990"/>
      <c r="D180" s="2990"/>
      <c r="E180" s="2990"/>
      <c r="F180" s="2979">
        <v>0.05</v>
      </c>
      <c r="G180" s="2996"/>
    </row>
    <row r="181" spans="1:7">
      <c r="A181" s="2989" t="s">
        <v>29</v>
      </c>
      <c r="B181" s="2978" t="s">
        <v>3186</v>
      </c>
      <c r="C181" s="2990"/>
      <c r="D181" s="2990"/>
      <c r="E181" s="2990"/>
      <c r="F181" s="2979">
        <v>0.05</v>
      </c>
      <c r="G181" s="2996"/>
    </row>
    <row r="182" spans="1:7">
      <c r="A182" s="2989" t="s">
        <v>29</v>
      </c>
      <c r="B182" s="2978" t="s">
        <v>3187</v>
      </c>
      <c r="C182" s="2990"/>
      <c r="D182" s="2990"/>
      <c r="E182" s="2990"/>
      <c r="F182" s="2979">
        <v>0.05</v>
      </c>
      <c r="G182" s="2996"/>
    </row>
    <row r="183" spans="1:7">
      <c r="A183" s="2989" t="s">
        <v>29</v>
      </c>
      <c r="B183" s="2978" t="s">
        <v>3188</v>
      </c>
      <c r="C183" s="2990"/>
      <c r="D183" s="2990"/>
      <c r="E183" s="2990"/>
      <c r="F183" s="2979">
        <v>0.05</v>
      </c>
      <c r="G183" s="2996"/>
    </row>
    <row r="184" spans="1:7">
      <c r="A184" s="2989" t="s">
        <v>29</v>
      </c>
      <c r="B184" s="2978" t="s">
        <v>3189</v>
      </c>
      <c r="C184" s="2990"/>
      <c r="D184" s="2990"/>
      <c r="E184" s="2990"/>
      <c r="F184" s="2979">
        <v>0.05</v>
      </c>
      <c r="G184" s="2996"/>
    </row>
    <row r="185" spans="1:7">
      <c r="A185" s="2989" t="s">
        <v>29</v>
      </c>
      <c r="B185" s="2978" t="s">
        <v>3190</v>
      </c>
      <c r="C185" s="2990"/>
      <c r="D185" s="2990"/>
      <c r="E185" s="2990"/>
      <c r="F185" s="2979">
        <v>0.05</v>
      </c>
      <c r="G185" s="2996"/>
    </row>
    <row r="186" spans="1:7">
      <c r="A186" s="2989" t="s">
        <v>29</v>
      </c>
      <c r="B186" s="2978" t="s">
        <v>3191</v>
      </c>
      <c r="C186" s="2990"/>
      <c r="D186" s="2990"/>
      <c r="E186" s="2990"/>
      <c r="F186" s="2979">
        <v>0.05</v>
      </c>
      <c r="G186" s="2996"/>
    </row>
    <row r="187" spans="1:7">
      <c r="A187" s="2989" t="s">
        <v>29</v>
      </c>
      <c r="B187" s="2978" t="s">
        <v>3192</v>
      </c>
      <c r="C187" s="2990"/>
      <c r="D187" s="2990"/>
      <c r="E187" s="2990"/>
      <c r="F187" s="2979">
        <v>0.05</v>
      </c>
      <c r="G187" s="2996"/>
    </row>
    <row r="188" spans="1:7">
      <c r="A188" s="2989" t="s">
        <v>29</v>
      </c>
      <c r="B188" s="2978" t="s">
        <v>3193</v>
      </c>
      <c r="C188" s="2990"/>
      <c r="D188" s="2990"/>
      <c r="E188" s="2990"/>
      <c r="F188" s="2979">
        <v>0.05</v>
      </c>
      <c r="G188" s="2996"/>
    </row>
    <row r="189" spans="1:7" ht="14.25" thickBot="1">
      <c r="A189" s="2992" t="s">
        <v>29</v>
      </c>
      <c r="B189" s="2982" t="s">
        <v>3194</v>
      </c>
      <c r="C189" s="2984"/>
      <c r="D189" s="2984"/>
      <c r="E189" s="2984"/>
      <c r="F189" s="2983">
        <v>0.05</v>
      </c>
      <c r="G189" s="2997"/>
    </row>
    <row r="190" spans="1:7">
      <c r="A190" s="2988" t="s">
        <v>304</v>
      </c>
      <c r="B190" s="2974" t="s">
        <v>2850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2886</v>
      </c>
      <c r="C199" s="2979">
        <v>0.13</v>
      </c>
      <c r="D199" s="2979">
        <v>0.13</v>
      </c>
      <c r="E199" s="2979">
        <v>0.13</v>
      </c>
      <c r="F199" s="2979">
        <v>0.13</v>
      </c>
      <c r="G199" s="2980">
        <v>0.13</v>
      </c>
    </row>
    <row r="200" spans="1:7">
      <c r="A200" s="2989" t="s">
        <v>304</v>
      </c>
      <c r="B200" s="2978" t="s">
        <v>2889</v>
      </c>
      <c r="C200" s="2995"/>
      <c r="D200" s="2995"/>
      <c r="E200" s="2995"/>
      <c r="F200" s="2979">
        <v>0.13</v>
      </c>
      <c r="G200" s="2991"/>
    </row>
    <row r="201" spans="1:7">
      <c r="A201" s="2989" t="s">
        <v>304</v>
      </c>
      <c r="B201" s="2978" t="s">
        <v>2894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2897</v>
      </c>
      <c r="C203" s="2979">
        <v>0.129</v>
      </c>
      <c r="D203" s="2979">
        <v>0.129</v>
      </c>
      <c r="E203" s="2979">
        <v>0.13</v>
      </c>
      <c r="F203" s="2979">
        <v>0.13</v>
      </c>
      <c r="G203" s="2980">
        <v>0.13</v>
      </c>
    </row>
    <row r="204" spans="1:7">
      <c r="A204" s="2989" t="s">
        <v>304</v>
      </c>
      <c r="B204" s="2978" t="s">
        <v>2900</v>
      </c>
      <c r="C204" s="2979">
        <v>0.129</v>
      </c>
      <c r="D204" s="2979">
        <v>0.129</v>
      </c>
      <c r="E204" s="2979">
        <v>0.123</v>
      </c>
      <c r="F204" s="2979">
        <v>0.13</v>
      </c>
      <c r="G204" s="2980">
        <v>0.13</v>
      </c>
    </row>
    <row r="205" spans="1:7">
      <c r="A205" s="2989" t="s">
        <v>304</v>
      </c>
      <c r="B205" s="2978" t="s">
        <v>2902</v>
      </c>
      <c r="C205" s="2979">
        <v>0.13</v>
      </c>
      <c r="D205" s="2979">
        <v>0.13</v>
      </c>
      <c r="E205" s="2979">
        <v>0.13</v>
      </c>
      <c r="F205" s="2979">
        <v>0.13</v>
      </c>
      <c r="G205" s="2980">
        <v>0.13</v>
      </c>
    </row>
    <row r="206" spans="1:7">
      <c r="A206" s="2989" t="s">
        <v>304</v>
      </c>
      <c r="B206" s="2978" t="s">
        <v>2905</v>
      </c>
      <c r="C206" s="2979">
        <v>0.13</v>
      </c>
      <c r="D206" s="2979">
        <v>0.13</v>
      </c>
      <c r="E206" s="2979">
        <v>0.13</v>
      </c>
      <c r="F206" s="2979">
        <v>0.128</v>
      </c>
      <c r="G206" s="2980">
        <v>0.13</v>
      </c>
    </row>
    <row r="207" spans="1:7">
      <c r="A207" s="2989" t="s">
        <v>304</v>
      </c>
      <c r="B207" s="2978" t="s">
        <v>2907</v>
      </c>
      <c r="C207" s="2979">
        <v>0.13</v>
      </c>
      <c r="D207" s="2979">
        <v>0.13</v>
      </c>
      <c r="E207" s="2979">
        <v>0.13</v>
      </c>
      <c r="F207" s="2979">
        <v>0.13</v>
      </c>
      <c r="G207" s="2980">
        <v>0.13</v>
      </c>
    </row>
    <row r="208" spans="1:7">
      <c r="A208" s="2989" t="s">
        <v>304</v>
      </c>
      <c r="B208" s="2978" t="s">
        <v>2910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2917</v>
      </c>
      <c r="C210" s="2979">
        <v>0.121</v>
      </c>
      <c r="D210" s="2979">
        <v>0.121</v>
      </c>
      <c r="E210" s="2979">
        <v>0.125</v>
      </c>
      <c r="F210" s="2979">
        <v>0.13</v>
      </c>
      <c r="G210" s="2980">
        <v>0.123</v>
      </c>
    </row>
    <row r="211" spans="1:7">
      <c r="A211" s="2989" t="s">
        <v>304</v>
      </c>
      <c r="B211" s="2978" t="s">
        <v>2920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2932</v>
      </c>
      <c r="C214" s="2979">
        <v>0.128</v>
      </c>
      <c r="D214" s="2979">
        <v>0.128</v>
      </c>
      <c r="E214" s="2979">
        <v>0.13</v>
      </c>
      <c r="F214" s="2979">
        <v>0.13</v>
      </c>
      <c r="G214" s="2980">
        <v>0.13</v>
      </c>
    </row>
    <row r="215" spans="1:7">
      <c r="A215" s="2989" t="s">
        <v>304</v>
      </c>
      <c r="B215" s="2978" t="s">
        <v>2936</v>
      </c>
      <c r="C215" s="2979">
        <v>0.13</v>
      </c>
      <c r="D215" s="2979">
        <v>0.13</v>
      </c>
      <c r="E215" s="2979">
        <v>0.13</v>
      </c>
      <c r="F215" s="2979">
        <v>0.129</v>
      </c>
      <c r="G215" s="2980">
        <v>0.13</v>
      </c>
    </row>
    <row r="216" spans="1:7">
      <c r="A216" s="2989" t="s">
        <v>304</v>
      </c>
      <c r="B216" s="2978" t="s">
        <v>2943</v>
      </c>
      <c r="C216" s="2979">
        <v>0.13</v>
      </c>
      <c r="D216" s="2979">
        <v>0.13</v>
      </c>
      <c r="E216" s="2979">
        <v>0.13</v>
      </c>
      <c r="F216" s="2979">
        <v>0.13</v>
      </c>
      <c r="G216" s="2980">
        <v>0.13</v>
      </c>
    </row>
    <row r="217" spans="1:7">
      <c r="A217" s="2989" t="s">
        <v>304</v>
      </c>
      <c r="B217" s="2978" t="s">
        <v>2950</v>
      </c>
      <c r="C217" s="2979">
        <v>0.129</v>
      </c>
      <c r="D217" s="2979">
        <v>0.129</v>
      </c>
      <c r="E217" s="2979">
        <v>0.13</v>
      </c>
      <c r="F217" s="2979">
        <v>0.13</v>
      </c>
      <c r="G217" s="2980">
        <v>0.13</v>
      </c>
    </row>
    <row r="218" spans="1:7">
      <c r="A218" s="2989" t="s">
        <v>304</v>
      </c>
      <c r="B218" s="2978" t="s">
        <v>2956</v>
      </c>
      <c r="C218" s="2990"/>
      <c r="D218" s="2990"/>
      <c r="E218" s="2990"/>
      <c r="F218" s="2979">
        <v>0.05</v>
      </c>
      <c r="G218" s="2996"/>
    </row>
    <row r="219" spans="1:7">
      <c r="A219" s="2989" t="s">
        <v>304</v>
      </c>
      <c r="B219" s="2978" t="s">
        <v>2963</v>
      </c>
      <c r="C219" s="2990"/>
      <c r="D219" s="2990"/>
      <c r="E219" s="2990"/>
      <c r="F219" s="2979">
        <v>0.05</v>
      </c>
      <c r="G219" s="2996"/>
    </row>
    <row r="220" spans="1:7">
      <c r="A220" s="2989" t="s">
        <v>304</v>
      </c>
      <c r="B220" s="2978" t="s">
        <v>2969</v>
      </c>
      <c r="C220" s="2990"/>
      <c r="D220" s="2990"/>
      <c r="E220" s="2990"/>
      <c r="F220" s="2979">
        <v>0.05</v>
      </c>
      <c r="G220" s="2996"/>
    </row>
    <row r="221" spans="1:7">
      <c r="A221" s="2989" t="s">
        <v>304</v>
      </c>
      <c r="B221" s="2978" t="s">
        <v>2974</v>
      </c>
      <c r="C221" s="2990"/>
      <c r="D221" s="2990"/>
      <c r="E221" s="2990"/>
      <c r="F221" s="2979">
        <v>0.05</v>
      </c>
      <c r="G221" s="2996"/>
    </row>
    <row r="222" spans="1:7">
      <c r="A222" s="2989" t="s">
        <v>304</v>
      </c>
      <c r="B222" s="2978" t="s">
        <v>2978</v>
      </c>
      <c r="C222" s="2990"/>
      <c r="D222" s="2990"/>
      <c r="E222" s="2990"/>
      <c r="F222" s="2979">
        <v>0.05</v>
      </c>
      <c r="G222" s="2996"/>
    </row>
    <row r="223" spans="1:7">
      <c r="A223" s="2989" t="s">
        <v>304</v>
      </c>
      <c r="B223" s="2978" t="s">
        <v>2983</v>
      </c>
      <c r="C223" s="2990"/>
      <c r="D223" s="2990"/>
      <c r="E223" s="2990"/>
      <c r="F223" s="2979">
        <v>0.05</v>
      </c>
      <c r="G223" s="2996"/>
    </row>
    <row r="224" spans="1:7">
      <c r="A224" s="2989" t="s">
        <v>304</v>
      </c>
      <c r="B224" s="2978" t="s">
        <v>2988</v>
      </c>
      <c r="C224" s="2990"/>
      <c r="D224" s="2990"/>
      <c r="E224" s="2990"/>
      <c r="F224" s="2979">
        <v>0.05</v>
      </c>
      <c r="G224" s="2996"/>
    </row>
    <row r="225" spans="1:7">
      <c r="A225" s="2989" t="s">
        <v>304</v>
      </c>
      <c r="B225" s="2978" t="s">
        <v>2993</v>
      </c>
      <c r="C225" s="2990"/>
      <c r="D225" s="2990"/>
      <c r="E225" s="2990"/>
      <c r="F225" s="2979">
        <v>0.05</v>
      </c>
      <c r="G225" s="2996"/>
    </row>
    <row r="226" spans="1:7">
      <c r="A226" s="2989" t="s">
        <v>304</v>
      </c>
      <c r="B226" s="2978" t="s">
        <v>3195</v>
      </c>
      <c r="C226" s="2990"/>
      <c r="D226" s="2990"/>
      <c r="E226" s="2990"/>
      <c r="F226" s="2979">
        <v>0.05</v>
      </c>
      <c r="G226" s="2996"/>
    </row>
    <row r="227" spans="1:7">
      <c r="A227" s="2989" t="s">
        <v>304</v>
      </c>
      <c r="B227" s="2978" t="s">
        <v>3196</v>
      </c>
      <c r="C227" s="2990"/>
      <c r="D227" s="2990"/>
      <c r="E227" s="2990"/>
      <c r="F227" s="2979">
        <v>0.05</v>
      </c>
      <c r="G227" s="2996"/>
    </row>
    <row r="228" spans="1:7">
      <c r="A228" s="2989" t="s">
        <v>304</v>
      </c>
      <c r="B228" s="2978" t="s">
        <v>3197</v>
      </c>
      <c r="C228" s="2990"/>
      <c r="D228" s="2990"/>
      <c r="E228" s="2990"/>
      <c r="F228" s="2979">
        <v>0.05</v>
      </c>
      <c r="G228" s="2996"/>
    </row>
    <row r="229" spans="1:7">
      <c r="A229" s="2989" t="s">
        <v>304</v>
      </c>
      <c r="B229" s="2978" t="s">
        <v>3198</v>
      </c>
      <c r="C229" s="2990"/>
      <c r="D229" s="2990"/>
      <c r="E229" s="2990"/>
      <c r="F229" s="2979">
        <v>0.05</v>
      </c>
      <c r="G229" s="2996"/>
    </row>
    <row r="230" spans="1:7">
      <c r="A230" s="2989" t="s">
        <v>304</v>
      </c>
      <c r="B230" s="2978" t="s">
        <v>3199</v>
      </c>
      <c r="C230" s="2990"/>
      <c r="D230" s="2990"/>
      <c r="E230" s="2990"/>
      <c r="F230" s="2979">
        <v>0.05</v>
      </c>
      <c r="G230" s="2996"/>
    </row>
    <row r="231" spans="1:7">
      <c r="A231" s="2989" t="s">
        <v>304</v>
      </c>
      <c r="B231" s="2978" t="s">
        <v>3200</v>
      </c>
      <c r="C231" s="2990"/>
      <c r="D231" s="2990"/>
      <c r="E231" s="2990"/>
      <c r="F231" s="2979">
        <v>0.05</v>
      </c>
      <c r="G231" s="2996"/>
    </row>
    <row r="232" spans="1:7">
      <c r="A232" s="2989" t="s">
        <v>304</v>
      </c>
      <c r="B232" s="2978" t="s">
        <v>3201</v>
      </c>
      <c r="C232" s="2990"/>
      <c r="D232" s="2990"/>
      <c r="E232" s="2990"/>
      <c r="F232" s="2979">
        <v>0.05</v>
      </c>
      <c r="G232" s="2996"/>
    </row>
    <row r="233" spans="1:7" ht="14.25" thickBot="1">
      <c r="A233" s="2992" t="s">
        <v>304</v>
      </c>
      <c r="B233" s="2982" t="s">
        <v>3202</v>
      </c>
      <c r="C233" s="2984"/>
      <c r="D233" s="2984"/>
      <c r="E233" s="2984"/>
      <c r="F233" s="2983">
        <v>0.05</v>
      </c>
      <c r="G233" s="2997"/>
    </row>
    <row r="234" spans="1:7">
      <c r="A234" s="2988" t="s">
        <v>305</v>
      </c>
      <c r="B234" s="2974" t="s">
        <v>2851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2871</v>
      </c>
      <c r="C238" s="2979">
        <v>0.14899999999999999</v>
      </c>
      <c r="D238" s="2979">
        <v>0.14899999999999999</v>
      </c>
      <c r="E238" s="2979">
        <v>0.15</v>
      </c>
      <c r="F238" s="2979">
        <v>0.15</v>
      </c>
      <c r="G238" s="2980">
        <v>0.15</v>
      </c>
    </row>
    <row r="239" spans="1:7">
      <c r="A239" s="2989" t="s">
        <v>305</v>
      </c>
      <c r="B239" s="2978" t="s">
        <v>2875</v>
      </c>
      <c r="C239" s="2979">
        <v>0.15</v>
      </c>
      <c r="D239" s="2979">
        <v>0.15</v>
      </c>
      <c r="E239" s="2979">
        <v>0.15</v>
      </c>
      <c r="F239" s="2979">
        <v>0.15</v>
      </c>
      <c r="G239" s="2980">
        <v>0.15</v>
      </c>
    </row>
    <row r="240" spans="1:7">
      <c r="A240" s="2989" t="s">
        <v>305</v>
      </c>
      <c r="B240" s="2978" t="s">
        <v>2880</v>
      </c>
      <c r="C240" s="2979">
        <v>0.15</v>
      </c>
      <c r="D240" s="2979">
        <v>0.15</v>
      </c>
      <c r="E240" s="2979">
        <v>0.15</v>
      </c>
      <c r="F240" s="2979">
        <v>0.15</v>
      </c>
      <c r="G240" s="2980">
        <v>0.15</v>
      </c>
    </row>
    <row r="241" spans="1:7">
      <c r="A241" s="2989" t="s">
        <v>305</v>
      </c>
      <c r="B241" s="2978" t="s">
        <v>2884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2933</v>
      </c>
      <c r="C258" s="2979">
        <v>0.14299999999999999</v>
      </c>
      <c r="D258" s="2979">
        <v>0.14299999999999999</v>
      </c>
      <c r="E258" s="2979">
        <v>0.15</v>
      </c>
      <c r="F258" s="2979">
        <v>0.14799999999999999</v>
      </c>
      <c r="G258" s="2980">
        <v>0.14599999999999999</v>
      </c>
    </row>
    <row r="259" spans="1:7">
      <c r="A259" s="2989" t="s">
        <v>305</v>
      </c>
      <c r="B259" s="2978" t="s">
        <v>2937</v>
      </c>
      <c r="C259" s="2979">
        <v>0.14399999999999999</v>
      </c>
      <c r="D259" s="2979">
        <v>0.14399999999999999</v>
      </c>
      <c r="E259" s="2979">
        <v>0.14899999999999999</v>
      </c>
      <c r="F259" s="2979">
        <v>0.14699999999999999</v>
      </c>
      <c r="G259" s="2980">
        <v>0.14599999999999999</v>
      </c>
    </row>
    <row r="260" spans="1:7">
      <c r="A260" s="2989" t="s">
        <v>305</v>
      </c>
      <c r="B260" s="2978" t="s">
        <v>2944</v>
      </c>
      <c r="C260" s="2979">
        <v>0.109</v>
      </c>
      <c r="D260" s="2979">
        <v>0.111</v>
      </c>
      <c r="E260" s="2979">
        <v>0.13100000000000001</v>
      </c>
      <c r="F260" s="2979">
        <v>0.126</v>
      </c>
      <c r="G260" s="2980">
        <v>0.11899999999999999</v>
      </c>
    </row>
    <row r="261" spans="1:7">
      <c r="A261" s="2989" t="s">
        <v>305</v>
      </c>
      <c r="B261" s="2978" t="s">
        <v>2951</v>
      </c>
      <c r="C261" s="2979">
        <v>0.1</v>
      </c>
      <c r="D261" s="2979">
        <v>0.1</v>
      </c>
      <c r="E261" s="2979">
        <v>0.11799999999999999</v>
      </c>
      <c r="F261" s="2979">
        <v>0.108</v>
      </c>
      <c r="G261" s="2980">
        <v>0.107</v>
      </c>
    </row>
    <row r="262" spans="1:7">
      <c r="A262" s="2989" t="s">
        <v>305</v>
      </c>
      <c r="B262" s="2978" t="s">
        <v>2957</v>
      </c>
      <c r="C262" s="2979">
        <v>0.1</v>
      </c>
      <c r="D262" s="2979">
        <v>0.1</v>
      </c>
      <c r="E262" s="2979">
        <v>0.1</v>
      </c>
      <c r="F262" s="2979">
        <v>0.14099999999999999</v>
      </c>
      <c r="G262" s="2980">
        <v>0.1</v>
      </c>
    </row>
    <row r="263" spans="1:7">
      <c r="A263" s="2989" t="s">
        <v>305</v>
      </c>
      <c r="B263" s="2978" t="s">
        <v>2964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2975</v>
      </c>
      <c r="C265" s="2990"/>
      <c r="D265" s="2990"/>
      <c r="E265" s="2990"/>
      <c r="F265" s="2979">
        <v>0.05</v>
      </c>
      <c r="G265" s="2996"/>
    </row>
    <row r="266" spans="1:7">
      <c r="A266" s="2989" t="s">
        <v>305</v>
      </c>
      <c r="B266" s="2978" t="s">
        <v>2979</v>
      </c>
      <c r="C266" s="2990"/>
      <c r="D266" s="2990"/>
      <c r="E266" s="2990"/>
      <c r="F266" s="2979">
        <v>0.05</v>
      </c>
      <c r="G266" s="2996"/>
    </row>
    <row r="267" spans="1:7">
      <c r="A267" s="2989" t="s">
        <v>305</v>
      </c>
      <c r="B267" s="2978" t="s">
        <v>2984</v>
      </c>
      <c r="C267" s="2990"/>
      <c r="D267" s="2990"/>
      <c r="E267" s="2990"/>
      <c r="F267" s="2979">
        <v>0.05</v>
      </c>
      <c r="G267" s="2996"/>
    </row>
    <row r="268" spans="1:7">
      <c r="A268" s="2989" t="s">
        <v>305</v>
      </c>
      <c r="B268" s="2978" t="s">
        <v>2989</v>
      </c>
      <c r="C268" s="2990"/>
      <c r="D268" s="2990"/>
      <c r="E268" s="2990"/>
      <c r="F268" s="2979">
        <v>0.05</v>
      </c>
      <c r="G268" s="2996"/>
    </row>
    <row r="269" spans="1:7">
      <c r="A269" s="2989" t="s">
        <v>305</v>
      </c>
      <c r="B269" s="2978" t="s">
        <v>2994</v>
      </c>
      <c r="C269" s="2990"/>
      <c r="D269" s="2990"/>
      <c r="E269" s="2990"/>
      <c r="F269" s="2979">
        <v>0.05</v>
      </c>
      <c r="G269" s="2996"/>
    </row>
    <row r="270" spans="1:7">
      <c r="A270" s="2989" t="s">
        <v>305</v>
      </c>
      <c r="B270" s="2978" t="s">
        <v>2999</v>
      </c>
      <c r="C270" s="2990"/>
      <c r="D270" s="2990"/>
      <c r="E270" s="2990"/>
      <c r="F270" s="2979">
        <v>0.05</v>
      </c>
      <c r="G270" s="2996"/>
    </row>
    <row r="271" spans="1:7">
      <c r="A271" s="2989" t="s">
        <v>305</v>
      </c>
      <c r="B271" s="2978" t="s">
        <v>3203</v>
      </c>
      <c r="C271" s="2990"/>
      <c r="D271" s="2990"/>
      <c r="E271" s="2990"/>
      <c r="F271" s="2979">
        <v>0.05</v>
      </c>
      <c r="G271" s="2996"/>
    </row>
    <row r="272" spans="1:7">
      <c r="A272" s="2989" t="s">
        <v>305</v>
      </c>
      <c r="B272" s="2978" t="s">
        <v>3204</v>
      </c>
      <c r="C272" s="2990"/>
      <c r="D272" s="2990"/>
      <c r="E272" s="2990"/>
      <c r="F272" s="2979">
        <v>0.05</v>
      </c>
      <c r="G272" s="2996"/>
    </row>
    <row r="273" spans="1:7">
      <c r="A273" s="2989" t="s">
        <v>305</v>
      </c>
      <c r="B273" s="2978" t="s">
        <v>3205</v>
      </c>
      <c r="C273" s="2990"/>
      <c r="D273" s="2990"/>
      <c r="E273" s="2990"/>
      <c r="F273" s="2979">
        <v>0.05</v>
      </c>
      <c r="G273" s="2996"/>
    </row>
    <row r="274" spans="1:7">
      <c r="A274" s="2989" t="s">
        <v>305</v>
      </c>
      <c r="B274" s="2978" t="s">
        <v>3206</v>
      </c>
      <c r="C274" s="2990"/>
      <c r="D274" s="2990"/>
      <c r="E274" s="2990"/>
      <c r="F274" s="2979">
        <v>0.05</v>
      </c>
      <c r="G274" s="2996"/>
    </row>
    <row r="275" spans="1:7">
      <c r="A275" s="2989" t="s">
        <v>305</v>
      </c>
      <c r="B275" s="2978" t="s">
        <v>3207</v>
      </c>
      <c r="C275" s="2990"/>
      <c r="D275" s="2990"/>
      <c r="E275" s="2990"/>
      <c r="F275" s="2979">
        <v>0.05</v>
      </c>
      <c r="G275" s="2996"/>
    </row>
    <row r="276" spans="1:7" ht="14.25" thickBot="1">
      <c r="A276" s="2992" t="s">
        <v>305</v>
      </c>
      <c r="B276" s="2982" t="s">
        <v>3208</v>
      </c>
      <c r="C276" s="2984"/>
      <c r="D276" s="2984"/>
      <c r="E276" s="2984"/>
      <c r="F276" s="2983">
        <v>0.05</v>
      </c>
      <c r="G276" s="2997"/>
    </row>
    <row r="277" spans="1:7">
      <c r="A277" s="2988" t="s">
        <v>306</v>
      </c>
      <c r="B277" s="2974" t="s">
        <v>2852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2864</v>
      </c>
      <c r="C279" s="2979">
        <v>0.15</v>
      </c>
      <c r="D279" s="2979">
        <v>0.15</v>
      </c>
      <c r="E279" s="2979">
        <v>0.15</v>
      </c>
      <c r="F279" s="2979">
        <v>0.15</v>
      </c>
      <c r="G279" s="2980">
        <v>0.15</v>
      </c>
    </row>
    <row r="280" spans="1:7">
      <c r="A280" s="2989" t="s">
        <v>306</v>
      </c>
      <c r="B280" s="2978" t="s">
        <v>2868</v>
      </c>
      <c r="C280" s="2979">
        <v>0.15</v>
      </c>
      <c r="D280" s="2979">
        <v>0.15</v>
      </c>
      <c r="E280" s="2979">
        <v>0.15</v>
      </c>
      <c r="F280" s="2979">
        <v>0.15</v>
      </c>
      <c r="G280" s="2980">
        <v>0.15</v>
      </c>
    </row>
    <row r="281" spans="1:7">
      <c r="A281" s="2989" t="s">
        <v>306</v>
      </c>
      <c r="B281" s="2978" t="s">
        <v>2872</v>
      </c>
      <c r="C281" s="2979">
        <v>0.15</v>
      </c>
      <c r="D281" s="2979">
        <v>0.15</v>
      </c>
      <c r="E281" s="2979">
        <v>0.15</v>
      </c>
      <c r="F281" s="2979">
        <v>0.15</v>
      </c>
      <c r="G281" s="2980">
        <v>0.15</v>
      </c>
    </row>
    <row r="282" spans="1:7">
      <c r="A282" s="2989" t="s">
        <v>306</v>
      </c>
      <c r="B282" s="2978" t="s">
        <v>2876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2906</v>
      </c>
      <c r="C293" s="2979">
        <v>0.15</v>
      </c>
      <c r="D293" s="2979">
        <v>0.15</v>
      </c>
      <c r="E293" s="2979">
        <v>0.15</v>
      </c>
      <c r="F293" s="2979">
        <v>0.14499999999999999</v>
      </c>
      <c r="G293" s="2980">
        <v>0.15</v>
      </c>
    </row>
    <row r="294" spans="1:7">
      <c r="A294" s="2989" t="s">
        <v>306</v>
      </c>
      <c r="B294" s="2978" t="s">
        <v>2908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2938</v>
      </c>
      <c r="C302" s="2979">
        <v>0.15</v>
      </c>
      <c r="D302" s="2979">
        <v>0.15</v>
      </c>
      <c r="E302" s="2979">
        <v>0.15</v>
      </c>
      <c r="F302" s="2979">
        <v>0.14699999999999999</v>
      </c>
      <c r="G302" s="2980">
        <v>0.15</v>
      </c>
    </row>
    <row r="303" spans="1:7">
      <c r="A303" s="2989" t="s">
        <v>306</v>
      </c>
      <c r="B303" s="2978" t="s">
        <v>2945</v>
      </c>
      <c r="C303" s="2979">
        <v>0.15</v>
      </c>
      <c r="D303" s="2979">
        <v>0.15</v>
      </c>
      <c r="E303" s="2979">
        <v>0.15</v>
      </c>
      <c r="F303" s="2979">
        <v>0.14199999999999999</v>
      </c>
      <c r="G303" s="2980">
        <v>0.15</v>
      </c>
    </row>
    <row r="304" spans="1:7">
      <c r="A304" s="2989" t="s">
        <v>306</v>
      </c>
      <c r="B304" s="2978" t="s">
        <v>2952</v>
      </c>
      <c r="C304" s="2979">
        <v>0.15</v>
      </c>
      <c r="D304" s="2979">
        <v>0.15</v>
      </c>
      <c r="E304" s="2979">
        <v>0.15</v>
      </c>
      <c r="F304" s="2979">
        <v>0.14499999999999999</v>
      </c>
      <c r="G304" s="2980">
        <v>0.15</v>
      </c>
    </row>
    <row r="305" spans="1:7">
      <c r="A305" s="2989" t="s">
        <v>306</v>
      </c>
      <c r="B305" s="2978" t="s">
        <v>2958</v>
      </c>
      <c r="C305" s="2979">
        <v>0.15</v>
      </c>
      <c r="D305" s="2979">
        <v>0.15</v>
      </c>
      <c r="E305" s="2979">
        <v>0.15</v>
      </c>
      <c r="F305" s="2979">
        <v>0.111</v>
      </c>
      <c r="G305" s="2980">
        <v>0.15</v>
      </c>
    </row>
    <row r="306" spans="1:7">
      <c r="A306" s="2989" t="s">
        <v>306</v>
      </c>
      <c r="B306" s="2978" t="s">
        <v>2965</v>
      </c>
      <c r="C306" s="2979">
        <v>0.15</v>
      </c>
      <c r="D306" s="2979">
        <v>0.15</v>
      </c>
      <c r="E306" s="2979">
        <v>0.15</v>
      </c>
      <c r="F306" s="2979">
        <v>0.126</v>
      </c>
      <c r="G306" s="2980">
        <v>0.15</v>
      </c>
    </row>
    <row r="307" spans="1:7">
      <c r="A307" s="2989" t="s">
        <v>306</v>
      </c>
      <c r="B307" s="2978" t="s">
        <v>2970</v>
      </c>
      <c r="C307" s="2979">
        <v>0.15</v>
      </c>
      <c r="D307" s="2979">
        <v>0.15</v>
      </c>
      <c r="E307" s="2979">
        <v>0.15</v>
      </c>
      <c r="F307" s="2979">
        <v>0.12</v>
      </c>
      <c r="G307" s="2980">
        <v>0.15</v>
      </c>
    </row>
    <row r="308" spans="1:7">
      <c r="A308" s="2989" t="s">
        <v>306</v>
      </c>
      <c r="B308" s="2978" t="s">
        <v>2976</v>
      </c>
      <c r="C308" s="2979">
        <v>0.15</v>
      </c>
      <c r="D308" s="2979">
        <v>0.15</v>
      </c>
      <c r="E308" s="2979">
        <v>0.15</v>
      </c>
      <c r="F308" s="2979">
        <v>0.13</v>
      </c>
      <c r="G308" s="2980">
        <v>0.15</v>
      </c>
    </row>
    <row r="309" spans="1:7">
      <c r="A309" s="2989" t="s">
        <v>306</v>
      </c>
      <c r="B309" s="2978" t="s">
        <v>2980</v>
      </c>
      <c r="C309" s="2979">
        <v>0.15</v>
      </c>
      <c r="D309" s="2979">
        <v>0.15</v>
      </c>
      <c r="E309" s="2979">
        <v>0.15</v>
      </c>
      <c r="F309" s="2979">
        <v>0.14099999999999999</v>
      </c>
      <c r="G309" s="2980">
        <v>0.15</v>
      </c>
    </row>
    <row r="310" spans="1:7">
      <c r="A310" s="2989" t="s">
        <v>306</v>
      </c>
      <c r="B310" s="2978" t="s">
        <v>2985</v>
      </c>
      <c r="C310" s="2979">
        <v>0.15</v>
      </c>
      <c r="D310" s="2979">
        <v>0.15</v>
      </c>
      <c r="E310" s="2979">
        <v>0.15</v>
      </c>
      <c r="F310" s="2979">
        <v>0.15</v>
      </c>
      <c r="G310" s="2980">
        <v>0.15</v>
      </c>
    </row>
    <row r="311" spans="1:7">
      <c r="A311" s="2989" t="s">
        <v>306</v>
      </c>
      <c r="B311" s="2978" t="s">
        <v>2990</v>
      </c>
      <c r="C311" s="2979">
        <v>0.13200000000000001</v>
      </c>
      <c r="D311" s="2979">
        <v>0.13300000000000001</v>
      </c>
      <c r="E311" s="2979">
        <v>0.14499999999999999</v>
      </c>
      <c r="F311" s="2979">
        <v>0.14199999999999999</v>
      </c>
      <c r="G311" s="2980">
        <v>0.14000000000000001</v>
      </c>
    </row>
    <row r="312" spans="1:7">
      <c r="A312" s="2989" t="s">
        <v>306</v>
      </c>
      <c r="B312" s="2978" t="s">
        <v>2995</v>
      </c>
      <c r="C312" s="2979">
        <v>0.13800000000000001</v>
      </c>
      <c r="D312" s="2979">
        <v>0.14000000000000001</v>
      </c>
      <c r="E312" s="2979">
        <v>0.14599999999999999</v>
      </c>
      <c r="F312" s="2979">
        <v>0.14899999999999999</v>
      </c>
      <c r="G312" s="2980">
        <v>0.14199999999999999</v>
      </c>
    </row>
    <row r="313" spans="1:7">
      <c r="A313" s="2989" t="s">
        <v>306</v>
      </c>
      <c r="B313" s="2978" t="s">
        <v>3000</v>
      </c>
      <c r="C313" s="2979">
        <v>0.125</v>
      </c>
      <c r="D313" s="2979">
        <v>0.127</v>
      </c>
      <c r="E313" s="2979">
        <v>0.14399999999999999</v>
      </c>
      <c r="F313" s="2979">
        <v>0.115</v>
      </c>
      <c r="G313" s="2980">
        <v>0.13600000000000001</v>
      </c>
    </row>
    <row r="314" spans="1:7">
      <c r="A314" s="2989" t="s">
        <v>306</v>
      </c>
      <c r="B314" s="2978" t="s">
        <v>3209</v>
      </c>
      <c r="C314" s="2995"/>
      <c r="D314" s="2995"/>
      <c r="E314" s="2995"/>
      <c r="F314" s="2979">
        <v>0.05</v>
      </c>
      <c r="G314" s="2996"/>
    </row>
    <row r="315" spans="1:7">
      <c r="A315" s="2989" t="s">
        <v>306</v>
      </c>
      <c r="B315" s="2978" t="s">
        <v>3210</v>
      </c>
      <c r="C315" s="2995"/>
      <c r="D315" s="2995"/>
      <c r="E315" s="2995"/>
      <c r="F315" s="2979">
        <v>0.05</v>
      </c>
      <c r="G315" s="2996"/>
    </row>
    <row r="316" spans="1:7">
      <c r="A316" s="2989" t="s">
        <v>306</v>
      </c>
      <c r="B316" s="2978" t="s">
        <v>3211</v>
      </c>
      <c r="C316" s="2990"/>
      <c r="D316" s="2990"/>
      <c r="E316" s="2990"/>
      <c r="F316" s="2979">
        <v>0.05</v>
      </c>
      <c r="G316" s="2996"/>
    </row>
    <row r="317" spans="1:7">
      <c r="A317" s="2989" t="s">
        <v>306</v>
      </c>
      <c r="B317" s="2978" t="s">
        <v>3212</v>
      </c>
      <c r="C317" s="2990"/>
      <c r="D317" s="2990"/>
      <c r="E317" s="2990"/>
      <c r="F317" s="2979">
        <v>0.05</v>
      </c>
      <c r="G317" s="2996"/>
    </row>
    <row r="318" spans="1:7">
      <c r="A318" s="2989" t="s">
        <v>306</v>
      </c>
      <c r="B318" s="2978" t="s">
        <v>3213</v>
      </c>
      <c r="C318" s="2990"/>
      <c r="D318" s="2990"/>
      <c r="E318" s="2990"/>
      <c r="F318" s="2979">
        <v>0.05</v>
      </c>
      <c r="G318" s="2996"/>
    </row>
    <row r="319" spans="1:7">
      <c r="A319" s="2989" t="s">
        <v>306</v>
      </c>
      <c r="B319" s="2978" t="s">
        <v>3214</v>
      </c>
      <c r="C319" s="2990"/>
      <c r="D319" s="2990"/>
      <c r="E319" s="2990"/>
      <c r="F319" s="2979">
        <v>0.05</v>
      </c>
      <c r="G319" s="2996"/>
    </row>
    <row r="320" spans="1:7">
      <c r="A320" s="2989" t="s">
        <v>306</v>
      </c>
      <c r="B320" s="2978" t="s">
        <v>3215</v>
      </c>
      <c r="C320" s="2990"/>
      <c r="D320" s="2990"/>
      <c r="E320" s="2990"/>
      <c r="F320" s="2979">
        <v>0.05</v>
      </c>
      <c r="G320" s="2996"/>
    </row>
    <row r="321" spans="1:7">
      <c r="A321" s="2989" t="s">
        <v>306</v>
      </c>
      <c r="B321" s="2978" t="s">
        <v>3216</v>
      </c>
      <c r="C321" s="2990"/>
      <c r="D321" s="2990"/>
      <c r="E321" s="2990"/>
      <c r="F321" s="2979">
        <v>0.05</v>
      </c>
      <c r="G321" s="2996"/>
    </row>
    <row r="322" spans="1:7">
      <c r="A322" s="2989" t="s">
        <v>306</v>
      </c>
      <c r="B322" s="2978" t="s">
        <v>3217</v>
      </c>
      <c r="C322" s="2990"/>
      <c r="D322" s="2990"/>
      <c r="E322" s="2990"/>
      <c r="F322" s="2979">
        <v>0.05</v>
      </c>
      <c r="G322" s="2996"/>
    </row>
    <row r="323" spans="1:7">
      <c r="A323" s="2989" t="s">
        <v>306</v>
      </c>
      <c r="B323" s="2978" t="s">
        <v>3218</v>
      </c>
      <c r="C323" s="2990"/>
      <c r="D323" s="2990"/>
      <c r="E323" s="2990"/>
      <c r="F323" s="2979">
        <v>0.05</v>
      </c>
      <c r="G323" s="2996"/>
    </row>
    <row r="324" spans="1:7">
      <c r="A324" s="2989" t="s">
        <v>306</v>
      </c>
      <c r="B324" s="2978" t="s">
        <v>3219</v>
      </c>
      <c r="C324" s="2990"/>
      <c r="D324" s="2990"/>
      <c r="E324" s="2990"/>
      <c r="F324" s="2979">
        <v>0.05</v>
      </c>
      <c r="G324" s="2996"/>
    </row>
    <row r="325" spans="1:7">
      <c r="A325" s="2989" t="s">
        <v>306</v>
      </c>
      <c r="B325" s="2978" t="s">
        <v>3220</v>
      </c>
      <c r="C325" s="2990"/>
      <c r="D325" s="2990"/>
      <c r="E325" s="2990"/>
      <c r="F325" s="2979">
        <v>0.05</v>
      </c>
      <c r="G325" s="2996"/>
    </row>
    <row r="326" spans="1:7" ht="14.25" thickBot="1">
      <c r="A326" s="2992" t="s">
        <v>306</v>
      </c>
      <c r="B326" s="2982" t="s">
        <v>3221</v>
      </c>
      <c r="C326" s="2984"/>
      <c r="D326" s="2984"/>
      <c r="E326" s="2984"/>
      <c r="F326" s="2983">
        <v>0.05</v>
      </c>
      <c r="G326" s="2997"/>
    </row>
    <row r="327" spans="1:7">
      <c r="A327" s="2988" t="s">
        <v>307</v>
      </c>
      <c r="B327" s="2974" t="s">
        <v>2853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2865</v>
      </c>
      <c r="C329" s="2979">
        <v>0.15</v>
      </c>
      <c r="D329" s="2979">
        <v>0.15</v>
      </c>
      <c r="E329" s="2979">
        <v>0.15</v>
      </c>
      <c r="F329" s="2979">
        <v>0.15</v>
      </c>
      <c r="G329" s="2980">
        <v>0.15</v>
      </c>
    </row>
    <row r="330" spans="1:7">
      <c r="A330" s="2989" t="s">
        <v>307</v>
      </c>
      <c r="B330" s="2978" t="s">
        <v>2869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2877</v>
      </c>
      <c r="C332" s="2979">
        <v>0.15</v>
      </c>
      <c r="D332" s="2979">
        <v>0.15</v>
      </c>
      <c r="E332" s="2979">
        <v>0.15</v>
      </c>
      <c r="F332" s="2979">
        <v>0.15</v>
      </c>
      <c r="G332" s="2980">
        <v>0.15</v>
      </c>
    </row>
    <row r="333" spans="1:7">
      <c r="A333" s="2989" t="s">
        <v>307</v>
      </c>
      <c r="B333" s="2978" t="s">
        <v>2881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2887</v>
      </c>
      <c r="C336" s="2979">
        <v>0.15</v>
      </c>
      <c r="D336" s="2979">
        <v>0.15</v>
      </c>
      <c r="E336" s="2979">
        <v>0.15</v>
      </c>
      <c r="F336" s="2979">
        <v>0.14199999999999999</v>
      </c>
      <c r="G336" s="2980">
        <v>0.15</v>
      </c>
    </row>
    <row r="337" spans="1:7">
      <c r="A337" s="2989" t="s">
        <v>307</v>
      </c>
      <c r="B337" s="2978" t="s">
        <v>2892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2912</v>
      </c>
      <c r="C345" s="2979">
        <v>0.15</v>
      </c>
      <c r="D345" s="2979">
        <v>0.15</v>
      </c>
      <c r="E345" s="2979">
        <v>0.15</v>
      </c>
      <c r="F345" s="2979">
        <v>0.13800000000000001</v>
      </c>
      <c r="G345" s="2980">
        <v>0.15</v>
      </c>
    </row>
    <row r="346" spans="1:7">
      <c r="A346" s="2989" t="s">
        <v>307</v>
      </c>
      <c r="B346" s="2978" t="s">
        <v>2914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2921</v>
      </c>
      <c r="C348" s="2979">
        <v>0.15</v>
      </c>
      <c r="D348" s="2979">
        <v>0.15</v>
      </c>
      <c r="E348" s="2979">
        <v>0.15</v>
      </c>
      <c r="F348" s="2979">
        <v>0.14399999999999999</v>
      </c>
      <c r="G348" s="2980">
        <v>0.15</v>
      </c>
    </row>
    <row r="349" spans="1:7">
      <c r="A349" s="2989" t="s">
        <v>307</v>
      </c>
      <c r="B349" s="2978" t="s">
        <v>2926</v>
      </c>
      <c r="C349" s="2979">
        <v>0.15</v>
      </c>
      <c r="D349" s="2979">
        <v>0.15</v>
      </c>
      <c r="E349" s="2979">
        <v>0.15</v>
      </c>
      <c r="F349" s="2979">
        <v>0.15</v>
      </c>
      <c r="G349" s="2980">
        <v>0.15</v>
      </c>
    </row>
    <row r="350" spans="1:7">
      <c r="A350" s="2989" t="s">
        <v>307</v>
      </c>
      <c r="B350" s="2978" t="s">
        <v>2929</v>
      </c>
      <c r="C350" s="2979">
        <v>0.15</v>
      </c>
      <c r="D350" s="2979">
        <v>0.15</v>
      </c>
      <c r="E350" s="2979">
        <v>0.15</v>
      </c>
      <c r="F350" s="2979">
        <v>0.14699999999999999</v>
      </c>
      <c r="G350" s="2980">
        <v>0.15</v>
      </c>
    </row>
    <row r="351" spans="1:7">
      <c r="A351" s="2989" t="s">
        <v>307</v>
      </c>
      <c r="B351" s="2978" t="s">
        <v>2934</v>
      </c>
      <c r="C351" s="2979">
        <v>0.15</v>
      </c>
      <c r="D351" s="2979">
        <v>0.15</v>
      </c>
      <c r="E351" s="2979">
        <v>0.15</v>
      </c>
      <c r="F351" s="2979">
        <v>0.13</v>
      </c>
      <c r="G351" s="2980">
        <v>0.15</v>
      </c>
    </row>
    <row r="352" spans="1:7">
      <c r="A352" s="2989" t="s">
        <v>307</v>
      </c>
      <c r="B352" s="2978" t="s">
        <v>2939</v>
      </c>
      <c r="C352" s="2979">
        <v>0.15</v>
      </c>
      <c r="D352" s="2979">
        <v>0.15</v>
      </c>
      <c r="E352" s="2979">
        <v>0.15</v>
      </c>
      <c r="F352" s="2979">
        <v>0.14599999999999999</v>
      </c>
      <c r="G352" s="2980">
        <v>0.15</v>
      </c>
    </row>
    <row r="353" spans="1:7">
      <c r="A353" s="2989" t="s">
        <v>307</v>
      </c>
      <c r="B353" s="2978" t="s">
        <v>2946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2959</v>
      </c>
      <c r="C355" s="2979">
        <v>0.15</v>
      </c>
      <c r="D355" s="2979">
        <v>0.15</v>
      </c>
      <c r="E355" s="2979">
        <v>0.15</v>
      </c>
      <c r="F355" s="2979">
        <v>0.15</v>
      </c>
      <c r="G355" s="2980">
        <v>0.15</v>
      </c>
    </row>
    <row r="356" spans="1:7">
      <c r="A356" s="2989" t="s">
        <v>307</v>
      </c>
      <c r="B356" s="2978" t="s">
        <v>2966</v>
      </c>
      <c r="C356" s="2979">
        <v>0.15</v>
      </c>
      <c r="D356" s="2979">
        <v>0.15</v>
      </c>
      <c r="E356" s="2979">
        <v>0.15</v>
      </c>
      <c r="F356" s="2979">
        <v>0.15</v>
      </c>
      <c r="G356" s="2980">
        <v>0.15</v>
      </c>
    </row>
    <row r="357" spans="1:7" ht="14.25" thickBot="1">
      <c r="A357" s="2992" t="s">
        <v>307</v>
      </c>
      <c r="B357" s="2982" t="s">
        <v>2971</v>
      </c>
      <c r="C357" s="2983">
        <v>0.126</v>
      </c>
      <c r="D357" s="2983">
        <v>0.127</v>
      </c>
      <c r="E357" s="2983">
        <v>0.14299999999999999</v>
      </c>
      <c r="F357" s="2983">
        <v>0.125</v>
      </c>
      <c r="G357" s="2985">
        <v>0.129</v>
      </c>
    </row>
    <row r="358" spans="1:7">
      <c r="A358" s="2988" t="s">
        <v>2840</v>
      </c>
      <c r="B358" s="2974" t="s">
        <v>2854</v>
      </c>
      <c r="C358" s="2975">
        <v>0.15</v>
      </c>
      <c r="D358" s="2975">
        <v>0.15</v>
      </c>
      <c r="E358" s="2975">
        <v>0.15</v>
      </c>
      <c r="F358" s="2975">
        <v>0.15</v>
      </c>
      <c r="G358" s="2976">
        <v>0.15</v>
      </c>
    </row>
    <row r="359" spans="1:7">
      <c r="A359" s="2989" t="s">
        <v>2840</v>
      </c>
      <c r="B359" s="2978" t="s">
        <v>2860</v>
      </c>
      <c r="C359" s="2979">
        <v>0.1</v>
      </c>
      <c r="D359" s="2979">
        <v>0.1</v>
      </c>
      <c r="E359" s="2979">
        <v>0.1</v>
      </c>
      <c r="F359" s="2979">
        <v>0.1</v>
      </c>
      <c r="G359" s="2980">
        <v>0.1</v>
      </c>
    </row>
    <row r="360" spans="1:7">
      <c r="A360" s="2989" t="s">
        <v>2840</v>
      </c>
      <c r="B360" s="2978" t="s">
        <v>2866</v>
      </c>
      <c r="C360" s="2979">
        <v>0.15</v>
      </c>
      <c r="D360" s="2979">
        <v>0.15</v>
      </c>
      <c r="E360" s="2979">
        <v>0.15</v>
      </c>
      <c r="F360" s="2979">
        <v>0.14899999999999999</v>
      </c>
      <c r="G360" s="2980">
        <v>0.15</v>
      </c>
    </row>
    <row r="361" spans="1:7">
      <c r="A361" s="2989" t="s">
        <v>2840</v>
      </c>
      <c r="B361" s="2978" t="s">
        <v>153</v>
      </c>
      <c r="C361" s="2979">
        <v>0.15</v>
      </c>
      <c r="D361" s="2979">
        <v>0.15</v>
      </c>
      <c r="E361" s="2979">
        <v>0.15</v>
      </c>
      <c r="F361" s="2979">
        <v>0.115</v>
      </c>
      <c r="G361" s="2980">
        <v>0.15</v>
      </c>
    </row>
    <row r="362" spans="1:7">
      <c r="A362" s="2989" t="s">
        <v>2840</v>
      </c>
      <c r="B362" s="2978" t="s">
        <v>2873</v>
      </c>
      <c r="C362" s="2979">
        <v>0.15</v>
      </c>
      <c r="D362" s="2979">
        <v>0.15</v>
      </c>
      <c r="E362" s="2979">
        <v>0.15</v>
      </c>
      <c r="F362" s="2979">
        <v>0.106</v>
      </c>
      <c r="G362" s="2980">
        <v>0.15</v>
      </c>
    </row>
    <row r="363" spans="1:7">
      <c r="A363" s="2989" t="s">
        <v>2840</v>
      </c>
      <c r="B363" s="2978" t="s">
        <v>2878</v>
      </c>
      <c r="C363" s="2979">
        <v>0.15</v>
      </c>
      <c r="D363" s="2979">
        <v>0.15</v>
      </c>
      <c r="E363" s="2979">
        <v>0.15</v>
      </c>
      <c r="F363" s="2979">
        <v>0.14699999999999999</v>
      </c>
      <c r="G363" s="2980">
        <v>0.15</v>
      </c>
    </row>
    <row r="364" spans="1:7">
      <c r="A364" s="2989" t="s">
        <v>2840</v>
      </c>
      <c r="B364" s="2978" t="s">
        <v>2882</v>
      </c>
      <c r="C364" s="2979">
        <v>0.15</v>
      </c>
      <c r="D364" s="2979">
        <v>0.15</v>
      </c>
      <c r="E364" s="2979">
        <v>0.15</v>
      </c>
      <c r="F364" s="2979">
        <v>0.14799999999999999</v>
      </c>
      <c r="G364" s="2980">
        <v>0.15</v>
      </c>
    </row>
    <row r="365" spans="1:7">
      <c r="A365" s="2989" t="s">
        <v>2840</v>
      </c>
      <c r="B365" s="2978" t="s">
        <v>200</v>
      </c>
      <c r="C365" s="2979">
        <v>0.15</v>
      </c>
      <c r="D365" s="2979">
        <v>0.15</v>
      </c>
      <c r="E365" s="2979">
        <v>0.15</v>
      </c>
      <c r="F365" s="2979">
        <v>0.15</v>
      </c>
      <c r="G365" s="2980">
        <v>0.15</v>
      </c>
    </row>
    <row r="366" spans="1:7">
      <c r="A366" s="2989" t="s">
        <v>2840</v>
      </c>
      <c r="B366" s="2978" t="s">
        <v>2885</v>
      </c>
      <c r="C366" s="2979">
        <v>0.15</v>
      </c>
      <c r="D366" s="2979">
        <v>0.15</v>
      </c>
      <c r="E366" s="2979">
        <v>0.15</v>
      </c>
      <c r="F366" s="2979">
        <v>0.15</v>
      </c>
      <c r="G366" s="2980">
        <v>0.15</v>
      </c>
    </row>
    <row r="367" spans="1:7">
      <c r="A367" s="2989" t="s">
        <v>2840</v>
      </c>
      <c r="B367" s="2978" t="s">
        <v>2888</v>
      </c>
      <c r="C367" s="2979">
        <v>0.15</v>
      </c>
      <c r="D367" s="2979">
        <v>0.15</v>
      </c>
      <c r="E367" s="2979">
        <v>0.15</v>
      </c>
      <c r="F367" s="2979">
        <v>0.14699999999999999</v>
      </c>
      <c r="G367" s="2980">
        <v>0.15</v>
      </c>
    </row>
    <row r="368" spans="1:7">
      <c r="A368" s="2989" t="s">
        <v>2840</v>
      </c>
      <c r="B368" s="2978" t="s">
        <v>2893</v>
      </c>
      <c r="C368" s="2979">
        <v>0.15</v>
      </c>
      <c r="D368" s="2979">
        <v>0.15</v>
      </c>
      <c r="E368" s="2979">
        <v>0.15</v>
      </c>
      <c r="F368" s="2979">
        <v>0.13600000000000001</v>
      </c>
      <c r="G368" s="2980">
        <v>0.15</v>
      </c>
    </row>
    <row r="369" spans="1:7">
      <c r="A369" s="2989" t="s">
        <v>2840</v>
      </c>
      <c r="B369" s="2978" t="s">
        <v>214</v>
      </c>
      <c r="C369" s="2979">
        <v>0.15</v>
      </c>
      <c r="D369" s="2979">
        <v>0.15</v>
      </c>
      <c r="E369" s="2979">
        <v>0.15</v>
      </c>
      <c r="F369" s="2979">
        <v>0.14399999999999999</v>
      </c>
      <c r="G369" s="2980">
        <v>0.15</v>
      </c>
    </row>
    <row r="370" spans="1:7">
      <c r="A370" s="2989" t="s">
        <v>2840</v>
      </c>
      <c r="B370" s="2978" t="s">
        <v>221</v>
      </c>
      <c r="C370" s="2979">
        <v>0.15</v>
      </c>
      <c r="D370" s="2979">
        <v>0.15</v>
      </c>
      <c r="E370" s="2979">
        <v>0.15</v>
      </c>
      <c r="F370" s="2979">
        <v>0.14599999999999999</v>
      </c>
      <c r="G370" s="2980">
        <v>0.15</v>
      </c>
    </row>
    <row r="371" spans="1:7">
      <c r="A371" s="2989" t="s">
        <v>2840</v>
      </c>
      <c r="B371" s="2978" t="s">
        <v>229</v>
      </c>
      <c r="C371" s="2979">
        <v>0.15</v>
      </c>
      <c r="D371" s="2979">
        <v>0.15</v>
      </c>
      <c r="E371" s="2979">
        <v>0.15</v>
      </c>
      <c r="F371" s="2979">
        <v>0.12</v>
      </c>
      <c r="G371" s="2980">
        <v>0.15</v>
      </c>
    </row>
    <row r="372" spans="1:7">
      <c r="A372" s="2989" t="s">
        <v>2840</v>
      </c>
      <c r="B372" s="2978" t="s">
        <v>2901</v>
      </c>
      <c r="C372" s="2979">
        <v>0.15</v>
      </c>
      <c r="D372" s="2979">
        <v>0.15</v>
      </c>
      <c r="E372" s="2979">
        <v>0.15</v>
      </c>
      <c r="F372" s="2979">
        <v>0.14299999999999999</v>
      </c>
      <c r="G372" s="2980">
        <v>0.15</v>
      </c>
    </row>
    <row r="373" spans="1:7">
      <c r="A373" s="2989" t="s">
        <v>2840</v>
      </c>
      <c r="B373" s="2978" t="s">
        <v>258</v>
      </c>
      <c r="C373" s="2979">
        <v>0.15</v>
      </c>
      <c r="D373" s="2979">
        <v>0.15</v>
      </c>
      <c r="E373" s="2979">
        <v>0.15</v>
      </c>
      <c r="F373" s="2979">
        <v>0.14599999999999999</v>
      </c>
      <c r="G373" s="2980">
        <v>0.15</v>
      </c>
    </row>
    <row r="374" spans="1:7">
      <c r="A374" s="2989" t="s">
        <v>2840</v>
      </c>
      <c r="B374" s="2978" t="s">
        <v>266</v>
      </c>
      <c r="C374" s="2979">
        <v>0.15</v>
      </c>
      <c r="D374" s="2979">
        <v>0.15</v>
      </c>
      <c r="E374" s="2979">
        <v>0.15</v>
      </c>
      <c r="F374" s="2979">
        <v>0.14399999999999999</v>
      </c>
      <c r="G374" s="2980">
        <v>0.15</v>
      </c>
    </row>
    <row r="375" spans="1:7">
      <c r="A375" s="2989" t="s">
        <v>2840</v>
      </c>
      <c r="B375" s="2978" t="s">
        <v>2909</v>
      </c>
      <c r="C375" s="2979">
        <v>0.15</v>
      </c>
      <c r="D375" s="2979">
        <v>0.15</v>
      </c>
      <c r="E375" s="2979">
        <v>0.15</v>
      </c>
      <c r="F375" s="2979">
        <v>0.13</v>
      </c>
      <c r="G375" s="2980">
        <v>0.15</v>
      </c>
    </row>
    <row r="376" spans="1:7">
      <c r="A376" s="2989" t="s">
        <v>2840</v>
      </c>
      <c r="B376" s="2978" t="s">
        <v>277</v>
      </c>
      <c r="C376" s="2979">
        <v>0.15</v>
      </c>
      <c r="D376" s="2979">
        <v>0.15</v>
      </c>
      <c r="E376" s="2979">
        <v>0.15</v>
      </c>
      <c r="F376" s="2979">
        <v>0.14199999999999999</v>
      </c>
      <c r="G376" s="2980">
        <v>0.15</v>
      </c>
    </row>
    <row r="377" spans="1:7" ht="14.25" thickBot="1">
      <c r="A377" s="2992" t="s">
        <v>2840</v>
      </c>
      <c r="B377" s="2982" t="s">
        <v>2915</v>
      </c>
      <c r="C377" s="2983">
        <v>0.15</v>
      </c>
      <c r="D377" s="2983">
        <v>0.15</v>
      </c>
      <c r="E377" s="2983">
        <v>0.15</v>
      </c>
      <c r="F377" s="2983">
        <v>0.14000000000000001</v>
      </c>
      <c r="G377" s="2985">
        <v>0.15</v>
      </c>
    </row>
    <row r="378" spans="1:7">
      <c r="A378" s="2988" t="s">
        <v>2841</v>
      </c>
      <c r="B378" s="2974" t="s">
        <v>2855</v>
      </c>
      <c r="C378" s="2975">
        <v>0.15</v>
      </c>
      <c r="D378" s="2975">
        <v>0.15</v>
      </c>
      <c r="E378" s="2975">
        <v>0.15</v>
      </c>
      <c r="F378" s="2975">
        <v>0.107</v>
      </c>
      <c r="G378" s="2976">
        <v>0.15</v>
      </c>
    </row>
    <row r="379" spans="1:7">
      <c r="A379" s="2989" t="s">
        <v>2841</v>
      </c>
      <c r="B379" s="2978" t="s">
        <v>2861</v>
      </c>
      <c r="C379" s="2979">
        <v>0.15</v>
      </c>
      <c r="D379" s="2979">
        <v>0.15</v>
      </c>
      <c r="E379" s="2979">
        <v>0.15</v>
      </c>
      <c r="F379" s="2979">
        <v>0.115</v>
      </c>
      <c r="G379" s="2980">
        <v>0.14899999999999999</v>
      </c>
    </row>
    <row r="380" spans="1:7">
      <c r="A380" s="2989" t="s">
        <v>2841</v>
      </c>
      <c r="B380" s="2978" t="s">
        <v>2867</v>
      </c>
      <c r="C380" s="2979">
        <v>0.15</v>
      </c>
      <c r="D380" s="2979">
        <v>0.15</v>
      </c>
      <c r="E380" s="2979">
        <v>0.15</v>
      </c>
      <c r="F380" s="2979">
        <v>0.1</v>
      </c>
      <c r="G380" s="2980">
        <v>0.14799999999999999</v>
      </c>
    </row>
    <row r="381" spans="1:7">
      <c r="A381" s="2989" t="s">
        <v>2841</v>
      </c>
      <c r="B381" s="2978" t="s">
        <v>2870</v>
      </c>
      <c r="C381" s="2979">
        <v>0.15</v>
      </c>
      <c r="D381" s="2979">
        <v>0.15</v>
      </c>
      <c r="E381" s="2979">
        <v>0.15</v>
      </c>
      <c r="F381" s="2979">
        <v>0.126</v>
      </c>
      <c r="G381" s="2980">
        <v>0.15</v>
      </c>
    </row>
    <row r="382" spans="1:7">
      <c r="A382" s="2989" t="s">
        <v>2841</v>
      </c>
      <c r="B382" s="2978" t="s">
        <v>2874</v>
      </c>
      <c r="C382" s="2979">
        <v>0.15</v>
      </c>
      <c r="D382" s="2979">
        <v>0.15</v>
      </c>
      <c r="E382" s="2979">
        <v>0.15</v>
      </c>
      <c r="F382" s="2979">
        <v>0.15</v>
      </c>
      <c r="G382" s="2980">
        <v>0.15</v>
      </c>
    </row>
    <row r="383" spans="1:7">
      <c r="A383" s="2989" t="s">
        <v>2841</v>
      </c>
      <c r="B383" s="2978" t="s">
        <v>2879</v>
      </c>
      <c r="C383" s="2979">
        <v>0.15</v>
      </c>
      <c r="D383" s="2979">
        <v>0.15</v>
      </c>
      <c r="E383" s="2979">
        <v>0.15</v>
      </c>
      <c r="F383" s="2979">
        <v>0.14699999999999999</v>
      </c>
      <c r="G383" s="2980">
        <v>0.15</v>
      </c>
    </row>
    <row r="384" spans="1:7" ht="14.25" thickBot="1">
      <c r="A384" s="2999" t="s">
        <v>2841</v>
      </c>
      <c r="B384" s="3000" t="s">
        <v>2883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38" t="s">
        <v>3222</v>
      </c>
      <c r="B1" s="3538"/>
      <c r="C1" s="3538"/>
      <c r="D1" s="3538"/>
      <c r="E1" s="3538"/>
      <c r="F1" s="3539"/>
    </row>
    <row r="2" spans="1:6">
      <c r="A2" s="3003" t="s">
        <v>3223</v>
      </c>
    </row>
    <row r="3" spans="1:6">
      <c r="A3" s="3003" t="s">
        <v>3224</v>
      </c>
      <c r="F3" s="3004" t="s">
        <v>3225</v>
      </c>
    </row>
    <row r="4" spans="1:6">
      <c r="A4" s="3005" t="s">
        <v>672</v>
      </c>
      <c r="B4" s="3005" t="s">
        <v>673</v>
      </c>
      <c r="C4" s="3005" t="s">
        <v>21</v>
      </c>
      <c r="D4" s="3005" t="s">
        <v>674</v>
      </c>
      <c r="E4" s="3005" t="s">
        <v>3</v>
      </c>
      <c r="F4" s="3005" t="s">
        <v>3226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45973</v>
      </c>
      <c r="B1" s="2930" t="s">
        <v>3366</v>
      </c>
      <c r="C1" s="2931"/>
      <c r="D1" s="2931"/>
      <c r="E1" s="2931"/>
      <c r="F1" s="2931"/>
      <c r="G1" s="2931"/>
      <c r="H1" s="2931"/>
      <c r="I1" s="2931"/>
      <c r="J1" s="2897"/>
      <c r="K1" s="2931" t="s">
        <v>454</v>
      </c>
      <c r="L1" s="2931"/>
      <c r="M1" s="2931"/>
      <c r="N1" s="2931"/>
      <c r="O1" s="2931"/>
      <c r="P1" s="2931"/>
      <c r="Q1" s="2897"/>
      <c r="R1" s="3540" t="s">
        <v>456</v>
      </c>
      <c r="S1" s="3541"/>
      <c r="T1" s="3541"/>
      <c r="U1" s="3541"/>
      <c r="V1" s="3541"/>
      <c r="W1" s="3541"/>
      <c r="X1" s="2897"/>
      <c r="Y1" s="3540" t="s">
        <v>457</v>
      </c>
      <c r="Z1" s="3541"/>
      <c r="AA1" s="3541"/>
      <c r="AB1" s="3541"/>
      <c r="AC1" s="3541"/>
      <c r="AD1" s="3541"/>
    </row>
    <row r="2" spans="1:44" s="2010" customFormat="1" ht="14.25" thickBot="1">
      <c r="B2" s="2882"/>
      <c r="C2" s="2883"/>
      <c r="D2" s="2011" t="s">
        <v>2800</v>
      </c>
      <c r="E2" s="2012" t="s">
        <v>2801</v>
      </c>
      <c r="F2" s="2012" t="s">
        <v>2802</v>
      </c>
      <c r="G2" s="2012" t="s">
        <v>2803</v>
      </c>
      <c r="H2" s="2012" t="s">
        <v>2804</v>
      </c>
      <c r="I2" s="2012" t="s">
        <v>2621</v>
      </c>
      <c r="J2" s="2884"/>
      <c r="K2" s="2011" t="s">
        <v>2800</v>
      </c>
      <c r="L2" s="2012" t="s">
        <v>2801</v>
      </c>
      <c r="M2" s="2012" t="s">
        <v>2802</v>
      </c>
      <c r="N2" s="2012" t="s">
        <v>2803</v>
      </c>
      <c r="O2" s="2012" t="s">
        <v>2805</v>
      </c>
      <c r="P2" s="2012" t="s">
        <v>2621</v>
      </c>
      <c r="Q2" s="2884"/>
      <c r="R2" s="2011" t="s">
        <v>2800</v>
      </c>
      <c r="S2" s="2012" t="s">
        <v>2801</v>
      </c>
      <c r="T2" s="2012" t="s">
        <v>2802</v>
      </c>
      <c r="U2" s="2012" t="s">
        <v>2806</v>
      </c>
      <c r="V2" s="2012" t="s">
        <v>2807</v>
      </c>
      <c r="W2" s="2012" t="s">
        <v>2621</v>
      </c>
      <c r="X2" s="2884"/>
      <c r="Y2" s="2011" t="s">
        <v>2800</v>
      </c>
      <c r="Z2" s="2012" t="s">
        <v>2801</v>
      </c>
      <c r="AA2" s="2012" t="s">
        <v>2802</v>
      </c>
      <c r="AB2" s="2012" t="s">
        <v>2808</v>
      </c>
      <c r="AC2" s="2012" t="s">
        <v>2807</v>
      </c>
      <c r="AD2" s="2012" t="s">
        <v>2621</v>
      </c>
      <c r="AF2" t="s">
        <v>3391</v>
      </c>
      <c r="AG2" t="s">
        <v>673</v>
      </c>
      <c r="AH2" t="s">
        <v>21</v>
      </c>
      <c r="AI2" t="s">
        <v>3392</v>
      </c>
      <c r="AJ2" t="s">
        <v>3</v>
      </c>
      <c r="AK2" t="s">
        <v>3393</v>
      </c>
      <c r="AM2" t="s">
        <v>3391</v>
      </c>
      <c r="AN2" t="s">
        <v>673</v>
      </c>
      <c r="AO2" t="s">
        <v>21</v>
      </c>
      <c r="AP2" t="s">
        <v>3392</v>
      </c>
      <c r="AQ2" t="s">
        <v>3</v>
      </c>
      <c r="AR2" t="s">
        <v>3393</v>
      </c>
    </row>
    <row r="3" spans="1:44" s="2887" customFormat="1" ht="12.75">
      <c r="A3" s="2885" t="s">
        <v>2809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3404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3405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3396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3395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3364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3363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3359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3358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3356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3355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3354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3352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3343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2812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2813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2814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3369</v>
      </c>
    </row>
    <row r="27" spans="1:44">
      <c r="I27" s="1405" t="s">
        <v>2815</v>
      </c>
    </row>
    <row r="29" spans="1:44" s="2009" customFormat="1" ht="12.75">
      <c r="B29" s="2930" t="s">
        <v>3367</v>
      </c>
      <c r="C29" s="2931"/>
      <c r="D29" s="2931"/>
      <c r="E29" s="2931"/>
      <c r="F29" s="2931"/>
      <c r="G29" s="2931"/>
      <c r="H29" s="2931"/>
      <c r="I29" s="2931"/>
      <c r="J29" s="2897"/>
      <c r="K29" s="2931" t="s">
        <v>2816</v>
      </c>
      <c r="L29" s="2931"/>
      <c r="M29" s="2931"/>
      <c r="N29" s="2931"/>
      <c r="O29" s="2931"/>
      <c r="P29" s="2931"/>
      <c r="Q29" s="2897"/>
      <c r="R29" s="3540" t="s">
        <v>2817</v>
      </c>
      <c r="S29" s="3541"/>
      <c r="T29" s="3541"/>
      <c r="U29" s="3541"/>
      <c r="V29" s="3541"/>
      <c r="W29" s="3541"/>
      <c r="X29" s="2897"/>
      <c r="Y29" s="3540" t="s">
        <v>2818</v>
      </c>
      <c r="Z29" s="3541"/>
      <c r="AA29" s="3541"/>
      <c r="AB29" s="3541"/>
      <c r="AC29" s="3541"/>
      <c r="AD29" s="3541"/>
    </row>
    <row r="30" spans="1:44" s="2010" customFormat="1" ht="14.25" thickBot="1">
      <c r="B30" s="2882"/>
      <c r="C30" s="2883"/>
      <c r="D30" s="2011" t="s">
        <v>2819</v>
      </c>
      <c r="E30" s="2012" t="s">
        <v>2820</v>
      </c>
      <c r="F30" s="2012" t="s">
        <v>2821</v>
      </c>
      <c r="G30" s="2012" t="s">
        <v>2822</v>
      </c>
      <c r="H30" s="2012"/>
      <c r="I30" s="2012" t="s">
        <v>2823</v>
      </c>
      <c r="J30" s="2884"/>
      <c r="K30" s="2011" t="s">
        <v>2819</v>
      </c>
      <c r="L30" s="2012" t="s">
        <v>2820</v>
      </c>
      <c r="M30" s="2012" t="s">
        <v>2821</v>
      </c>
      <c r="N30" s="2012" t="s">
        <v>2822</v>
      </c>
      <c r="O30" s="2012"/>
      <c r="P30" s="2012" t="s">
        <v>2823</v>
      </c>
      <c r="Q30" s="2884"/>
      <c r="R30" s="2011" t="s">
        <v>2819</v>
      </c>
      <c r="S30" s="2012" t="s">
        <v>2820</v>
      </c>
      <c r="T30" s="2012" t="s">
        <v>2821</v>
      </c>
      <c r="U30" s="2012" t="s">
        <v>2822</v>
      </c>
      <c r="V30" s="2012"/>
      <c r="W30" s="2012" t="s">
        <v>2823</v>
      </c>
      <c r="X30" s="2884"/>
      <c r="Y30" s="2011" t="s">
        <v>2819</v>
      </c>
      <c r="Z30" s="2012" t="s">
        <v>2820</v>
      </c>
      <c r="AA30" s="2012" t="s">
        <v>2821</v>
      </c>
      <c r="AB30" s="2012" t="s">
        <v>2822</v>
      </c>
      <c r="AC30" s="2012"/>
      <c r="AD30" s="2012" t="s">
        <v>2823</v>
      </c>
      <c r="AG30" t="s">
        <v>673</v>
      </c>
      <c r="AH30" t="s">
        <v>21</v>
      </c>
      <c r="AI30" t="s">
        <v>3392</v>
      </c>
      <c r="AJ30"/>
      <c r="AK30" t="s">
        <v>3393</v>
      </c>
      <c r="AN30" t="s">
        <v>673</v>
      </c>
      <c r="AO30" t="s">
        <v>21</v>
      </c>
      <c r="AP30" t="s">
        <v>3392</v>
      </c>
      <c r="AQ30"/>
      <c r="AR30" t="s">
        <v>3393</v>
      </c>
    </row>
    <row r="31" spans="1:44" s="2887" customFormat="1" ht="12.75">
      <c r="A31" s="2885" t="s">
        <v>2824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3406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3405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3394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3395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3365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3362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3358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3357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3355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3354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3353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3343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2825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2826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2827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2828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2814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5" t="s">
        <v>452</v>
      </c>
      <c r="C1" s="3545"/>
      <c r="D1" s="3545"/>
      <c r="E1" s="3545"/>
      <c r="F1" s="3545"/>
      <c r="G1" s="3541" t="s">
        <v>453</v>
      </c>
      <c r="H1" s="3541"/>
      <c r="I1" s="3541"/>
      <c r="J1" s="3541"/>
      <c r="K1" s="3541"/>
      <c r="L1" s="3541"/>
      <c r="N1" s="3541" t="s">
        <v>454</v>
      </c>
      <c r="O1" s="3541"/>
      <c r="P1" s="3541"/>
      <c r="Q1" s="3541"/>
      <c r="S1" s="3541" t="s">
        <v>455</v>
      </c>
      <c r="T1" s="3541"/>
      <c r="U1" s="3541"/>
      <c r="V1" s="3541"/>
      <c r="X1" s="3540" t="s">
        <v>456</v>
      </c>
      <c r="Y1" s="3541"/>
      <c r="Z1" s="3541"/>
      <c r="AA1" s="3541"/>
      <c r="AB1" s="3541"/>
      <c r="AD1" s="3540" t="s">
        <v>457</v>
      </c>
      <c r="AE1" s="3541"/>
      <c r="AF1" s="3541"/>
      <c r="AG1" s="3541"/>
      <c r="AH1" s="354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5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5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6" t="str">
        <f>IF(项目基本情况!B9="房地产市场价值","估价结果一览表","结果表-2")</f>
        <v>结果表-2</v>
      </c>
      <c r="B1" s="3236"/>
      <c r="C1" s="3236"/>
      <c r="D1" s="3236"/>
      <c r="E1" s="3236"/>
      <c r="F1" s="3236"/>
      <c r="G1" s="3236"/>
      <c r="H1" s="3236"/>
      <c r="I1" s="3236"/>
    </row>
    <row r="2" spans="1:9" ht="30" customHeight="1" thickTop="1">
      <c r="A2" s="3237" t="s">
        <v>928</v>
      </c>
      <c r="B2" s="3237" t="s">
        <v>929</v>
      </c>
      <c r="C2" s="3237" t="s">
        <v>930</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
      <c r="A3" s="3232"/>
      <c r="B3" s="3232"/>
      <c r="C3" s="3232"/>
      <c r="D3" s="801" t="s">
        <v>925</v>
      </c>
      <c r="E3" s="801" t="s">
        <v>931</v>
      </c>
      <c r="F3" s="801" t="s">
        <v>925</v>
      </c>
      <c r="G3" s="801" t="s">
        <v>926</v>
      </c>
      <c r="H3" s="801" t="s">
        <v>925</v>
      </c>
      <c r="I3" s="801" t="s">
        <v>926</v>
      </c>
    </row>
    <row r="4" spans="1:9" ht="15">
      <c r="A4" s="1403" t="str">
        <f>项目基本情况!S2</f>
        <v>北京市房地产</v>
      </c>
      <c r="B4" s="801">
        <f>项目基本情况!C17</f>
        <v>99989.78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2" t="s">
        <v>927</v>
      </c>
      <c r="B5" s="3232"/>
      <c r="C5" s="3232"/>
      <c r="D5" s="3232" t="e">
        <f ca="1">结果表!D119</f>
        <v>#REF!</v>
      </c>
      <c r="E5" s="3232"/>
      <c r="F5" s="3232" t="e">
        <f ca="1">结果表!F119</f>
        <v>#REF!</v>
      </c>
      <c r="G5" s="3232"/>
      <c r="H5" s="3232" t="e">
        <f ca="1">结果表!H119</f>
        <v>#REF!</v>
      </c>
      <c r="I5" s="3232"/>
    </row>
    <row r="6" spans="1:9" ht="15.75">
      <c r="A6" s="3231" t="str">
        <f>结果表!A120</f>
        <v>估价师知悉的法定优先受偿款</v>
      </c>
      <c r="B6" s="3231"/>
      <c r="C6" s="3231"/>
      <c r="D6" s="3231">
        <f>结果表!D120</f>
        <v>0</v>
      </c>
      <c r="E6" s="3231"/>
      <c r="F6" s="3231"/>
      <c r="G6" s="3231"/>
      <c r="H6" s="3231"/>
      <c r="I6" s="3231"/>
    </row>
    <row r="7" spans="1:9" ht="15">
      <c r="A7" s="3232" t="s">
        <v>927</v>
      </c>
      <c r="B7" s="3232"/>
      <c r="C7" s="3232"/>
      <c r="D7" s="3233" t="str">
        <f>结果表!D121</f>
        <v>零元整</v>
      </c>
      <c r="E7" s="3234"/>
      <c r="F7" s="3234"/>
      <c r="G7" s="3234"/>
      <c r="H7" s="3234"/>
      <c r="I7" s="3235"/>
    </row>
    <row r="8" spans="1:9" ht="15.75">
      <c r="A8" s="3231" t="str">
        <f>结果表!A122</f>
        <v>房地产抵押价值</v>
      </c>
      <c r="B8" s="3231"/>
      <c r="C8" s="3231"/>
      <c r="D8" s="3231" t="e">
        <f ca="1">结果表!D122</f>
        <v>#REF!</v>
      </c>
      <c r="E8" s="3231"/>
      <c r="F8" s="3231"/>
      <c r="G8" s="3231"/>
      <c r="H8" s="3231"/>
      <c r="I8" s="3231"/>
    </row>
    <row r="9" spans="1:9" ht="15">
      <c r="A9" s="3232" t="s">
        <v>927</v>
      </c>
      <c r="B9" s="3232"/>
      <c r="C9" s="3232"/>
      <c r="D9" s="3232" t="e">
        <f ca="1">结果表!D123</f>
        <v>#REF!</v>
      </c>
      <c r="E9" s="3232"/>
      <c r="F9" s="3232"/>
      <c r="G9" s="3232"/>
      <c r="H9" s="3232"/>
      <c r="I9" s="3232"/>
    </row>
    <row r="10" spans="1:9" ht="15.75">
      <c r="A10" s="3231" t="str">
        <f>结果表!A124</f>
        <v/>
      </c>
      <c r="B10" s="3231"/>
      <c r="C10" s="3231"/>
      <c r="D10" s="3231" t="str">
        <f>结果表!D124</f>
        <v>——</v>
      </c>
      <c r="E10" s="3231"/>
      <c r="F10" s="3231"/>
      <c r="G10" s="3231"/>
      <c r="H10" s="3231"/>
      <c r="I10" s="3231"/>
    </row>
    <row r="11" spans="1:9" ht="15">
      <c r="A11" s="3232" t="s">
        <v>927</v>
      </c>
      <c r="B11" s="3232"/>
      <c r="C11" s="3232"/>
      <c r="D11" s="3232" t="e">
        <f>结果表!D125</f>
        <v>#VALUE!</v>
      </c>
      <c r="E11" s="3232"/>
      <c r="F11" s="3232"/>
      <c r="G11" s="3232"/>
      <c r="H11" s="3232"/>
      <c r="I11" s="3232"/>
    </row>
    <row r="12" spans="1:9" ht="15.75">
      <c r="A12" s="3231" t="str">
        <f>结果表!A126</f>
        <v/>
      </c>
      <c r="B12" s="3231"/>
      <c r="C12" s="3231"/>
      <c r="D12" s="3231" t="str">
        <f>结果表!D126</f>
        <v>——</v>
      </c>
      <c r="E12" s="3231"/>
      <c r="F12" s="3231"/>
      <c r="G12" s="3231"/>
      <c r="H12" s="3231"/>
      <c r="I12" s="3231"/>
    </row>
    <row r="13" spans="1:9" ht="15.75" thickBot="1">
      <c r="A13" s="3229" t="s">
        <v>927</v>
      </c>
      <c r="B13" s="3229"/>
      <c r="C13" s="3229"/>
      <c r="D13" s="3229" t="e">
        <f>结果表!D127</f>
        <v>#VALUE!</v>
      </c>
      <c r="E13" s="3229"/>
      <c r="F13" s="3229"/>
      <c r="G13" s="3229"/>
      <c r="H13" s="3229"/>
      <c r="I13" s="3229"/>
    </row>
    <row r="14" spans="1:9" ht="15" thickTop="1">
      <c r="A14" s="3230" t="s">
        <v>932</v>
      </c>
      <c r="B14" s="3230"/>
      <c r="C14" s="3230"/>
      <c r="D14" s="3230"/>
      <c r="E14" s="3230"/>
      <c r="F14" s="3230"/>
      <c r="G14" s="3230"/>
      <c r="H14" s="3230"/>
      <c r="I14" s="323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53" t="s">
        <v>2829</v>
      </c>
      <c r="B1" s="3553"/>
      <c r="C1" s="3553"/>
      <c r="D1" s="3553"/>
      <c r="E1" s="3553"/>
      <c r="F1" s="3553"/>
      <c r="G1" s="3554"/>
      <c r="I1" s="2939" t="s">
        <v>2830</v>
      </c>
      <c r="J1" s="2940" t="s">
        <v>2831</v>
      </c>
      <c r="K1" s="2940" t="s">
        <v>2832</v>
      </c>
      <c r="L1" s="2940" t="s">
        <v>2833</v>
      </c>
      <c r="M1" s="2940" t="s">
        <v>2834</v>
      </c>
      <c r="N1" s="2940" t="s">
        <v>2835</v>
      </c>
      <c r="O1" s="2940" t="s">
        <v>2836</v>
      </c>
      <c r="P1" s="2940" t="s">
        <v>2837</v>
      </c>
      <c r="Q1" s="2940" t="s">
        <v>2838</v>
      </c>
      <c r="R1" s="2940" t="s">
        <v>2839</v>
      </c>
      <c r="S1" s="2940" t="s">
        <v>2840</v>
      </c>
      <c r="T1" s="2941" t="s">
        <v>2841</v>
      </c>
    </row>
    <row r="2" spans="1:20" ht="12" thickBot="1">
      <c r="A2" s="2942" t="s">
        <v>2842</v>
      </c>
      <c r="B2" s="2942"/>
      <c r="C2" s="2942"/>
      <c r="D2" s="2942"/>
      <c r="E2" s="2942"/>
      <c r="F2" s="2942"/>
      <c r="G2" s="2943" t="s">
        <v>2843</v>
      </c>
      <c r="I2" s="2944" t="s">
        <v>2844</v>
      </c>
      <c r="J2" s="2944" t="s">
        <v>2845</v>
      </c>
      <c r="K2" s="2944" t="s">
        <v>2846</v>
      </c>
      <c r="L2" s="2944" t="s">
        <v>2847</v>
      </c>
      <c r="M2" s="2944" t="s">
        <v>2848</v>
      </c>
      <c r="N2" s="2944" t="s">
        <v>2849</v>
      </c>
      <c r="O2" s="2944" t="s">
        <v>2850</v>
      </c>
      <c r="P2" s="2944" t="s">
        <v>2851</v>
      </c>
      <c r="Q2" s="2944" t="s">
        <v>2852</v>
      </c>
      <c r="R2" s="2944" t="s">
        <v>2853</v>
      </c>
      <c r="S2" s="2944" t="s">
        <v>2854</v>
      </c>
      <c r="T2" s="2944" t="s">
        <v>2855</v>
      </c>
    </row>
    <row r="3" spans="1:20" s="2950" customFormat="1">
      <c r="A3" s="3551" t="s">
        <v>2856</v>
      </c>
      <c r="B3" s="2945"/>
      <c r="C3" s="2946" t="s">
        <v>2801</v>
      </c>
      <c r="D3" s="2946" t="s">
        <v>2857</v>
      </c>
      <c r="E3" s="2946" t="s">
        <v>2803</v>
      </c>
      <c r="F3" s="2946" t="s">
        <v>2858</v>
      </c>
      <c r="G3" s="2946" t="s">
        <v>2621</v>
      </c>
      <c r="H3" s="2947"/>
      <c r="I3" s="2948" t="s">
        <v>2859</v>
      </c>
      <c r="J3" s="2949" t="s">
        <v>128</v>
      </c>
      <c r="K3" s="2949" t="s">
        <v>129</v>
      </c>
      <c r="L3" s="2948" t="s">
        <v>130</v>
      </c>
      <c r="M3" s="2948" t="s">
        <v>131</v>
      </c>
      <c r="N3" s="2948" t="s">
        <v>132</v>
      </c>
      <c r="O3" s="2948" t="s">
        <v>133</v>
      </c>
      <c r="P3" s="2948" t="s">
        <v>134</v>
      </c>
      <c r="Q3" s="2948" t="s">
        <v>135</v>
      </c>
      <c r="R3" s="2948" t="s">
        <v>136</v>
      </c>
      <c r="S3" s="2948" t="s">
        <v>2860</v>
      </c>
      <c r="T3" s="2948" t="s">
        <v>2861</v>
      </c>
    </row>
    <row r="4" spans="1:20" s="2950" customFormat="1" ht="12" thickBot="1">
      <c r="A4" s="3552"/>
      <c r="B4" s="2951" t="s">
        <v>2862</v>
      </c>
      <c r="C4" s="2951" t="s">
        <v>2863</v>
      </c>
      <c r="D4" s="2951" t="s">
        <v>2863</v>
      </c>
      <c r="E4" s="2951" t="s">
        <v>2863</v>
      </c>
      <c r="F4" s="2952" t="s">
        <v>2863</v>
      </c>
      <c r="G4" s="2952" t="s">
        <v>2863</v>
      </c>
      <c r="H4" s="2947"/>
      <c r="I4" s="2949" t="s">
        <v>137</v>
      </c>
      <c r="J4" s="2949" t="s">
        <v>111</v>
      </c>
      <c r="K4" s="2949" t="s">
        <v>138</v>
      </c>
      <c r="L4" s="2948" t="s">
        <v>139</v>
      </c>
      <c r="M4" s="2948" t="s">
        <v>140</v>
      </c>
      <c r="N4" s="2948" t="s">
        <v>141</v>
      </c>
      <c r="O4" s="2948" t="s">
        <v>142</v>
      </c>
      <c r="P4" s="2948" t="s">
        <v>143</v>
      </c>
      <c r="Q4" s="2948" t="s">
        <v>2864</v>
      </c>
      <c r="R4" s="2948" t="s">
        <v>2865</v>
      </c>
      <c r="S4" s="2948" t="s">
        <v>2866</v>
      </c>
      <c r="T4" s="2948" t="s">
        <v>2867</v>
      </c>
    </row>
    <row r="5" spans="1:20">
      <c r="A5" s="2953" t="s">
        <v>2830</v>
      </c>
      <c r="B5" s="2944" t="s">
        <v>2844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2868</v>
      </c>
      <c r="R5" s="2948" t="s">
        <v>2869</v>
      </c>
      <c r="S5" s="2948" t="s">
        <v>153</v>
      </c>
      <c r="T5" s="2948" t="s">
        <v>2870</v>
      </c>
    </row>
    <row r="6" spans="1:20" ht="12" thickBot="1">
      <c r="A6" s="2948" t="s">
        <v>144</v>
      </c>
      <c r="B6" s="2948" t="s">
        <v>2859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2871</v>
      </c>
      <c r="Q6" s="2948" t="s">
        <v>2872</v>
      </c>
      <c r="R6" s="2948" t="s">
        <v>161</v>
      </c>
      <c r="S6" s="2948" t="s">
        <v>2873</v>
      </c>
      <c r="T6" s="2948" t="s">
        <v>2874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2875</v>
      </c>
      <c r="Q7" s="2948" t="s">
        <v>2876</v>
      </c>
      <c r="R7" s="2948" t="s">
        <v>2877</v>
      </c>
      <c r="S7" s="2948" t="s">
        <v>2878</v>
      </c>
      <c r="T7" s="2948" t="s">
        <v>2879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2880</v>
      </c>
      <c r="Q8" s="2948" t="s">
        <v>174</v>
      </c>
      <c r="R8" s="2948" t="s">
        <v>2881</v>
      </c>
      <c r="S8" s="2948" t="s">
        <v>2882</v>
      </c>
      <c r="T8" s="2955" t="s">
        <v>2883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2884</v>
      </c>
      <c r="Q9" s="2948" t="s">
        <v>182</v>
      </c>
      <c r="R9" s="2948" t="s">
        <v>183</v>
      </c>
      <c r="S9" s="2948" t="s">
        <v>200</v>
      </c>
    </row>
    <row r="10" spans="1:20">
      <c r="A10" s="2953" t="s">
        <v>184</v>
      </c>
      <c r="B10" s="2944" t="s">
        <v>2845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2886</v>
      </c>
      <c r="P11" s="2948" t="s">
        <v>191</v>
      </c>
      <c r="Q11" s="2948" t="s">
        <v>199</v>
      </c>
      <c r="R11" s="2948" t="s">
        <v>2887</v>
      </c>
      <c r="S11" s="2948" t="s">
        <v>2888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2889</v>
      </c>
      <c r="P12" s="2948" t="s">
        <v>2890</v>
      </c>
      <c r="Q12" s="2948" t="s">
        <v>2891</v>
      </c>
      <c r="R12" s="2948" t="s">
        <v>2892</v>
      </c>
      <c r="S12" s="2948" t="s">
        <v>2893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2895</v>
      </c>
      <c r="K14" s="2949" t="s">
        <v>215</v>
      </c>
      <c r="L14" s="2948" t="s">
        <v>216</v>
      </c>
      <c r="M14" s="2948" t="s">
        <v>217</v>
      </c>
      <c r="N14" s="2948" t="s">
        <v>218</v>
      </c>
      <c r="O14" s="2948" t="s">
        <v>240</v>
      </c>
      <c r="P14" s="2948" t="s">
        <v>213</v>
      </c>
      <c r="Q14" s="2948" t="s">
        <v>2896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2897</v>
      </c>
      <c r="P15" s="2948" t="s">
        <v>2898</v>
      </c>
      <c r="Q15" s="2948" t="s">
        <v>242</v>
      </c>
      <c r="R15" s="2948" t="s">
        <v>2899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2900</v>
      </c>
      <c r="P16" s="2948" t="s">
        <v>227</v>
      </c>
      <c r="Q16" s="2948" t="s">
        <v>250</v>
      </c>
      <c r="R16" s="2948" t="s">
        <v>207</v>
      </c>
      <c r="S16" s="2948" t="s">
        <v>2901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2902</v>
      </c>
      <c r="P17" s="2948" t="s">
        <v>2903</v>
      </c>
      <c r="Q17" s="2948" t="s">
        <v>256</v>
      </c>
      <c r="R17" s="2948" t="s">
        <v>2904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2905</v>
      </c>
      <c r="P18" s="2948" t="s">
        <v>241</v>
      </c>
      <c r="Q18" s="2948" t="s">
        <v>2906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2907</v>
      </c>
      <c r="P19" s="2948" t="s">
        <v>249</v>
      </c>
      <c r="Q19" s="2948" t="s">
        <v>2908</v>
      </c>
      <c r="R19" s="2948" t="s">
        <v>265</v>
      </c>
      <c r="S19" s="2948" t="s">
        <v>2909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2910</v>
      </c>
      <c r="P20" s="2948" t="s">
        <v>2911</v>
      </c>
      <c r="Q20" s="2948" t="s">
        <v>290</v>
      </c>
      <c r="R20" s="2948" t="s">
        <v>2912</v>
      </c>
      <c r="S20" s="2948" t="s">
        <v>277</v>
      </c>
    </row>
    <row r="21" spans="1:19" ht="14.25" customHeight="1" thickBot="1">
      <c r="A21" s="2948" t="s">
        <v>184</v>
      </c>
      <c r="B21" s="2949" t="s">
        <v>208</v>
      </c>
      <c r="C21" s="2948">
        <v>32370</v>
      </c>
      <c r="D21" s="2948">
        <v>26730</v>
      </c>
      <c r="E21" s="2948">
        <v>26640</v>
      </c>
      <c r="F21" s="2948"/>
      <c r="G21" s="2948">
        <v>19440</v>
      </c>
      <c r="J21" s="2955" t="s">
        <v>2913</v>
      </c>
      <c r="K21" s="2949" t="s">
        <v>267</v>
      </c>
      <c r="L21" s="2948" t="s">
        <v>268</v>
      </c>
      <c r="M21" s="2948" t="s">
        <v>269</v>
      </c>
      <c r="N21" s="2948" t="s">
        <v>270</v>
      </c>
      <c r="O21" s="2948" t="s">
        <v>264</v>
      </c>
      <c r="P21" s="2948" t="s">
        <v>283</v>
      </c>
      <c r="Q21" s="2948" t="s">
        <v>293</v>
      </c>
      <c r="R21" s="2948" t="s">
        <v>2914</v>
      </c>
      <c r="S21" s="2955" t="s">
        <v>2915</v>
      </c>
    </row>
    <row r="22" spans="1:19" ht="14.25" customHeight="1">
      <c r="A22" s="2948" t="s">
        <v>184</v>
      </c>
      <c r="B22" s="2949" t="s">
        <v>2895</v>
      </c>
      <c r="C22" s="2948">
        <v>29830</v>
      </c>
      <c r="D22" s="2948">
        <v>27600</v>
      </c>
      <c r="E22" s="2948">
        <v>28150</v>
      </c>
      <c r="F22" s="2948"/>
      <c r="G22" s="2948">
        <v>20080</v>
      </c>
      <c r="K22" s="2949" t="s">
        <v>2916</v>
      </c>
      <c r="L22" s="2948" t="s">
        <v>272</v>
      </c>
      <c r="M22" s="2948" t="s">
        <v>273</v>
      </c>
      <c r="N22" s="2948" t="s">
        <v>274</v>
      </c>
      <c r="O22" s="2948" t="s">
        <v>2917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2918</v>
      </c>
      <c r="L23" s="2948" t="s">
        <v>278</v>
      </c>
      <c r="M23" s="2948" t="s">
        <v>279</v>
      </c>
      <c r="N23" s="2948" t="s">
        <v>2919</v>
      </c>
      <c r="O23" s="2948" t="s">
        <v>2920</v>
      </c>
      <c r="P23" s="2948" t="s">
        <v>289</v>
      </c>
      <c r="Q23" s="2948" t="s">
        <v>298</v>
      </c>
      <c r="R23" s="2948" t="s">
        <v>2921</v>
      </c>
    </row>
    <row r="24" spans="1:19" ht="14.25" customHeight="1">
      <c r="A24" s="2948" t="s">
        <v>184</v>
      </c>
      <c r="B24" s="2949" t="s">
        <v>230</v>
      </c>
      <c r="C24" s="2948">
        <v>27930</v>
      </c>
      <c r="D24" s="2948">
        <v>32260</v>
      </c>
      <c r="E24" s="2948">
        <v>32120</v>
      </c>
      <c r="F24" s="2948"/>
      <c r="G24" s="2948">
        <v>23470</v>
      </c>
      <c r="K24" s="2949" t="s">
        <v>2922</v>
      </c>
      <c r="L24" s="2948" t="s">
        <v>281</v>
      </c>
      <c r="M24" s="2948" t="s">
        <v>282</v>
      </c>
      <c r="N24" s="2948" t="s">
        <v>2923</v>
      </c>
      <c r="O24" s="2948" t="s">
        <v>285</v>
      </c>
      <c r="P24" s="2948" t="s">
        <v>2924</v>
      </c>
      <c r="Q24" s="2957" t="s">
        <v>2925</v>
      </c>
      <c r="R24" s="2948" t="s">
        <v>2926</v>
      </c>
    </row>
    <row r="25" spans="1:19" ht="14.25" customHeight="1">
      <c r="A25" s="2948" t="s">
        <v>184</v>
      </c>
      <c r="B25" s="2949" t="s">
        <v>235</v>
      </c>
      <c r="C25" s="2948">
        <v>32230</v>
      </c>
      <c r="D25" s="2948">
        <v>29640</v>
      </c>
      <c r="E25" s="2948">
        <v>29510</v>
      </c>
      <c r="F25" s="2948"/>
      <c r="G25" s="2948">
        <v>21560</v>
      </c>
      <c r="K25" s="2949" t="s">
        <v>2927</v>
      </c>
      <c r="L25" s="2948" t="s">
        <v>2928</v>
      </c>
      <c r="M25" s="2948" t="s">
        <v>284</v>
      </c>
      <c r="N25" s="2948" t="s">
        <v>292</v>
      </c>
      <c r="O25" s="2948" t="s">
        <v>288</v>
      </c>
      <c r="P25" s="2948" t="s">
        <v>275</v>
      </c>
      <c r="Q25" s="2957" t="s">
        <v>271</v>
      </c>
      <c r="R25" s="2948" t="s">
        <v>2929</v>
      </c>
    </row>
    <row r="26" spans="1:19" ht="14.25" customHeight="1" thickBot="1">
      <c r="A26" s="2948" t="s">
        <v>184</v>
      </c>
      <c r="B26" s="2949" t="s">
        <v>244</v>
      </c>
      <c r="C26" s="2948">
        <v>31690</v>
      </c>
      <c r="D26" s="2948">
        <v>27650</v>
      </c>
      <c r="E26" s="2948">
        <v>28200</v>
      </c>
      <c r="F26" s="2948"/>
      <c r="G26" s="2948">
        <v>20110</v>
      </c>
      <c r="K26" s="2954" t="s">
        <v>2930</v>
      </c>
      <c r="L26" s="2948" t="s">
        <v>2931</v>
      </c>
      <c r="M26" s="2948" t="s">
        <v>287</v>
      </c>
      <c r="N26" s="2948" t="s">
        <v>294</v>
      </c>
      <c r="O26" s="2948" t="s">
        <v>2932</v>
      </c>
      <c r="P26" s="2948" t="s">
        <v>2933</v>
      </c>
      <c r="Q26" s="2957" t="s">
        <v>276</v>
      </c>
      <c r="R26" s="2948" t="s">
        <v>2934</v>
      </c>
    </row>
    <row r="27" spans="1:19" ht="14.25" customHeight="1">
      <c r="A27" s="2948" t="s">
        <v>184</v>
      </c>
      <c r="B27" s="2949" t="s">
        <v>251</v>
      </c>
      <c r="C27" s="2948">
        <v>29610</v>
      </c>
      <c r="D27" s="2948">
        <v>27770</v>
      </c>
      <c r="E27" s="2948">
        <v>28300</v>
      </c>
      <c r="F27" s="2948"/>
      <c r="G27" s="2948">
        <v>20210</v>
      </c>
      <c r="L27" s="2948" t="s">
        <v>2935</v>
      </c>
      <c r="M27" s="2948" t="s">
        <v>291</v>
      </c>
      <c r="N27" s="2948" t="s">
        <v>297</v>
      </c>
      <c r="O27" s="2948" t="s">
        <v>2936</v>
      </c>
      <c r="P27" s="2948" t="s">
        <v>2937</v>
      </c>
      <c r="Q27" s="2948" t="s">
        <v>2938</v>
      </c>
      <c r="R27" s="2948" t="s">
        <v>2939</v>
      </c>
    </row>
    <row r="28" spans="1:19" ht="14.25" customHeight="1">
      <c r="A28" s="2948" t="s">
        <v>184</v>
      </c>
      <c r="B28" s="2949" t="s">
        <v>259</v>
      </c>
      <c r="C28" s="2948"/>
      <c r="D28" s="2948">
        <v>31520</v>
      </c>
      <c r="E28" s="2948">
        <v>31410</v>
      </c>
      <c r="F28" s="2948"/>
      <c r="G28" s="2948">
        <v>22940</v>
      </c>
      <c r="L28" s="2948" t="s">
        <v>2940</v>
      </c>
      <c r="M28" s="2948" t="s">
        <v>2941</v>
      </c>
      <c r="N28" s="2948" t="s">
        <v>2942</v>
      </c>
      <c r="O28" s="2948" t="s">
        <v>2943</v>
      </c>
      <c r="P28" s="2948" t="s">
        <v>2944</v>
      </c>
      <c r="Q28" s="2948" t="s">
        <v>2945</v>
      </c>
      <c r="R28" s="2948" t="s">
        <v>2946</v>
      </c>
    </row>
    <row r="29" spans="1:19" ht="14.25" customHeight="1" thickBot="1">
      <c r="A29" s="2956" t="s">
        <v>184</v>
      </c>
      <c r="B29" s="2958" t="s">
        <v>2913</v>
      </c>
      <c r="C29" s="2959"/>
      <c r="D29" s="2959">
        <v>29460</v>
      </c>
      <c r="E29" s="2959">
        <v>28640</v>
      </c>
      <c r="F29" s="2959"/>
      <c r="G29" s="2959">
        <v>21430</v>
      </c>
      <c r="L29" s="2948" t="s">
        <v>2947</v>
      </c>
      <c r="M29" s="2948" t="s">
        <v>2948</v>
      </c>
      <c r="N29" s="2948" t="s">
        <v>2949</v>
      </c>
      <c r="O29" s="2948" t="s">
        <v>2950</v>
      </c>
      <c r="P29" s="2948" t="s">
        <v>2951</v>
      </c>
      <c r="Q29" s="2948" t="s">
        <v>2952</v>
      </c>
      <c r="R29" s="2948" t="s">
        <v>280</v>
      </c>
    </row>
    <row r="30" spans="1:19" ht="14.25" customHeight="1">
      <c r="A30" s="2953" t="s">
        <v>296</v>
      </c>
      <c r="B30" s="2944" t="s">
        <v>2846</v>
      </c>
      <c r="C30" s="2944">
        <v>26890</v>
      </c>
      <c r="D30" s="2944">
        <v>26770</v>
      </c>
      <c r="E30" s="2944">
        <v>25700</v>
      </c>
      <c r="F30" s="2944">
        <v>8180</v>
      </c>
      <c r="G30" s="2960">
        <v>18740</v>
      </c>
      <c r="L30" s="2948" t="s">
        <v>2953</v>
      </c>
      <c r="M30" s="2948" t="s">
        <v>2954</v>
      </c>
      <c r="N30" s="2948" t="s">
        <v>2955</v>
      </c>
      <c r="O30" s="2948" t="s">
        <v>2956</v>
      </c>
      <c r="P30" s="2948" t="s">
        <v>2957</v>
      </c>
      <c r="Q30" s="2948" t="s">
        <v>2958</v>
      </c>
      <c r="R30" s="2948" t="s">
        <v>2959</v>
      </c>
    </row>
    <row r="31" spans="1:19" ht="14.25" customHeight="1">
      <c r="A31" s="2948" t="s">
        <v>296</v>
      </c>
      <c r="B31" s="2949" t="s">
        <v>129</v>
      </c>
      <c r="C31" s="2948">
        <v>24550</v>
      </c>
      <c r="D31" s="2948">
        <v>23990</v>
      </c>
      <c r="E31" s="2948">
        <v>22930</v>
      </c>
      <c r="F31" s="2948">
        <v>7470</v>
      </c>
      <c r="G31" s="2961">
        <v>16790</v>
      </c>
      <c r="L31" s="2948" t="s">
        <v>2960</v>
      </c>
      <c r="M31" s="2948" t="s">
        <v>2961</v>
      </c>
      <c r="N31" s="2948" t="s">
        <v>2962</v>
      </c>
      <c r="O31" s="2948" t="s">
        <v>2963</v>
      </c>
      <c r="P31" s="2948" t="s">
        <v>2964</v>
      </c>
      <c r="Q31" s="2948" t="s">
        <v>2965</v>
      </c>
      <c r="R31" s="2948" t="s">
        <v>2966</v>
      </c>
    </row>
    <row r="32" spans="1:19" ht="14.25" customHeight="1" thickBot="1">
      <c r="A32" s="2948" t="s">
        <v>296</v>
      </c>
      <c r="B32" s="2949" t="s">
        <v>138</v>
      </c>
      <c r="C32" s="2948">
        <v>27210</v>
      </c>
      <c r="D32" s="2948">
        <v>23240</v>
      </c>
      <c r="E32" s="2948">
        <v>23260</v>
      </c>
      <c r="F32" s="2948">
        <v>7130</v>
      </c>
      <c r="G32" s="2961">
        <v>16270</v>
      </c>
      <c r="L32" s="2948" t="s">
        <v>2967</v>
      </c>
      <c r="M32" s="2948" t="s">
        <v>2968</v>
      </c>
      <c r="N32" s="2948" t="s">
        <v>300</v>
      </c>
      <c r="O32" s="2948" t="s">
        <v>2969</v>
      </c>
      <c r="P32" s="2948" t="s">
        <v>299</v>
      </c>
      <c r="Q32" s="2948" t="s">
        <v>2970</v>
      </c>
      <c r="R32" s="2955" t="s">
        <v>2971</v>
      </c>
    </row>
    <row r="33" spans="1:17" ht="14.25" customHeight="1" thickBot="1">
      <c r="A33" s="2948" t="s">
        <v>296</v>
      </c>
      <c r="B33" s="2949" t="s">
        <v>147</v>
      </c>
      <c r="C33" s="2948">
        <v>27300</v>
      </c>
      <c r="D33" s="2948">
        <v>22980</v>
      </c>
      <c r="E33" s="2948">
        <v>24260</v>
      </c>
      <c r="F33" s="2948">
        <v>5860</v>
      </c>
      <c r="G33" s="2961">
        <v>16090</v>
      </c>
      <c r="L33" s="2955" t="s">
        <v>2972</v>
      </c>
      <c r="M33" s="2948" t="s">
        <v>2973</v>
      </c>
      <c r="N33" s="2948" t="s">
        <v>301</v>
      </c>
      <c r="O33" s="2948" t="s">
        <v>2974</v>
      </c>
      <c r="P33" s="2948" t="s">
        <v>2975</v>
      </c>
      <c r="Q33" s="2948" t="s">
        <v>2976</v>
      </c>
    </row>
    <row r="34" spans="1:17" ht="14.25" customHeight="1">
      <c r="A34" s="2948" t="s">
        <v>296</v>
      </c>
      <c r="B34" s="2949" t="s">
        <v>156</v>
      </c>
      <c r="C34" s="2948">
        <v>23090</v>
      </c>
      <c r="D34" s="2948">
        <v>23390</v>
      </c>
      <c r="E34" s="2948">
        <v>23510</v>
      </c>
      <c r="F34" s="2948">
        <v>6700</v>
      </c>
      <c r="G34" s="2961">
        <v>16370</v>
      </c>
      <c r="M34" s="2948" t="s">
        <v>2977</v>
      </c>
      <c r="N34" s="2948" t="s">
        <v>302</v>
      </c>
      <c r="O34" s="2948" t="s">
        <v>2978</v>
      </c>
      <c r="P34" s="2948" t="s">
        <v>2979</v>
      </c>
      <c r="Q34" s="2948" t="s">
        <v>2980</v>
      </c>
    </row>
    <row r="35" spans="1:17" ht="14.25" customHeight="1">
      <c r="A35" s="2948" t="s">
        <v>296</v>
      </c>
      <c r="B35" s="2949" t="s">
        <v>163</v>
      </c>
      <c r="C35" s="2948">
        <v>27270</v>
      </c>
      <c r="D35" s="2948">
        <v>24270</v>
      </c>
      <c r="E35" s="2948">
        <v>24950</v>
      </c>
      <c r="F35" s="2948">
        <v>6600</v>
      </c>
      <c r="G35" s="2961">
        <v>16990</v>
      </c>
      <c r="M35" s="2948" t="s">
        <v>2981</v>
      </c>
      <c r="N35" s="2948" t="s">
        <v>2982</v>
      </c>
      <c r="O35" s="2948" t="s">
        <v>2983</v>
      </c>
      <c r="P35" s="2948" t="s">
        <v>2984</v>
      </c>
      <c r="Q35" s="2948" t="s">
        <v>2985</v>
      </c>
    </row>
    <row r="36" spans="1:17" ht="14.25" customHeight="1">
      <c r="A36" s="2948" t="s">
        <v>296</v>
      </c>
      <c r="B36" s="2949" t="s">
        <v>169</v>
      </c>
      <c r="C36" s="2948">
        <v>23490</v>
      </c>
      <c r="D36" s="2948">
        <v>23020</v>
      </c>
      <c r="E36" s="2948">
        <v>25230</v>
      </c>
      <c r="F36" s="2948">
        <v>6780</v>
      </c>
      <c r="G36" s="2961">
        <v>16120</v>
      </c>
      <c r="M36" s="2948" t="s">
        <v>2986</v>
      </c>
      <c r="N36" s="2948" t="s">
        <v>2987</v>
      </c>
      <c r="O36" s="2948" t="s">
        <v>2988</v>
      </c>
      <c r="P36" s="2948" t="s">
        <v>2989</v>
      </c>
      <c r="Q36" s="2948" t="s">
        <v>2990</v>
      </c>
    </row>
    <row r="37" spans="1:17" ht="14.25" customHeight="1">
      <c r="A37" s="2948" t="s">
        <v>296</v>
      </c>
      <c r="B37" s="2949" t="s">
        <v>176</v>
      </c>
      <c r="C37" s="2948">
        <v>24380</v>
      </c>
      <c r="D37" s="2948">
        <v>22240</v>
      </c>
      <c r="E37" s="2948">
        <v>25980</v>
      </c>
      <c r="F37" s="2948">
        <v>8160</v>
      </c>
      <c r="G37" s="2961">
        <v>15570</v>
      </c>
      <c r="M37" s="2948" t="s">
        <v>2991</v>
      </c>
      <c r="N37" s="2948" t="s">
        <v>2992</v>
      </c>
      <c r="O37" s="2948" t="s">
        <v>2993</v>
      </c>
      <c r="P37" s="2948" t="s">
        <v>2994</v>
      </c>
      <c r="Q37" s="2948" t="s">
        <v>2995</v>
      </c>
    </row>
    <row r="38" spans="1:17" ht="14.25" customHeight="1">
      <c r="A38" s="2948" t="s">
        <v>296</v>
      </c>
      <c r="B38" s="2949" t="s">
        <v>186</v>
      </c>
      <c r="C38" s="2948">
        <v>23120</v>
      </c>
      <c r="D38" s="2948">
        <v>24630</v>
      </c>
      <c r="E38" s="2948">
        <v>25030</v>
      </c>
      <c r="F38" s="2948">
        <v>7710</v>
      </c>
      <c r="G38" s="2961">
        <v>17240</v>
      </c>
      <c r="M38" s="2948" t="s">
        <v>2996</v>
      </c>
      <c r="N38" s="2948" t="s">
        <v>2997</v>
      </c>
      <c r="O38" s="2948" t="s">
        <v>2998</v>
      </c>
      <c r="P38" s="2948" t="s">
        <v>2999</v>
      </c>
      <c r="Q38" s="2948" t="s">
        <v>3000</v>
      </c>
    </row>
    <row r="39" spans="1:17" ht="14.25" customHeight="1">
      <c r="A39" s="2948" t="s">
        <v>296</v>
      </c>
      <c r="B39" s="2949" t="s">
        <v>195</v>
      </c>
      <c r="C39" s="2948">
        <v>22330</v>
      </c>
      <c r="D39" s="2948">
        <v>21140</v>
      </c>
      <c r="E39" s="2948">
        <v>23970</v>
      </c>
      <c r="F39" s="2948">
        <v>7940</v>
      </c>
      <c r="G39" s="2961">
        <v>14790</v>
      </c>
      <c r="M39" s="2948" t="s">
        <v>3001</v>
      </c>
      <c r="N39" s="2948" t="s">
        <v>3002</v>
      </c>
      <c r="O39" s="2948" t="s">
        <v>3003</v>
      </c>
      <c r="P39" s="2948" t="s">
        <v>3004</v>
      </c>
      <c r="Q39" s="2948" t="s">
        <v>3005</v>
      </c>
    </row>
    <row r="40" spans="1:17" ht="14.25" customHeight="1">
      <c r="A40" s="2948" t="s">
        <v>296</v>
      </c>
      <c r="B40" s="2949" t="s">
        <v>202</v>
      </c>
      <c r="C40" s="2948">
        <v>24740</v>
      </c>
      <c r="D40" s="2948">
        <v>24690</v>
      </c>
      <c r="E40" s="2948">
        <v>22610</v>
      </c>
      <c r="F40" s="2948"/>
      <c r="G40" s="2961">
        <v>17280</v>
      </c>
      <c r="M40" s="2948" t="s">
        <v>3006</v>
      </c>
      <c r="N40" s="2948" t="s">
        <v>3007</v>
      </c>
      <c r="O40" s="2948" t="s">
        <v>3008</v>
      </c>
      <c r="P40" s="2948" t="s">
        <v>3009</v>
      </c>
      <c r="Q40" s="2948" t="s">
        <v>3010</v>
      </c>
    </row>
    <row r="41" spans="1:17" ht="14.25" customHeight="1" thickBot="1">
      <c r="A41" s="2948" t="s">
        <v>296</v>
      </c>
      <c r="B41" s="2949" t="s">
        <v>209</v>
      </c>
      <c r="C41" s="2948">
        <v>21220</v>
      </c>
      <c r="D41" s="2948">
        <v>21120</v>
      </c>
      <c r="E41" s="2948">
        <v>22590</v>
      </c>
      <c r="F41" s="2948"/>
      <c r="G41" s="2961">
        <v>14780</v>
      </c>
      <c r="M41" s="2955" t="s">
        <v>3011</v>
      </c>
      <c r="N41" s="2948" t="s">
        <v>3012</v>
      </c>
      <c r="O41" s="2948" t="s">
        <v>3013</v>
      </c>
      <c r="P41" s="2948" t="s">
        <v>3014</v>
      </c>
      <c r="Q41" s="2948" t="s">
        <v>3015</v>
      </c>
    </row>
    <row r="42" spans="1:17" ht="14.25" customHeight="1">
      <c r="A42" s="2948" t="s">
        <v>296</v>
      </c>
      <c r="B42" s="2949" t="s">
        <v>215</v>
      </c>
      <c r="C42" s="2948">
        <v>24800</v>
      </c>
      <c r="D42" s="2948">
        <v>22280</v>
      </c>
      <c r="E42" s="2948">
        <v>24350</v>
      </c>
      <c r="F42" s="2948"/>
      <c r="G42" s="2961">
        <v>15590</v>
      </c>
      <c r="N42" s="2948" t="s">
        <v>3016</v>
      </c>
      <c r="O42" s="2948" t="s">
        <v>3017</v>
      </c>
      <c r="P42" s="2948" t="s">
        <v>3018</v>
      </c>
      <c r="Q42" s="2948" t="s">
        <v>3019</v>
      </c>
    </row>
    <row r="43" spans="1:17" ht="14.25" customHeight="1">
      <c r="A43" s="2948" t="s">
        <v>3020</v>
      </c>
      <c r="B43" s="2949" t="s">
        <v>223</v>
      </c>
      <c r="C43" s="2948">
        <v>21210</v>
      </c>
      <c r="D43" s="2948">
        <v>21160</v>
      </c>
      <c r="E43" s="2948">
        <v>22650</v>
      </c>
      <c r="F43" s="2948"/>
      <c r="G43" s="2961">
        <v>14800</v>
      </c>
      <c r="N43" s="2948" t="s">
        <v>3021</v>
      </c>
      <c r="O43" s="2948" t="s">
        <v>3022</v>
      </c>
      <c r="P43" s="2948" t="s">
        <v>3023</v>
      </c>
      <c r="Q43" s="2948" t="s">
        <v>3024</v>
      </c>
    </row>
    <row r="44" spans="1:17" ht="14.25" customHeight="1" thickBot="1">
      <c r="A44" s="2948" t="s">
        <v>296</v>
      </c>
      <c r="B44" s="2949" t="s">
        <v>231</v>
      </c>
      <c r="C44" s="2948">
        <v>22370</v>
      </c>
      <c r="D44" s="2948">
        <v>23140</v>
      </c>
      <c r="E44" s="2948">
        <v>25090</v>
      </c>
      <c r="F44" s="2948"/>
      <c r="G44" s="2961">
        <v>16190</v>
      </c>
      <c r="N44" s="2948" t="s">
        <v>3025</v>
      </c>
      <c r="O44" s="2948" t="s">
        <v>3026</v>
      </c>
      <c r="P44" s="2955" t="s">
        <v>3027</v>
      </c>
      <c r="Q44" s="2948" t="s">
        <v>3028</v>
      </c>
    </row>
    <row r="45" spans="1:17" ht="14.25" customHeight="1" thickBot="1">
      <c r="A45" s="2948" t="s">
        <v>296</v>
      </c>
      <c r="B45" s="2949" t="s">
        <v>236</v>
      </c>
      <c r="C45" s="2948">
        <v>21240</v>
      </c>
      <c r="D45" s="2948">
        <v>27050</v>
      </c>
      <c r="E45" s="2948">
        <v>28000</v>
      </c>
      <c r="F45" s="2948"/>
      <c r="G45" s="2961">
        <v>18940</v>
      </c>
      <c r="N45" s="2948" t="s">
        <v>3029</v>
      </c>
      <c r="O45" s="2955" t="s">
        <v>3030</v>
      </c>
      <c r="Q45" s="2948" t="s">
        <v>3031</v>
      </c>
    </row>
    <row r="46" spans="1:17" ht="14.25" customHeight="1">
      <c r="A46" s="2948" t="s">
        <v>296</v>
      </c>
      <c r="B46" s="2949" t="s">
        <v>245</v>
      </c>
      <c r="C46" s="2948">
        <v>23240</v>
      </c>
      <c r="D46" s="2948">
        <v>23000</v>
      </c>
      <c r="E46" s="2948">
        <v>24980</v>
      </c>
      <c r="F46" s="2948"/>
      <c r="G46" s="2961">
        <v>16100</v>
      </c>
      <c r="N46" s="2948" t="s">
        <v>3032</v>
      </c>
      <c r="Q46" s="2948" t="s">
        <v>3033</v>
      </c>
    </row>
    <row r="47" spans="1:17" ht="14.25" customHeight="1">
      <c r="A47" s="2948" t="s">
        <v>296</v>
      </c>
      <c r="B47" s="2949" t="s">
        <v>252</v>
      </c>
      <c r="C47" s="2948">
        <v>27150</v>
      </c>
      <c r="D47" s="2948">
        <v>23310</v>
      </c>
      <c r="E47" s="2948">
        <v>25150</v>
      </c>
      <c r="F47" s="2948"/>
      <c r="G47" s="2961">
        <v>16310</v>
      </c>
      <c r="N47" s="2948" t="s">
        <v>3034</v>
      </c>
      <c r="Q47" s="2948" t="s">
        <v>3035</v>
      </c>
    </row>
    <row r="48" spans="1:17" ht="14.25" customHeight="1">
      <c r="A48" s="2948" t="s">
        <v>296</v>
      </c>
      <c r="B48" s="2949" t="s">
        <v>260</v>
      </c>
      <c r="C48" s="2948">
        <v>23100</v>
      </c>
      <c r="D48" s="2948">
        <v>21110</v>
      </c>
      <c r="E48" s="2948">
        <v>23080</v>
      </c>
      <c r="F48" s="2948"/>
      <c r="G48" s="2961">
        <v>14780</v>
      </c>
      <c r="N48" s="2948" t="s">
        <v>3036</v>
      </c>
      <c r="Q48" s="2948" t="s">
        <v>3037</v>
      </c>
    </row>
    <row r="49" spans="1:17" ht="14.25" customHeight="1">
      <c r="A49" s="2948" t="s">
        <v>296</v>
      </c>
      <c r="B49" s="2949" t="s">
        <v>267</v>
      </c>
      <c r="C49" s="2948">
        <v>23400</v>
      </c>
      <c r="D49" s="2948">
        <v>22920</v>
      </c>
      <c r="E49" s="2948">
        <v>24900</v>
      </c>
      <c r="F49" s="2948"/>
      <c r="G49" s="2961">
        <v>16040</v>
      </c>
      <c r="N49" s="2948" t="s">
        <v>3038</v>
      </c>
      <c r="Q49" s="2948" t="s">
        <v>3039</v>
      </c>
    </row>
    <row r="50" spans="1:17" ht="14.25" customHeight="1">
      <c r="A50" s="2948" t="s">
        <v>296</v>
      </c>
      <c r="B50" s="2949" t="s">
        <v>2916</v>
      </c>
      <c r="C50" s="2948">
        <v>21200</v>
      </c>
      <c r="D50" s="2948">
        <v>26540</v>
      </c>
      <c r="E50" s="2948">
        <v>23200</v>
      </c>
      <c r="F50" s="2948"/>
      <c r="G50" s="2961">
        <v>18580</v>
      </c>
      <c r="N50" s="2948" t="s">
        <v>3040</v>
      </c>
      <c r="Q50" s="2949" t="s">
        <v>3041</v>
      </c>
    </row>
    <row r="51" spans="1:17" ht="14.25" customHeight="1" thickBot="1">
      <c r="A51" s="2948" t="s">
        <v>296</v>
      </c>
      <c r="B51" s="2949" t="s">
        <v>2918</v>
      </c>
      <c r="C51" s="2948">
        <v>23000</v>
      </c>
      <c r="D51" s="2948">
        <v>23460</v>
      </c>
      <c r="E51" s="2948">
        <v>25290</v>
      </c>
      <c r="F51" s="2948"/>
      <c r="G51" s="2961">
        <v>16420</v>
      </c>
      <c r="N51" s="2948" t="s">
        <v>3042</v>
      </c>
      <c r="Q51" s="2955" t="s">
        <v>3043</v>
      </c>
    </row>
    <row r="52" spans="1:17" ht="14.25" customHeight="1">
      <c r="A52" s="2948" t="s">
        <v>296</v>
      </c>
      <c r="B52" s="2949" t="s">
        <v>2922</v>
      </c>
      <c r="C52" s="2948">
        <v>26660</v>
      </c>
      <c r="D52" s="2948">
        <v>22350</v>
      </c>
      <c r="E52" s="2948">
        <v>22920</v>
      </c>
      <c r="F52" s="2948"/>
      <c r="G52" s="2961">
        <v>15640</v>
      </c>
      <c r="N52" s="2948" t="s">
        <v>3044</v>
      </c>
    </row>
    <row r="53" spans="1:17" ht="14.25" customHeight="1">
      <c r="A53" s="2948" t="s">
        <v>296</v>
      </c>
      <c r="B53" s="2949" t="s">
        <v>2927</v>
      </c>
      <c r="C53" s="2948">
        <v>23580</v>
      </c>
      <c r="D53" s="2948"/>
      <c r="E53" s="2948">
        <v>24280</v>
      </c>
      <c r="F53" s="2948"/>
      <c r="G53" s="2961"/>
      <c r="N53" s="2948" t="s">
        <v>3045</v>
      </c>
    </row>
    <row r="54" spans="1:17" ht="14.25" customHeight="1" thickBot="1">
      <c r="A54" s="2962" t="s">
        <v>296</v>
      </c>
      <c r="B54" s="2954" t="s">
        <v>2930</v>
      </c>
      <c r="C54" s="2955">
        <v>22460</v>
      </c>
      <c r="D54" s="2955"/>
      <c r="E54" s="2955"/>
      <c r="F54" s="2955"/>
      <c r="G54" s="2963"/>
      <c r="N54" s="2948" t="s">
        <v>3046</v>
      </c>
    </row>
    <row r="55" spans="1:17" ht="14.25" customHeight="1">
      <c r="A55" s="2953" t="s">
        <v>110</v>
      </c>
      <c r="B55" s="2944" t="s">
        <v>3047</v>
      </c>
      <c r="C55" s="2948">
        <v>21970</v>
      </c>
      <c r="D55" s="2948">
        <v>20370</v>
      </c>
      <c r="E55" s="2948">
        <v>20180</v>
      </c>
      <c r="F55" s="2948">
        <v>5730</v>
      </c>
      <c r="G55" s="2948">
        <v>13820</v>
      </c>
      <c r="N55" s="2948" t="s">
        <v>3048</v>
      </c>
    </row>
    <row r="56" spans="1:17" ht="14.25" customHeight="1">
      <c r="A56" s="2948" t="s">
        <v>110</v>
      </c>
      <c r="B56" s="2948" t="s">
        <v>130</v>
      </c>
      <c r="C56" s="2948">
        <v>20470</v>
      </c>
      <c r="D56" s="2948">
        <v>20700</v>
      </c>
      <c r="E56" s="2948">
        <v>20380</v>
      </c>
      <c r="F56" s="2948">
        <v>4760</v>
      </c>
      <c r="G56" s="2948">
        <v>14050</v>
      </c>
      <c r="N56" s="2948" t="s">
        <v>3049</v>
      </c>
    </row>
    <row r="57" spans="1:17" ht="14.25" customHeight="1">
      <c r="A57" s="2948" t="s">
        <v>110</v>
      </c>
      <c r="B57" s="2948" t="s">
        <v>139</v>
      </c>
      <c r="C57" s="2948">
        <v>20790</v>
      </c>
      <c r="D57" s="2948">
        <v>21370</v>
      </c>
      <c r="E57" s="2948">
        <v>20890</v>
      </c>
      <c r="F57" s="2948">
        <v>4910</v>
      </c>
      <c r="G57" s="2948">
        <v>14510</v>
      </c>
      <c r="N57" s="2948" t="s">
        <v>3050</v>
      </c>
    </row>
    <row r="58" spans="1:17" ht="14.25" customHeight="1">
      <c r="A58" s="2948" t="s">
        <v>110</v>
      </c>
      <c r="B58" s="2948" t="s">
        <v>148</v>
      </c>
      <c r="C58" s="2948">
        <v>21460</v>
      </c>
      <c r="D58" s="2948">
        <v>20920</v>
      </c>
      <c r="E58" s="2948">
        <v>23410</v>
      </c>
      <c r="F58" s="2948">
        <v>5100</v>
      </c>
      <c r="G58" s="2948">
        <v>14200</v>
      </c>
      <c r="N58" s="2948" t="s">
        <v>3051</v>
      </c>
    </row>
    <row r="59" spans="1:17" ht="14.25" customHeight="1">
      <c r="A59" s="2948" t="s">
        <v>110</v>
      </c>
      <c r="B59" s="2948" t="s">
        <v>157</v>
      </c>
      <c r="C59" s="2948">
        <v>21000</v>
      </c>
      <c r="D59" s="2948">
        <v>21550</v>
      </c>
      <c r="E59" s="2948">
        <v>21150</v>
      </c>
      <c r="F59" s="2948">
        <v>5250</v>
      </c>
      <c r="G59" s="2948">
        <v>14630</v>
      </c>
      <c r="N59" s="2948" t="s">
        <v>3052</v>
      </c>
    </row>
    <row r="60" spans="1:17" ht="14.25" customHeight="1">
      <c r="A60" s="2948" t="s">
        <v>110</v>
      </c>
      <c r="B60" s="2948" t="s">
        <v>164</v>
      </c>
      <c r="C60" s="2948">
        <v>21640</v>
      </c>
      <c r="D60" s="2948">
        <v>21260</v>
      </c>
      <c r="E60" s="2948">
        <v>24040</v>
      </c>
      <c r="F60" s="2948">
        <v>4470</v>
      </c>
      <c r="G60" s="2948">
        <v>14430</v>
      </c>
      <c r="N60" s="2948" t="s">
        <v>3053</v>
      </c>
    </row>
    <row r="61" spans="1:17" ht="14.25" customHeight="1">
      <c r="A61" s="2948" t="s">
        <v>110</v>
      </c>
      <c r="B61" s="2948" t="s">
        <v>170</v>
      </c>
      <c r="C61" s="2948">
        <v>21330</v>
      </c>
      <c r="D61" s="2948">
        <v>18640</v>
      </c>
      <c r="E61" s="2948">
        <v>21190</v>
      </c>
      <c r="F61" s="2948">
        <v>4180</v>
      </c>
      <c r="G61" s="2948">
        <v>12650</v>
      </c>
      <c r="N61" s="2948" t="s">
        <v>3054</v>
      </c>
    </row>
    <row r="62" spans="1:17" ht="14.25" customHeight="1">
      <c r="A62" s="2948" t="s">
        <v>110</v>
      </c>
      <c r="B62" s="2948" t="s">
        <v>177</v>
      </c>
      <c r="C62" s="2948">
        <v>18710</v>
      </c>
      <c r="D62" s="2948">
        <v>19400</v>
      </c>
      <c r="E62" s="2948">
        <v>23750</v>
      </c>
      <c r="F62" s="2948">
        <v>4860</v>
      </c>
      <c r="G62" s="2948">
        <v>13170</v>
      </c>
      <c r="N62" s="2948" t="s">
        <v>3055</v>
      </c>
    </row>
    <row r="63" spans="1:17" ht="14.25" customHeight="1">
      <c r="A63" s="2948" t="s">
        <v>110</v>
      </c>
      <c r="B63" s="2948" t="s">
        <v>187</v>
      </c>
      <c r="C63" s="2948">
        <v>19480</v>
      </c>
      <c r="D63" s="2948">
        <v>16830</v>
      </c>
      <c r="E63" s="2948">
        <v>21590</v>
      </c>
      <c r="F63" s="2948">
        <v>4560</v>
      </c>
      <c r="G63" s="2948">
        <v>11420</v>
      </c>
      <c r="N63" s="2948" t="s">
        <v>3056</v>
      </c>
    </row>
    <row r="64" spans="1:17" ht="14.25" customHeight="1" thickBot="1">
      <c r="A64" s="2948" t="s">
        <v>110</v>
      </c>
      <c r="B64" s="2948" t="s">
        <v>196</v>
      </c>
      <c r="C64" s="2948">
        <v>16920</v>
      </c>
      <c r="D64" s="2948">
        <v>19190</v>
      </c>
      <c r="E64" s="2948">
        <v>22200</v>
      </c>
      <c r="F64" s="2948">
        <v>4390</v>
      </c>
      <c r="G64" s="2948">
        <v>13030</v>
      </c>
      <c r="N64" s="2955" t="s">
        <v>3057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2928</v>
      </c>
      <c r="C78" s="2948">
        <v>19820</v>
      </c>
      <c r="D78" s="2948">
        <v>19780</v>
      </c>
      <c r="E78" s="2948">
        <v>18560</v>
      </c>
      <c r="F78" s="2948"/>
      <c r="G78" s="2948">
        <v>13430</v>
      </c>
    </row>
    <row r="79" spans="1:7" s="2782" customFormat="1" ht="14.25" customHeight="1">
      <c r="A79" s="2948" t="s">
        <v>110</v>
      </c>
      <c r="B79" s="2948" t="s">
        <v>2931</v>
      </c>
      <c r="C79" s="2948">
        <v>21660</v>
      </c>
      <c r="D79" s="2948">
        <v>18000</v>
      </c>
      <c r="E79" s="2948">
        <v>22570</v>
      </c>
      <c r="F79" s="2948"/>
      <c r="G79" s="2948">
        <v>12220</v>
      </c>
    </row>
    <row r="80" spans="1:7" s="2782" customFormat="1" ht="14.25" customHeight="1">
      <c r="A80" s="2948" t="s">
        <v>110</v>
      </c>
      <c r="B80" s="2948" t="s">
        <v>2935</v>
      </c>
      <c r="C80" s="2948">
        <v>19850</v>
      </c>
      <c r="D80" s="2948"/>
      <c r="E80" s="2948">
        <v>21700</v>
      </c>
      <c r="F80" s="2948"/>
      <c r="G80" s="2948"/>
    </row>
    <row r="81" spans="1:7" s="2782" customFormat="1" ht="14.25" customHeight="1">
      <c r="A81" s="2948" t="s">
        <v>110</v>
      </c>
      <c r="B81" s="2948" t="s">
        <v>2940</v>
      </c>
      <c r="C81" s="2948">
        <v>18080</v>
      </c>
      <c r="D81" s="2948"/>
      <c r="E81" s="2948">
        <v>20900</v>
      </c>
      <c r="F81" s="2948"/>
      <c r="G81" s="2948"/>
    </row>
    <row r="82" spans="1:7" s="2782" customFormat="1" ht="14.25" customHeight="1">
      <c r="A82" s="2948" t="s">
        <v>110</v>
      </c>
      <c r="B82" s="2948" t="s">
        <v>2947</v>
      </c>
      <c r="C82" s="2948"/>
      <c r="D82" s="2948"/>
      <c r="E82" s="2948">
        <v>20840</v>
      </c>
      <c r="F82" s="2948"/>
      <c r="G82" s="2948"/>
    </row>
    <row r="83" spans="1:7" s="2782" customFormat="1" ht="14.25" customHeight="1">
      <c r="A83" s="2948" t="s">
        <v>110</v>
      </c>
      <c r="B83" s="2948" t="s">
        <v>3058</v>
      </c>
      <c r="C83" s="2948"/>
      <c r="D83" s="2948"/>
      <c r="E83" s="2948"/>
      <c r="F83" s="2948">
        <v>4770</v>
      </c>
      <c r="G83" s="2948"/>
    </row>
    <row r="84" spans="1:7" s="2782" customFormat="1" ht="14.25" customHeight="1">
      <c r="A84" s="2948" t="s">
        <v>110</v>
      </c>
      <c r="B84" s="2948" t="s">
        <v>3059</v>
      </c>
      <c r="C84" s="2948"/>
      <c r="D84" s="2948"/>
      <c r="E84" s="2948"/>
      <c r="F84" s="2948">
        <v>4600</v>
      </c>
      <c r="G84" s="2948"/>
    </row>
    <row r="85" spans="1:7" s="2782" customFormat="1" ht="14.25" customHeight="1">
      <c r="A85" s="2948" t="s">
        <v>110</v>
      </c>
      <c r="B85" s="2948" t="s">
        <v>3060</v>
      </c>
      <c r="C85" s="2948"/>
      <c r="D85" s="2948"/>
      <c r="E85" s="2948"/>
      <c r="F85" s="2948">
        <v>4680</v>
      </c>
      <c r="G85" s="2948"/>
    </row>
    <row r="86" spans="1:7" s="2782" customFormat="1" ht="14.25" customHeight="1" thickBot="1">
      <c r="A86" s="2956" t="s">
        <v>110</v>
      </c>
      <c r="B86" s="2958" t="s">
        <v>3061</v>
      </c>
      <c r="C86" s="2959">
        <v>16610</v>
      </c>
      <c r="D86" s="2959">
        <v>16540</v>
      </c>
      <c r="E86" s="2959">
        <v>18850</v>
      </c>
      <c r="F86" s="2959"/>
      <c r="G86" s="2959">
        <v>11220</v>
      </c>
    </row>
    <row r="87" spans="1:7" s="2782" customFormat="1" ht="14.25" customHeight="1">
      <c r="A87" s="2953" t="s">
        <v>303</v>
      </c>
      <c r="B87" s="2944" t="s">
        <v>3062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2941</v>
      </c>
      <c r="C113" s="2948">
        <v>15520</v>
      </c>
      <c r="D113" s="2948">
        <v>15450</v>
      </c>
      <c r="E113" s="2948"/>
      <c r="F113" s="2948"/>
      <c r="G113" s="2961">
        <v>10210</v>
      </c>
    </row>
    <row r="114" spans="1:7" s="2782" customFormat="1" ht="14.25" customHeight="1">
      <c r="A114" s="2948" t="s">
        <v>303</v>
      </c>
      <c r="B114" s="2948" t="s">
        <v>2948</v>
      </c>
      <c r="C114" s="2948">
        <v>13110</v>
      </c>
      <c r="D114" s="2948">
        <v>13050</v>
      </c>
      <c r="E114" s="2948"/>
      <c r="F114" s="2948"/>
      <c r="G114" s="2961">
        <v>8620</v>
      </c>
    </row>
    <row r="115" spans="1:7" s="2782" customFormat="1" ht="14.25" customHeight="1">
      <c r="A115" s="2948" t="s">
        <v>303</v>
      </c>
      <c r="B115" s="2948" t="s">
        <v>2954</v>
      </c>
      <c r="C115" s="2948">
        <v>12460</v>
      </c>
      <c r="D115" s="2948">
        <v>12390</v>
      </c>
      <c r="E115" s="2948"/>
      <c r="F115" s="2948"/>
      <c r="G115" s="2961">
        <v>8190</v>
      </c>
    </row>
    <row r="116" spans="1:7" s="2782" customFormat="1" ht="14.25" customHeight="1">
      <c r="A116" s="2948" t="s">
        <v>303</v>
      </c>
      <c r="B116" s="2948" t="s">
        <v>2961</v>
      </c>
      <c r="C116" s="2948">
        <v>13580</v>
      </c>
      <c r="D116" s="2948">
        <v>13520</v>
      </c>
      <c r="E116" s="2948"/>
      <c r="F116" s="2948"/>
      <c r="G116" s="2961">
        <v>8930</v>
      </c>
    </row>
    <row r="117" spans="1:7" s="2782" customFormat="1" ht="14.25" customHeight="1">
      <c r="A117" s="2948" t="s">
        <v>303</v>
      </c>
      <c r="B117" s="2948" t="s">
        <v>2968</v>
      </c>
      <c r="C117" s="2948">
        <v>17120</v>
      </c>
      <c r="D117" s="2948">
        <v>17040</v>
      </c>
      <c r="E117" s="2948"/>
      <c r="F117" s="2948"/>
      <c r="G117" s="2961">
        <v>11260</v>
      </c>
    </row>
    <row r="118" spans="1:7" s="2782" customFormat="1" ht="14.25" customHeight="1">
      <c r="A118" s="2948" t="s">
        <v>303</v>
      </c>
      <c r="B118" s="2948" t="s">
        <v>2973</v>
      </c>
      <c r="C118" s="2948">
        <v>14860</v>
      </c>
      <c r="D118" s="2948">
        <v>14790</v>
      </c>
      <c r="E118" s="2948"/>
      <c r="F118" s="2948"/>
      <c r="G118" s="2961">
        <v>9780</v>
      </c>
    </row>
    <row r="119" spans="1:7" s="2782" customFormat="1" ht="14.25" customHeight="1">
      <c r="A119" s="2948" t="s">
        <v>303</v>
      </c>
      <c r="B119" s="2948" t="s">
        <v>2977</v>
      </c>
      <c r="C119" s="2948">
        <v>16470</v>
      </c>
      <c r="D119" s="2948">
        <v>16400</v>
      </c>
      <c r="E119" s="2948"/>
      <c r="F119" s="2948"/>
      <c r="G119" s="2961">
        <v>10840</v>
      </c>
    </row>
    <row r="120" spans="1:7" s="2782" customFormat="1" ht="14.25" customHeight="1">
      <c r="A120" s="2948" t="s">
        <v>303</v>
      </c>
      <c r="B120" s="2948" t="s">
        <v>3063</v>
      </c>
      <c r="C120" s="2948"/>
      <c r="D120" s="2948"/>
      <c r="E120" s="2948"/>
      <c r="F120" s="2948">
        <v>4160</v>
      </c>
      <c r="G120" s="2961"/>
    </row>
    <row r="121" spans="1:7" s="2782" customFormat="1" ht="14.25" customHeight="1">
      <c r="A121" s="2948" t="s">
        <v>303</v>
      </c>
      <c r="B121" s="2948" t="s">
        <v>3064</v>
      </c>
      <c r="C121" s="2948"/>
      <c r="D121" s="2948"/>
      <c r="E121" s="2948"/>
      <c r="F121" s="2948">
        <v>3880</v>
      </c>
      <c r="G121" s="2961"/>
    </row>
    <row r="122" spans="1:7" s="2782" customFormat="1" ht="14.25" customHeight="1">
      <c r="A122" s="2948" t="s">
        <v>303</v>
      </c>
      <c r="B122" s="2948" t="s">
        <v>3065</v>
      </c>
      <c r="C122" s="2948">
        <v>13750</v>
      </c>
      <c r="D122" s="2948">
        <v>13680</v>
      </c>
      <c r="E122" s="2948">
        <v>16460</v>
      </c>
      <c r="F122" s="2948">
        <v>2880</v>
      </c>
      <c r="G122" s="2961">
        <v>9040</v>
      </c>
    </row>
    <row r="123" spans="1:7" s="2782" customFormat="1" ht="14.25" customHeight="1">
      <c r="A123" s="2948" t="s">
        <v>303</v>
      </c>
      <c r="B123" s="2948" t="s">
        <v>2996</v>
      </c>
      <c r="C123" s="2948">
        <v>13590</v>
      </c>
      <c r="D123" s="2948">
        <v>13520</v>
      </c>
      <c r="E123" s="2948">
        <v>16290</v>
      </c>
      <c r="F123" s="2948">
        <v>2790</v>
      </c>
      <c r="G123" s="2961">
        <v>8930</v>
      </c>
    </row>
    <row r="124" spans="1:7" s="2782" customFormat="1" ht="14.25" customHeight="1">
      <c r="A124" s="2948" t="s">
        <v>303</v>
      </c>
      <c r="B124" s="2948" t="s">
        <v>3001</v>
      </c>
      <c r="C124" s="2948">
        <v>13400</v>
      </c>
      <c r="D124" s="2948">
        <v>13320</v>
      </c>
      <c r="E124" s="2948">
        <v>16100</v>
      </c>
      <c r="F124" s="2948">
        <v>2320</v>
      </c>
      <c r="G124" s="2961">
        <v>8800</v>
      </c>
    </row>
    <row r="125" spans="1:7" s="2782" customFormat="1" ht="14.25" customHeight="1">
      <c r="A125" s="2948" t="s">
        <v>303</v>
      </c>
      <c r="B125" s="2948" t="s">
        <v>3006</v>
      </c>
      <c r="C125" s="2948">
        <v>12860</v>
      </c>
      <c r="D125" s="2948">
        <v>12790</v>
      </c>
      <c r="E125" s="2948">
        <v>15370</v>
      </c>
      <c r="F125" s="2948">
        <v>2280</v>
      </c>
      <c r="G125" s="2961">
        <v>8450</v>
      </c>
    </row>
    <row r="126" spans="1:7" s="2782" customFormat="1" ht="14.25" customHeight="1" thickBot="1">
      <c r="A126" s="2962" t="s">
        <v>303</v>
      </c>
      <c r="B126" s="2955" t="s">
        <v>3011</v>
      </c>
      <c r="C126" s="2955">
        <v>12960</v>
      </c>
      <c r="D126" s="2955">
        <v>12890</v>
      </c>
      <c r="E126" s="2955">
        <v>15530</v>
      </c>
      <c r="F126" s="2955">
        <v>2910</v>
      </c>
      <c r="G126" s="2963">
        <v>8520</v>
      </c>
    </row>
    <row r="127" spans="1:7" s="2782" customFormat="1" ht="14.25" customHeight="1">
      <c r="A127" s="2953" t="s">
        <v>29</v>
      </c>
      <c r="B127" s="2944" t="s">
        <v>3066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3067</v>
      </c>
      <c r="C148" s="2948">
        <v>10370</v>
      </c>
      <c r="D148" s="2948">
        <v>10310</v>
      </c>
      <c r="E148" s="2948">
        <v>12970</v>
      </c>
      <c r="F148" s="2948"/>
      <c r="G148" s="2948">
        <v>6630</v>
      </c>
    </row>
    <row r="149" spans="1:7" s="2782" customFormat="1" ht="14.25" customHeight="1">
      <c r="A149" s="2948" t="s">
        <v>29</v>
      </c>
      <c r="B149" s="2948" t="s">
        <v>3068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2942</v>
      </c>
      <c r="C153" s="2948">
        <v>10880</v>
      </c>
      <c r="D153" s="2948">
        <v>10820</v>
      </c>
      <c r="E153" s="2948">
        <v>13660</v>
      </c>
      <c r="F153" s="2948">
        <v>2260</v>
      </c>
      <c r="G153" s="2948">
        <v>6970</v>
      </c>
    </row>
    <row r="154" spans="1:7" s="2782" customFormat="1" ht="14.25" customHeight="1">
      <c r="A154" s="2948" t="s">
        <v>29</v>
      </c>
      <c r="B154" s="2948" t="s">
        <v>3069</v>
      </c>
      <c r="C154" s="2948">
        <v>11220</v>
      </c>
      <c r="D154" s="2948">
        <v>11160</v>
      </c>
      <c r="E154" s="2948">
        <v>14130</v>
      </c>
      <c r="F154" s="2948">
        <v>2230</v>
      </c>
      <c r="G154" s="2948">
        <v>7180</v>
      </c>
    </row>
    <row r="155" spans="1:7" s="2782" customFormat="1" ht="14.25" customHeight="1">
      <c r="A155" s="2948" t="s">
        <v>29</v>
      </c>
      <c r="B155" s="2948" t="s">
        <v>2955</v>
      </c>
      <c r="C155" s="2948">
        <v>10430</v>
      </c>
      <c r="D155" s="2948">
        <v>10380</v>
      </c>
      <c r="E155" s="2948">
        <v>13140</v>
      </c>
      <c r="F155" s="2948">
        <v>2080</v>
      </c>
      <c r="G155" s="2948">
        <v>6650</v>
      </c>
    </row>
    <row r="156" spans="1:7" s="2782" customFormat="1" ht="14.25" customHeight="1">
      <c r="A156" s="2948" t="s">
        <v>29</v>
      </c>
      <c r="B156" s="2948" t="s">
        <v>3070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3071</v>
      </c>
      <c r="C160" s="2948">
        <v>11180</v>
      </c>
      <c r="D160" s="2948">
        <v>11140</v>
      </c>
      <c r="E160" s="2948">
        <v>14050</v>
      </c>
      <c r="F160" s="2948">
        <v>2270</v>
      </c>
      <c r="G160" s="2948">
        <v>7170</v>
      </c>
    </row>
    <row r="161" spans="1:7" s="2782" customFormat="1" ht="14.25" customHeight="1">
      <c r="A161" s="2948" t="s">
        <v>29</v>
      </c>
      <c r="B161" s="2948" t="s">
        <v>2987</v>
      </c>
      <c r="C161" s="2948">
        <v>11160</v>
      </c>
      <c r="D161" s="2948">
        <v>11120</v>
      </c>
      <c r="E161" s="2948">
        <v>14020</v>
      </c>
      <c r="F161" s="2948">
        <v>2150</v>
      </c>
      <c r="G161" s="2948">
        <v>7160</v>
      </c>
    </row>
    <row r="162" spans="1:7" s="2782" customFormat="1" ht="14.25" customHeight="1">
      <c r="A162" s="2948" t="s">
        <v>29</v>
      </c>
      <c r="B162" s="2948" t="s">
        <v>2992</v>
      </c>
      <c r="C162" s="2948">
        <v>9620</v>
      </c>
      <c r="D162" s="2948">
        <v>9570</v>
      </c>
      <c r="E162" s="2948">
        <v>12320</v>
      </c>
      <c r="F162" s="2948">
        <v>2010</v>
      </c>
      <c r="G162" s="2948">
        <v>6160</v>
      </c>
    </row>
    <row r="163" spans="1:7" s="2782" customFormat="1" ht="14.25" customHeight="1">
      <c r="A163" s="2948" t="s">
        <v>29</v>
      </c>
      <c r="B163" s="2948" t="s">
        <v>2997</v>
      </c>
      <c r="C163" s="2948">
        <v>9320</v>
      </c>
      <c r="D163" s="2948">
        <v>9270</v>
      </c>
      <c r="E163" s="2948">
        <v>11790</v>
      </c>
      <c r="F163" s="2948">
        <v>1920</v>
      </c>
      <c r="G163" s="2948">
        <v>5960</v>
      </c>
    </row>
    <row r="164" spans="1:7" s="2782" customFormat="1" ht="14.25" customHeight="1">
      <c r="A164" s="2948" t="s">
        <v>29</v>
      </c>
      <c r="B164" s="2948" t="s">
        <v>3002</v>
      </c>
      <c r="C164" s="2948"/>
      <c r="D164" s="2948"/>
      <c r="E164" s="2948"/>
      <c r="F164" s="2948">
        <v>1980</v>
      </c>
      <c r="G164" s="2948"/>
    </row>
    <row r="165" spans="1:7" s="2782" customFormat="1" ht="14.25" customHeight="1">
      <c r="A165" s="2948" t="s">
        <v>29</v>
      </c>
      <c r="B165" s="2948" t="s">
        <v>3072</v>
      </c>
      <c r="C165" s="2948">
        <v>11060</v>
      </c>
      <c r="D165" s="2948">
        <v>11030</v>
      </c>
      <c r="E165" s="2948">
        <v>13850</v>
      </c>
      <c r="F165" s="2948">
        <v>2170</v>
      </c>
      <c r="G165" s="2948">
        <v>7090</v>
      </c>
    </row>
    <row r="166" spans="1:7" s="2782" customFormat="1" ht="14.25" customHeight="1">
      <c r="A166" s="2948" t="s">
        <v>29</v>
      </c>
      <c r="B166" s="2948" t="s">
        <v>3012</v>
      </c>
      <c r="C166" s="2948">
        <v>11050</v>
      </c>
      <c r="D166" s="2948">
        <v>11010</v>
      </c>
      <c r="E166" s="2948">
        <v>13920</v>
      </c>
      <c r="F166" s="2948">
        <v>2140</v>
      </c>
      <c r="G166" s="2948">
        <v>7080</v>
      </c>
    </row>
    <row r="167" spans="1:7" s="2782" customFormat="1" ht="14.25" customHeight="1">
      <c r="A167" s="2948" t="s">
        <v>29</v>
      </c>
      <c r="B167" s="2948" t="s">
        <v>3016</v>
      </c>
      <c r="C167" s="2948">
        <v>10930</v>
      </c>
      <c r="D167" s="2948">
        <v>10890</v>
      </c>
      <c r="E167" s="2948">
        <v>13790</v>
      </c>
      <c r="F167" s="2948">
        <v>2010</v>
      </c>
      <c r="G167" s="2948">
        <v>7000</v>
      </c>
    </row>
    <row r="168" spans="1:7" s="2782" customFormat="1" ht="14.25" customHeight="1">
      <c r="A168" s="2948" t="s">
        <v>29</v>
      </c>
      <c r="B168" s="2948" t="s">
        <v>3021</v>
      </c>
      <c r="C168" s="2948">
        <v>9420</v>
      </c>
      <c r="D168" s="2948">
        <v>9380</v>
      </c>
      <c r="E168" s="2948">
        <v>11970</v>
      </c>
      <c r="F168" s="2948"/>
      <c r="G168" s="2948">
        <v>6040</v>
      </c>
    </row>
    <row r="169" spans="1:7" s="2782" customFormat="1" ht="14.25" customHeight="1">
      <c r="A169" s="2948" t="s">
        <v>29</v>
      </c>
      <c r="B169" s="2948" t="s">
        <v>3073</v>
      </c>
      <c r="C169" s="2948"/>
      <c r="D169" s="2948"/>
      <c r="E169" s="2948"/>
      <c r="F169" s="2948">
        <v>2880</v>
      </c>
      <c r="G169" s="2948"/>
    </row>
    <row r="170" spans="1:7" s="2782" customFormat="1" ht="14.25" customHeight="1">
      <c r="A170" s="2948" t="s">
        <v>29</v>
      </c>
      <c r="B170" s="2948" t="s">
        <v>3029</v>
      </c>
      <c r="C170" s="2948"/>
      <c r="D170" s="2948"/>
      <c r="E170" s="2948"/>
      <c r="F170" s="2948">
        <v>2880</v>
      </c>
      <c r="G170" s="2948"/>
    </row>
    <row r="171" spans="1:7" s="2782" customFormat="1" ht="14.25" customHeight="1">
      <c r="A171" s="2948" t="s">
        <v>29</v>
      </c>
      <c r="B171" s="2948" t="s">
        <v>3032</v>
      </c>
      <c r="C171" s="2948"/>
      <c r="D171" s="2948"/>
      <c r="E171" s="2948"/>
      <c r="F171" s="2948">
        <v>2880</v>
      </c>
      <c r="G171" s="2948"/>
    </row>
    <row r="172" spans="1:7" s="2782" customFormat="1" ht="14.25" customHeight="1">
      <c r="A172" s="2948" t="s">
        <v>29</v>
      </c>
      <c r="B172" s="2948" t="s">
        <v>3034</v>
      </c>
      <c r="C172" s="2948"/>
      <c r="D172" s="2948"/>
      <c r="E172" s="2948"/>
      <c r="F172" s="2948">
        <v>2880</v>
      </c>
      <c r="G172" s="2948"/>
    </row>
    <row r="173" spans="1:7" s="2782" customFormat="1" ht="14.25" customHeight="1">
      <c r="A173" s="2948" t="s">
        <v>29</v>
      </c>
      <c r="B173" s="2948" t="s">
        <v>3036</v>
      </c>
      <c r="C173" s="2948"/>
      <c r="D173" s="2948"/>
      <c r="E173" s="2948"/>
      <c r="F173" s="2948">
        <v>2150</v>
      </c>
      <c r="G173" s="2948"/>
    </row>
    <row r="174" spans="1:7" s="2782" customFormat="1" ht="14.25" customHeight="1">
      <c r="A174" s="2948" t="s">
        <v>29</v>
      </c>
      <c r="B174" s="2948" t="s">
        <v>3038</v>
      </c>
      <c r="C174" s="2948"/>
      <c r="D174" s="2948"/>
      <c r="E174" s="2948"/>
      <c r="F174" s="2948">
        <v>2030</v>
      </c>
      <c r="G174" s="2948"/>
    </row>
    <row r="175" spans="1:7" s="2782" customFormat="1" ht="14.25" customHeight="1">
      <c r="A175" s="2948" t="s">
        <v>29</v>
      </c>
      <c r="B175" s="2948" t="s">
        <v>3040</v>
      </c>
      <c r="C175" s="2948"/>
      <c r="D175" s="2948"/>
      <c r="E175" s="2948"/>
      <c r="F175" s="2948">
        <v>2780</v>
      </c>
      <c r="G175" s="2948"/>
    </row>
    <row r="176" spans="1:7" s="2782" customFormat="1" ht="14.25" customHeight="1">
      <c r="A176" s="2948" t="s">
        <v>29</v>
      </c>
      <c r="B176" s="2948" t="s">
        <v>3042</v>
      </c>
      <c r="C176" s="2948"/>
      <c r="D176" s="2948"/>
      <c r="E176" s="2948"/>
      <c r="F176" s="2948">
        <v>2780</v>
      </c>
      <c r="G176" s="2948"/>
    </row>
    <row r="177" spans="1:7" s="2782" customFormat="1" ht="14.25" customHeight="1">
      <c r="A177" s="2948" t="s">
        <v>29</v>
      </c>
      <c r="B177" s="2948" t="s">
        <v>3074</v>
      </c>
      <c r="C177" s="2948"/>
      <c r="D177" s="2948"/>
      <c r="E177" s="2948"/>
      <c r="F177" s="2948">
        <v>2780</v>
      </c>
      <c r="G177" s="2948"/>
    </row>
    <row r="178" spans="1:7" s="2782" customFormat="1" ht="14.25" customHeight="1">
      <c r="A178" s="2948" t="s">
        <v>29</v>
      </c>
      <c r="B178" s="2948" t="s">
        <v>3075</v>
      </c>
      <c r="C178" s="2948"/>
      <c r="D178" s="2948"/>
      <c r="E178" s="2948"/>
      <c r="F178" s="2948">
        <v>2060</v>
      </c>
      <c r="G178" s="2948"/>
    </row>
    <row r="179" spans="1:7" s="2782" customFormat="1" ht="14.25" customHeight="1">
      <c r="A179" s="2948" t="s">
        <v>29</v>
      </c>
      <c r="B179" s="2948" t="s">
        <v>3076</v>
      </c>
      <c r="C179" s="2948"/>
      <c r="D179" s="2948"/>
      <c r="E179" s="2948"/>
      <c r="F179" s="2948">
        <v>2120</v>
      </c>
      <c r="G179" s="2948"/>
    </row>
    <row r="180" spans="1:7" s="2782" customFormat="1" ht="14.25" customHeight="1">
      <c r="A180" s="2948" t="s">
        <v>29</v>
      </c>
      <c r="B180" s="2948" t="s">
        <v>3048</v>
      </c>
      <c r="C180" s="2948"/>
      <c r="D180" s="2948"/>
      <c r="E180" s="2948"/>
      <c r="F180" s="2948">
        <v>2340</v>
      </c>
      <c r="G180" s="2948"/>
    </row>
    <row r="181" spans="1:7" s="2782" customFormat="1" ht="14.25" customHeight="1">
      <c r="A181" s="2948" t="s">
        <v>29</v>
      </c>
      <c r="B181" s="2948" t="s">
        <v>3049</v>
      </c>
      <c r="C181" s="2948"/>
      <c r="D181" s="2948"/>
      <c r="E181" s="2948"/>
      <c r="F181" s="2948">
        <v>2340</v>
      </c>
      <c r="G181" s="2948"/>
    </row>
    <row r="182" spans="1:7" s="2782" customFormat="1" ht="14.25" customHeight="1">
      <c r="A182" s="2948" t="s">
        <v>29</v>
      </c>
      <c r="B182" s="2948" t="s">
        <v>3050</v>
      </c>
      <c r="C182" s="2948"/>
      <c r="D182" s="2948"/>
      <c r="E182" s="2948"/>
      <c r="F182" s="2948">
        <v>2340</v>
      </c>
      <c r="G182" s="2948"/>
    </row>
    <row r="183" spans="1:7" s="2782" customFormat="1" ht="14.25" customHeight="1">
      <c r="A183" s="2948" t="s">
        <v>29</v>
      </c>
      <c r="B183" s="2948" t="s">
        <v>3051</v>
      </c>
      <c r="C183" s="2948"/>
      <c r="D183" s="2948"/>
      <c r="E183" s="2948"/>
      <c r="F183" s="2948">
        <v>2340</v>
      </c>
      <c r="G183" s="2948"/>
    </row>
    <row r="184" spans="1:7" s="2782" customFormat="1" ht="14.25" customHeight="1">
      <c r="A184" s="2948" t="s">
        <v>29</v>
      </c>
      <c r="B184" s="2948" t="s">
        <v>3052</v>
      </c>
      <c r="C184" s="2948"/>
      <c r="D184" s="2948"/>
      <c r="E184" s="2948"/>
      <c r="F184" s="2948">
        <v>2340</v>
      </c>
      <c r="G184" s="2948"/>
    </row>
    <row r="185" spans="1:7" s="2782" customFormat="1" ht="14.25" customHeight="1">
      <c r="A185" s="2948" t="s">
        <v>29</v>
      </c>
      <c r="B185" s="2948" t="s">
        <v>3053</v>
      </c>
      <c r="C185" s="2948"/>
      <c r="D185" s="2948"/>
      <c r="E185" s="2948"/>
      <c r="F185" s="2948">
        <v>2530</v>
      </c>
      <c r="G185" s="2948"/>
    </row>
    <row r="186" spans="1:7" s="2782" customFormat="1" ht="14.25" customHeight="1">
      <c r="A186" s="2948" t="s">
        <v>29</v>
      </c>
      <c r="B186" s="2948" t="s">
        <v>3054</v>
      </c>
      <c r="C186" s="2948"/>
      <c r="D186" s="2948"/>
      <c r="E186" s="2948"/>
      <c r="F186" s="2948">
        <v>2550</v>
      </c>
      <c r="G186" s="2948"/>
    </row>
    <row r="187" spans="1:7" s="2782" customFormat="1" ht="14.25" customHeight="1">
      <c r="A187" s="2948" t="s">
        <v>29</v>
      </c>
      <c r="B187" s="2948" t="s">
        <v>3055</v>
      </c>
      <c r="C187" s="2948"/>
      <c r="D187" s="2948"/>
      <c r="E187" s="2948"/>
      <c r="F187" s="2948">
        <v>2070</v>
      </c>
      <c r="G187" s="2948"/>
    </row>
    <row r="188" spans="1:7" s="2782" customFormat="1" ht="14.25" customHeight="1">
      <c r="A188" s="2948" t="s">
        <v>29</v>
      </c>
      <c r="B188" s="2948" t="s">
        <v>3056</v>
      </c>
      <c r="C188" s="2948"/>
      <c r="D188" s="2948"/>
      <c r="E188" s="2948"/>
      <c r="F188" s="2948">
        <v>2340</v>
      </c>
      <c r="G188" s="2948"/>
    </row>
    <row r="189" spans="1:7" s="2782" customFormat="1" ht="14.25" customHeight="1" thickBot="1">
      <c r="A189" s="2956" t="s">
        <v>29</v>
      </c>
      <c r="B189" s="2959" t="s">
        <v>3057</v>
      </c>
      <c r="C189" s="2959"/>
      <c r="D189" s="2959"/>
      <c r="E189" s="2959"/>
      <c r="F189" s="2959">
        <v>2050</v>
      </c>
      <c r="G189" s="2959"/>
    </row>
    <row r="190" spans="1:7" s="2782" customFormat="1" ht="14.25" customHeight="1">
      <c r="A190" s="2953" t="s">
        <v>304</v>
      </c>
      <c r="B190" s="2944" t="s">
        <v>3077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3078</v>
      </c>
      <c r="C199" s="2948">
        <v>8690</v>
      </c>
      <c r="D199" s="2948">
        <v>8630</v>
      </c>
      <c r="E199" s="2948">
        <v>11350</v>
      </c>
      <c r="F199" s="2948">
        <v>1600</v>
      </c>
      <c r="G199" s="2961">
        <v>5450</v>
      </c>
    </row>
    <row r="200" spans="1:7" s="2782" customFormat="1" ht="14.25" customHeight="1">
      <c r="A200" s="2948" t="s">
        <v>304</v>
      </c>
      <c r="B200" s="2948" t="s">
        <v>2889</v>
      </c>
      <c r="C200" s="2948"/>
      <c r="D200" s="2948"/>
      <c r="E200" s="2948"/>
      <c r="F200" s="2948">
        <v>1510</v>
      </c>
      <c r="G200" s="2961"/>
    </row>
    <row r="201" spans="1:7" s="2782" customFormat="1" ht="14.25" customHeight="1">
      <c r="A201" s="2948" t="s">
        <v>304</v>
      </c>
      <c r="B201" s="2948" t="s">
        <v>3079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3080</v>
      </c>
      <c r="C203" s="2948">
        <v>8130</v>
      </c>
      <c r="D203" s="2948">
        <v>8070</v>
      </c>
      <c r="E203" s="2948">
        <v>10820</v>
      </c>
      <c r="F203" s="2948">
        <v>1690</v>
      </c>
      <c r="G203" s="2961">
        <v>5100</v>
      </c>
    </row>
    <row r="204" spans="1:7" s="2782" customFormat="1" ht="14.25" customHeight="1">
      <c r="A204" s="2948" t="s">
        <v>304</v>
      </c>
      <c r="B204" s="2948" t="s">
        <v>2900</v>
      </c>
      <c r="C204" s="2948">
        <v>8350</v>
      </c>
      <c r="D204" s="2948">
        <v>8290</v>
      </c>
      <c r="E204" s="2948">
        <v>11080</v>
      </c>
      <c r="F204" s="2948">
        <v>1450</v>
      </c>
      <c r="G204" s="2961">
        <v>5240</v>
      </c>
    </row>
    <row r="205" spans="1:7" s="2782" customFormat="1" ht="14.25" customHeight="1">
      <c r="A205" s="2948" t="s">
        <v>304</v>
      </c>
      <c r="B205" s="2948" t="s">
        <v>2902</v>
      </c>
      <c r="C205" s="2948">
        <v>7190</v>
      </c>
      <c r="D205" s="2948">
        <v>7130</v>
      </c>
      <c r="E205" s="2948">
        <v>9490</v>
      </c>
      <c r="F205" s="2948">
        <v>1470</v>
      </c>
      <c r="G205" s="2961">
        <v>4510</v>
      </c>
    </row>
    <row r="206" spans="1:7" s="2782" customFormat="1" ht="14.25" customHeight="1">
      <c r="A206" s="2948" t="s">
        <v>304</v>
      </c>
      <c r="B206" s="2948" t="s">
        <v>2905</v>
      </c>
      <c r="C206" s="2948">
        <v>7000</v>
      </c>
      <c r="D206" s="2948">
        <v>6950</v>
      </c>
      <c r="E206" s="2948">
        <v>9170</v>
      </c>
      <c r="F206" s="2948">
        <v>1400</v>
      </c>
      <c r="G206" s="2961">
        <v>4380</v>
      </c>
    </row>
    <row r="207" spans="1:7" s="2782" customFormat="1" ht="14.25" customHeight="1">
      <c r="A207" s="2948" t="s">
        <v>304</v>
      </c>
      <c r="B207" s="2948" t="s">
        <v>2907</v>
      </c>
      <c r="C207" s="2948">
        <v>6950</v>
      </c>
      <c r="D207" s="2948">
        <v>6900</v>
      </c>
      <c r="E207" s="2948">
        <v>9110</v>
      </c>
      <c r="F207" s="2948">
        <v>1790</v>
      </c>
      <c r="G207" s="2961">
        <v>4360</v>
      </c>
    </row>
    <row r="208" spans="1:7" s="2782" customFormat="1" ht="14.25" customHeight="1">
      <c r="A208" s="2948" t="s">
        <v>304</v>
      </c>
      <c r="B208" s="2948" t="s">
        <v>3081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2917</v>
      </c>
      <c r="C210" s="2948">
        <v>8710</v>
      </c>
      <c r="D210" s="2948">
        <v>8660</v>
      </c>
      <c r="E210" s="2948">
        <v>11440</v>
      </c>
      <c r="F210" s="2948">
        <v>1740</v>
      </c>
      <c r="G210" s="2961">
        <v>5470</v>
      </c>
    </row>
    <row r="211" spans="1:7" s="2782" customFormat="1" ht="14.25" customHeight="1">
      <c r="A211" s="2948" t="s">
        <v>304</v>
      </c>
      <c r="B211" s="2948" t="s">
        <v>3082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3083</v>
      </c>
      <c r="C214" s="2948">
        <v>8090</v>
      </c>
      <c r="D214" s="2948">
        <v>8030</v>
      </c>
      <c r="E214" s="2948">
        <v>10780</v>
      </c>
      <c r="F214" s="2948">
        <v>1570</v>
      </c>
      <c r="G214" s="2961">
        <v>5070</v>
      </c>
    </row>
    <row r="215" spans="1:7" s="2782" customFormat="1" ht="14.25" customHeight="1">
      <c r="A215" s="2948" t="s">
        <v>304</v>
      </c>
      <c r="B215" s="2948" t="s">
        <v>3084</v>
      </c>
      <c r="C215" s="2948">
        <v>7950</v>
      </c>
      <c r="D215" s="2948">
        <v>7900</v>
      </c>
      <c r="E215" s="2948">
        <v>10560</v>
      </c>
      <c r="F215" s="2948">
        <v>1630</v>
      </c>
      <c r="G215" s="2961">
        <v>4990</v>
      </c>
    </row>
    <row r="216" spans="1:7" s="2782" customFormat="1" ht="14.25" customHeight="1">
      <c r="A216" s="2948" t="s">
        <v>304</v>
      </c>
      <c r="B216" s="2948" t="s">
        <v>3085</v>
      </c>
      <c r="C216" s="2948">
        <v>8490</v>
      </c>
      <c r="D216" s="2948">
        <v>8440</v>
      </c>
      <c r="E216" s="2948">
        <v>11260</v>
      </c>
      <c r="F216" s="2948">
        <v>1690</v>
      </c>
      <c r="G216" s="2961">
        <v>5330</v>
      </c>
    </row>
    <row r="217" spans="1:7" s="2782" customFormat="1" ht="14.25" customHeight="1">
      <c r="A217" s="2948" t="s">
        <v>304</v>
      </c>
      <c r="B217" s="2948" t="s">
        <v>2950</v>
      </c>
      <c r="C217" s="2948">
        <v>8200</v>
      </c>
      <c r="D217" s="2948">
        <v>8150</v>
      </c>
      <c r="E217" s="2948">
        <v>10910</v>
      </c>
      <c r="F217" s="2948">
        <v>1670</v>
      </c>
      <c r="G217" s="2961">
        <v>5150</v>
      </c>
    </row>
    <row r="218" spans="1:7" s="2782" customFormat="1" ht="14.25" customHeight="1">
      <c r="A218" s="2948" t="s">
        <v>304</v>
      </c>
      <c r="B218" s="2948" t="s">
        <v>3086</v>
      </c>
      <c r="C218" s="2948"/>
      <c r="D218" s="2948"/>
      <c r="E218" s="2948"/>
      <c r="F218" s="2948">
        <v>2040</v>
      </c>
      <c r="G218" s="2961"/>
    </row>
    <row r="219" spans="1:7" s="2782" customFormat="1" ht="14.25" customHeight="1">
      <c r="A219" s="2948" t="s">
        <v>304</v>
      </c>
      <c r="B219" s="2948" t="s">
        <v>3087</v>
      </c>
      <c r="C219" s="2948"/>
      <c r="D219" s="2948"/>
      <c r="E219" s="2948"/>
      <c r="F219" s="2948">
        <v>2040</v>
      </c>
      <c r="G219" s="2961"/>
    </row>
    <row r="220" spans="1:7" s="2782" customFormat="1" ht="14.25" customHeight="1">
      <c r="A220" s="2948" t="s">
        <v>304</v>
      </c>
      <c r="B220" s="2948" t="s">
        <v>3088</v>
      </c>
      <c r="C220" s="2948"/>
      <c r="D220" s="2948"/>
      <c r="E220" s="2948"/>
      <c r="F220" s="2948">
        <v>2040</v>
      </c>
      <c r="G220" s="2961"/>
    </row>
    <row r="221" spans="1:7" s="2782" customFormat="1" ht="14.25" customHeight="1">
      <c r="A221" s="2948" t="s">
        <v>304</v>
      </c>
      <c r="B221" s="2948" t="s">
        <v>3089</v>
      </c>
      <c r="C221" s="2948"/>
      <c r="D221" s="2948"/>
      <c r="E221" s="2948"/>
      <c r="F221" s="2948">
        <v>2040</v>
      </c>
      <c r="G221" s="2961"/>
    </row>
    <row r="222" spans="1:7" s="2782" customFormat="1" ht="14.25" customHeight="1">
      <c r="A222" s="2948" t="s">
        <v>304</v>
      </c>
      <c r="B222" s="2948" t="s">
        <v>3090</v>
      </c>
      <c r="C222" s="2948"/>
      <c r="D222" s="2948"/>
      <c r="E222" s="2948"/>
      <c r="F222" s="2948">
        <v>2040</v>
      </c>
      <c r="G222" s="2961"/>
    </row>
    <row r="223" spans="1:7" s="2782" customFormat="1" ht="14.25" customHeight="1">
      <c r="A223" s="2948" t="s">
        <v>304</v>
      </c>
      <c r="B223" s="2948" t="s">
        <v>3091</v>
      </c>
      <c r="C223" s="2948"/>
      <c r="D223" s="2948"/>
      <c r="E223" s="2948"/>
      <c r="F223" s="2948">
        <v>1930</v>
      </c>
      <c r="G223" s="2961"/>
    </row>
    <row r="224" spans="1:7" s="2782" customFormat="1" ht="14.25" customHeight="1">
      <c r="A224" s="2948" t="s">
        <v>304</v>
      </c>
      <c r="B224" s="2948" t="s">
        <v>3092</v>
      </c>
      <c r="C224" s="2948"/>
      <c r="D224" s="2948"/>
      <c r="E224" s="2948"/>
      <c r="F224" s="2948">
        <v>1930</v>
      </c>
      <c r="G224" s="2961"/>
    </row>
    <row r="225" spans="1:7" s="2782" customFormat="1" ht="14.25" customHeight="1">
      <c r="A225" s="2948" t="s">
        <v>304</v>
      </c>
      <c r="B225" s="2948" t="s">
        <v>3093</v>
      </c>
      <c r="C225" s="2948"/>
      <c r="D225" s="2948"/>
      <c r="E225" s="2948"/>
      <c r="F225" s="2948">
        <v>1930</v>
      </c>
      <c r="G225" s="2961"/>
    </row>
    <row r="226" spans="1:7" s="2782" customFormat="1" ht="14.25" customHeight="1">
      <c r="A226" s="2948" t="s">
        <v>304</v>
      </c>
      <c r="B226" s="2948" t="s">
        <v>3094</v>
      </c>
      <c r="C226" s="2948"/>
      <c r="D226" s="2948"/>
      <c r="E226" s="2948"/>
      <c r="F226" s="2948">
        <v>1700</v>
      </c>
      <c r="G226" s="2961"/>
    </row>
    <row r="227" spans="1:7" s="2782" customFormat="1" ht="14.25" customHeight="1">
      <c r="A227" s="2948" t="s">
        <v>304</v>
      </c>
      <c r="B227" s="2948" t="s">
        <v>3095</v>
      </c>
      <c r="C227" s="2948"/>
      <c r="D227" s="2948"/>
      <c r="E227" s="2948"/>
      <c r="F227" s="2948">
        <v>1520</v>
      </c>
      <c r="G227" s="2961"/>
    </row>
    <row r="228" spans="1:7" s="2782" customFormat="1" ht="14.25" customHeight="1">
      <c r="A228" s="2948" t="s">
        <v>304</v>
      </c>
      <c r="B228" s="2948" t="s">
        <v>3096</v>
      </c>
      <c r="C228" s="2948"/>
      <c r="D228" s="2948"/>
      <c r="E228" s="2948"/>
      <c r="F228" s="2948">
        <v>1520</v>
      </c>
      <c r="G228" s="2961"/>
    </row>
    <row r="229" spans="1:7" s="2782" customFormat="1" ht="14.25" customHeight="1">
      <c r="A229" s="2948" t="s">
        <v>304</v>
      </c>
      <c r="B229" s="2948" t="s">
        <v>3013</v>
      </c>
      <c r="C229" s="2948"/>
      <c r="D229" s="2948"/>
      <c r="E229" s="2948"/>
      <c r="F229" s="2948">
        <v>1520</v>
      </c>
      <c r="G229" s="2961"/>
    </row>
    <row r="230" spans="1:7" s="2782" customFormat="1" ht="14.25" customHeight="1">
      <c r="A230" s="2948" t="s">
        <v>304</v>
      </c>
      <c r="B230" s="2948" t="s">
        <v>3097</v>
      </c>
      <c r="C230" s="2948"/>
      <c r="D230" s="2948"/>
      <c r="E230" s="2948"/>
      <c r="F230" s="2948">
        <v>1820</v>
      </c>
      <c r="G230" s="2961"/>
    </row>
    <row r="231" spans="1:7" s="2782" customFormat="1" ht="14.25" customHeight="1">
      <c r="A231" s="2948" t="s">
        <v>304</v>
      </c>
      <c r="B231" s="2948" t="s">
        <v>3098</v>
      </c>
      <c r="C231" s="2948"/>
      <c r="D231" s="2948"/>
      <c r="E231" s="2948"/>
      <c r="F231" s="2948">
        <v>1760</v>
      </c>
      <c r="G231" s="2961"/>
    </row>
    <row r="232" spans="1:7" s="2782" customFormat="1" ht="14.25" customHeight="1">
      <c r="A232" s="2948" t="s">
        <v>304</v>
      </c>
      <c r="B232" s="2948" t="s">
        <v>3099</v>
      </c>
      <c r="C232" s="2948"/>
      <c r="D232" s="2948"/>
      <c r="E232" s="2948"/>
      <c r="F232" s="2948">
        <v>1840</v>
      </c>
      <c r="G232" s="2961"/>
    </row>
    <row r="233" spans="1:7" s="2782" customFormat="1" ht="14.25" customHeight="1" thickBot="1">
      <c r="A233" s="2962" t="s">
        <v>304</v>
      </c>
      <c r="B233" s="2955" t="s">
        <v>3030</v>
      </c>
      <c r="C233" s="2955"/>
      <c r="D233" s="2955"/>
      <c r="E233" s="2955"/>
      <c r="F233" s="2955">
        <v>1770</v>
      </c>
      <c r="G233" s="2963"/>
    </row>
    <row r="234" spans="1:7" s="2782" customFormat="1" ht="14.25" customHeight="1">
      <c r="A234" s="2953" t="s">
        <v>305</v>
      </c>
      <c r="B234" s="2944" t="s">
        <v>3100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2871</v>
      </c>
      <c r="C238" s="2948">
        <v>6920</v>
      </c>
      <c r="D238" s="2948">
        <v>6890</v>
      </c>
      <c r="E238" s="2948">
        <v>8640</v>
      </c>
      <c r="F238" s="2948">
        <v>1310</v>
      </c>
      <c r="G238" s="2948">
        <v>4230</v>
      </c>
    </row>
    <row r="239" spans="1:7" s="2782" customFormat="1" ht="14.25" customHeight="1">
      <c r="A239" s="2948" t="s">
        <v>305</v>
      </c>
      <c r="B239" s="2948" t="s">
        <v>3101</v>
      </c>
      <c r="C239" s="2948">
        <v>6780</v>
      </c>
      <c r="D239" s="2948">
        <v>6750</v>
      </c>
      <c r="E239" s="2948">
        <v>8440</v>
      </c>
      <c r="F239" s="2948">
        <v>1160</v>
      </c>
      <c r="G239" s="2948">
        <v>4140</v>
      </c>
    </row>
    <row r="240" spans="1:7" s="2782" customFormat="1" ht="14.25" customHeight="1">
      <c r="A240" s="2948" t="s">
        <v>305</v>
      </c>
      <c r="B240" s="2948" t="s">
        <v>3102</v>
      </c>
      <c r="C240" s="2948">
        <v>5420</v>
      </c>
      <c r="D240" s="2948">
        <v>5380</v>
      </c>
      <c r="E240" s="2948">
        <v>6640</v>
      </c>
      <c r="F240" s="2948">
        <v>1020</v>
      </c>
      <c r="G240" s="2948">
        <v>3300</v>
      </c>
    </row>
    <row r="241" spans="1:7" s="2782" customFormat="1" ht="14.25" customHeight="1">
      <c r="A241" s="2948" t="s">
        <v>305</v>
      </c>
      <c r="B241" s="2948" t="s">
        <v>3103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2933</v>
      </c>
      <c r="C258" s="2948">
        <v>6190</v>
      </c>
      <c r="D258" s="2948">
        <v>6160</v>
      </c>
      <c r="E258" s="2948">
        <v>7680</v>
      </c>
      <c r="F258" s="2948">
        <v>1170</v>
      </c>
      <c r="G258" s="2948">
        <v>3780</v>
      </c>
    </row>
    <row r="259" spans="1:7" s="2782" customFormat="1" ht="14.25" customHeight="1">
      <c r="A259" s="2948" t="s">
        <v>305</v>
      </c>
      <c r="B259" s="2948" t="s">
        <v>3109</v>
      </c>
      <c r="C259" s="2948">
        <v>7610</v>
      </c>
      <c r="D259" s="2948">
        <v>7570</v>
      </c>
      <c r="E259" s="2948">
        <v>9350</v>
      </c>
      <c r="F259" s="2948">
        <v>1350</v>
      </c>
      <c r="G259" s="2948">
        <v>4650</v>
      </c>
    </row>
    <row r="260" spans="1:7" s="2782" customFormat="1" ht="14.25" customHeight="1">
      <c r="A260" s="2948" t="s">
        <v>305</v>
      </c>
      <c r="B260" s="2948" t="s">
        <v>3110</v>
      </c>
      <c r="C260" s="2948">
        <v>6920</v>
      </c>
      <c r="D260" s="2948">
        <v>6880</v>
      </c>
      <c r="E260" s="2948">
        <v>8380</v>
      </c>
      <c r="F260" s="2948">
        <v>1160</v>
      </c>
      <c r="G260" s="2948">
        <v>4220</v>
      </c>
    </row>
    <row r="261" spans="1:7" s="2782" customFormat="1" ht="14.25" customHeight="1">
      <c r="A261" s="2948" t="s">
        <v>305</v>
      </c>
      <c r="B261" s="2948" t="s">
        <v>3111</v>
      </c>
      <c r="C261" s="2948">
        <v>6850</v>
      </c>
      <c r="D261" s="2948">
        <v>6810</v>
      </c>
      <c r="E261" s="2948">
        <v>8290</v>
      </c>
      <c r="F261" s="2948">
        <v>1130</v>
      </c>
      <c r="G261" s="2948">
        <v>4180</v>
      </c>
    </row>
    <row r="262" spans="1:7" s="2782" customFormat="1" ht="14.25" customHeight="1">
      <c r="A262" s="2948" t="s">
        <v>305</v>
      </c>
      <c r="B262" s="2948" t="s">
        <v>3112</v>
      </c>
      <c r="C262" s="2948">
        <v>5860</v>
      </c>
      <c r="D262" s="2948">
        <v>5820</v>
      </c>
      <c r="E262" s="2948">
        <v>7640</v>
      </c>
      <c r="F262" s="2948">
        <v>1070</v>
      </c>
      <c r="G262" s="2948">
        <v>3570</v>
      </c>
    </row>
    <row r="263" spans="1:7" s="2782" customFormat="1" ht="14.25" customHeight="1">
      <c r="A263" s="2948" t="s">
        <v>305</v>
      </c>
      <c r="B263" s="2948" t="s">
        <v>3113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3114</v>
      </c>
      <c r="C265" s="2948"/>
      <c r="D265" s="2948"/>
      <c r="E265" s="2948"/>
      <c r="F265" s="2948">
        <v>1500</v>
      </c>
      <c r="G265" s="2948"/>
    </row>
    <row r="266" spans="1:7" s="2782" customFormat="1" ht="14.25" customHeight="1">
      <c r="A266" s="2948" t="s">
        <v>305</v>
      </c>
      <c r="B266" s="2948" t="s">
        <v>3115</v>
      </c>
      <c r="C266" s="2948"/>
      <c r="D266" s="2948"/>
      <c r="E266" s="2948"/>
      <c r="F266" s="2948">
        <v>1500</v>
      </c>
      <c r="G266" s="2948"/>
    </row>
    <row r="267" spans="1:7" s="2782" customFormat="1" ht="14.25" customHeight="1">
      <c r="A267" s="2948" t="s">
        <v>305</v>
      </c>
      <c r="B267" s="2948" t="s">
        <v>3116</v>
      </c>
      <c r="C267" s="2948"/>
      <c r="D267" s="2948"/>
      <c r="E267" s="2948"/>
      <c r="F267" s="2948">
        <v>1500</v>
      </c>
      <c r="G267" s="2948"/>
    </row>
    <row r="268" spans="1:7" s="2782" customFormat="1" ht="14.25" customHeight="1">
      <c r="A268" s="2948" t="s">
        <v>305</v>
      </c>
      <c r="B268" s="2948" t="s">
        <v>3117</v>
      </c>
      <c r="C268" s="2948"/>
      <c r="D268" s="2948"/>
      <c r="E268" s="2948"/>
      <c r="F268" s="2948">
        <v>1290</v>
      </c>
      <c r="G268" s="2948"/>
    </row>
    <row r="269" spans="1:7" s="2782" customFormat="1" ht="14.25" customHeight="1">
      <c r="A269" s="2948" t="s">
        <v>305</v>
      </c>
      <c r="B269" s="2948" t="s">
        <v>3118</v>
      </c>
      <c r="C269" s="2948"/>
      <c r="D269" s="2948"/>
      <c r="E269" s="2948"/>
      <c r="F269" s="2948">
        <v>1150</v>
      </c>
      <c r="G269" s="2948"/>
    </row>
    <row r="270" spans="1:7" s="2782" customFormat="1" ht="14.25" customHeight="1">
      <c r="A270" s="2948" t="s">
        <v>305</v>
      </c>
      <c r="B270" s="2948" t="s">
        <v>3119</v>
      </c>
      <c r="C270" s="2948"/>
      <c r="D270" s="2948"/>
      <c r="E270" s="2948"/>
      <c r="F270" s="2948">
        <v>1380</v>
      </c>
      <c r="G270" s="2948"/>
    </row>
    <row r="271" spans="1:7" s="2782" customFormat="1" ht="14.25" customHeight="1">
      <c r="A271" s="2948" t="s">
        <v>305</v>
      </c>
      <c r="B271" s="2948" t="s">
        <v>3120</v>
      </c>
      <c r="C271" s="2948"/>
      <c r="D271" s="2948"/>
      <c r="E271" s="2948"/>
      <c r="F271" s="2948">
        <v>1460</v>
      </c>
      <c r="G271" s="2948"/>
    </row>
    <row r="272" spans="1:7" s="2782" customFormat="1" ht="14.25" customHeight="1">
      <c r="A272" s="2948" t="s">
        <v>305</v>
      </c>
      <c r="B272" s="2948" t="s">
        <v>3121</v>
      </c>
      <c r="C272" s="2948"/>
      <c r="D272" s="2948"/>
      <c r="E272" s="2948"/>
      <c r="F272" s="2948">
        <v>1460</v>
      </c>
      <c r="G272" s="2948"/>
    </row>
    <row r="273" spans="1:7" s="2782" customFormat="1" ht="14.25" customHeight="1">
      <c r="A273" s="2948" t="s">
        <v>305</v>
      </c>
      <c r="B273" s="2948" t="s">
        <v>3014</v>
      </c>
      <c r="C273" s="2948"/>
      <c r="D273" s="2948"/>
      <c r="E273" s="2948"/>
      <c r="F273" s="2948">
        <v>1490</v>
      </c>
      <c r="G273" s="2948"/>
    </row>
    <row r="274" spans="1:7" s="2782" customFormat="1" ht="14.25" customHeight="1">
      <c r="A274" s="2948" t="s">
        <v>305</v>
      </c>
      <c r="B274" s="2948" t="s">
        <v>3122</v>
      </c>
      <c r="C274" s="2948"/>
      <c r="D274" s="2948"/>
      <c r="E274" s="2948"/>
      <c r="F274" s="2948">
        <v>1490</v>
      </c>
      <c r="G274" s="2948"/>
    </row>
    <row r="275" spans="1:7" s="2782" customFormat="1" ht="14.25" customHeight="1">
      <c r="A275" s="2948" t="s">
        <v>305</v>
      </c>
      <c r="B275" s="2948" t="s">
        <v>3123</v>
      </c>
      <c r="C275" s="2948"/>
      <c r="D275" s="2948"/>
      <c r="E275" s="2948"/>
      <c r="F275" s="2948">
        <v>1220</v>
      </c>
      <c r="G275" s="2948"/>
    </row>
    <row r="276" spans="1:7" s="2782" customFormat="1" ht="14.25" customHeight="1" thickBot="1">
      <c r="A276" s="2956" t="s">
        <v>305</v>
      </c>
      <c r="B276" s="2958" t="s">
        <v>3124</v>
      </c>
      <c r="C276" s="2959"/>
      <c r="D276" s="2959"/>
      <c r="E276" s="2959"/>
      <c r="F276" s="2959">
        <v>1380</v>
      </c>
      <c r="G276" s="2959"/>
    </row>
    <row r="277" spans="1:7" s="2782" customFormat="1" ht="14.25" customHeight="1">
      <c r="A277" s="2953" t="s">
        <v>306</v>
      </c>
      <c r="B277" s="2944" t="s">
        <v>3125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3126</v>
      </c>
      <c r="C279" s="2948">
        <v>4760</v>
      </c>
      <c r="D279" s="2948">
        <v>4720</v>
      </c>
      <c r="E279" s="2948">
        <v>5540</v>
      </c>
      <c r="F279" s="2948">
        <v>810</v>
      </c>
      <c r="G279" s="2961">
        <v>2850</v>
      </c>
    </row>
    <row r="280" spans="1:7" s="2782" customFormat="1" ht="14.25" customHeight="1">
      <c r="A280" s="2948" t="s">
        <v>306</v>
      </c>
      <c r="B280" s="2948" t="s">
        <v>3127</v>
      </c>
      <c r="C280" s="2948">
        <v>4010</v>
      </c>
      <c r="D280" s="2948">
        <v>3950</v>
      </c>
      <c r="E280" s="2948">
        <v>4710</v>
      </c>
      <c r="F280" s="2948">
        <v>800</v>
      </c>
      <c r="G280" s="2961">
        <v>2390</v>
      </c>
    </row>
    <row r="281" spans="1:7" s="2782" customFormat="1" ht="14.25" customHeight="1">
      <c r="A281" s="2948" t="s">
        <v>306</v>
      </c>
      <c r="B281" s="2948" t="s">
        <v>3128</v>
      </c>
      <c r="C281" s="2948">
        <v>4480</v>
      </c>
      <c r="D281" s="2948">
        <v>4420</v>
      </c>
      <c r="E281" s="2948">
        <v>5230</v>
      </c>
      <c r="F281" s="2948">
        <v>870</v>
      </c>
      <c r="G281" s="2961">
        <v>2660</v>
      </c>
    </row>
    <row r="282" spans="1:7" s="2782" customFormat="1" ht="14.25" customHeight="1">
      <c r="A282" s="2948" t="s">
        <v>306</v>
      </c>
      <c r="B282" s="2948" t="s">
        <v>3129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2906</v>
      </c>
      <c r="C293" s="2948">
        <v>5320</v>
      </c>
      <c r="D293" s="2948">
        <v>5270</v>
      </c>
      <c r="E293" s="2948">
        <v>6160</v>
      </c>
      <c r="F293" s="2948">
        <v>990</v>
      </c>
      <c r="G293" s="2961">
        <v>3170</v>
      </c>
    </row>
    <row r="294" spans="1:7" s="2782" customFormat="1" ht="14.25" customHeight="1">
      <c r="A294" s="2948" t="s">
        <v>306</v>
      </c>
      <c r="B294" s="2948" t="s">
        <v>3132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3133</v>
      </c>
      <c r="C302" s="2948">
        <v>5520</v>
      </c>
      <c r="D302" s="2948">
        <v>5470</v>
      </c>
      <c r="E302" s="2948">
        <v>6410</v>
      </c>
      <c r="F302" s="2948">
        <v>950</v>
      </c>
      <c r="G302" s="2961">
        <v>3300</v>
      </c>
    </row>
    <row r="303" spans="1:7" s="2782" customFormat="1" ht="14.25" customHeight="1">
      <c r="A303" s="2948" t="s">
        <v>306</v>
      </c>
      <c r="B303" s="2948" t="s">
        <v>2945</v>
      </c>
      <c r="C303" s="2948">
        <v>5630</v>
      </c>
      <c r="D303" s="2948">
        <v>5590</v>
      </c>
      <c r="E303" s="2948">
        <v>6550</v>
      </c>
      <c r="F303" s="2948">
        <v>1010</v>
      </c>
      <c r="G303" s="2961">
        <v>3370</v>
      </c>
    </row>
    <row r="304" spans="1:7" s="2782" customFormat="1" ht="14.25" customHeight="1">
      <c r="A304" s="2948" t="s">
        <v>306</v>
      </c>
      <c r="B304" s="2948" t="s">
        <v>2952</v>
      </c>
      <c r="C304" s="2948">
        <v>5680</v>
      </c>
      <c r="D304" s="2948">
        <v>5620</v>
      </c>
      <c r="E304" s="2948">
        <v>6620</v>
      </c>
      <c r="F304" s="2948">
        <v>1050</v>
      </c>
      <c r="G304" s="2961">
        <v>3390</v>
      </c>
    </row>
    <row r="305" spans="1:7" s="2782" customFormat="1" ht="14.25" customHeight="1">
      <c r="A305" s="2948" t="s">
        <v>306</v>
      </c>
      <c r="B305" s="2948" t="s">
        <v>2958</v>
      </c>
      <c r="C305" s="2948">
        <v>5590</v>
      </c>
      <c r="D305" s="2948">
        <v>5530</v>
      </c>
      <c r="E305" s="2948">
        <v>6460</v>
      </c>
      <c r="F305" s="2948">
        <v>900</v>
      </c>
      <c r="G305" s="2961">
        <v>3340</v>
      </c>
    </row>
    <row r="306" spans="1:7" s="2782" customFormat="1" ht="14.25" customHeight="1">
      <c r="A306" s="2948" t="s">
        <v>306</v>
      </c>
      <c r="B306" s="2948" t="s">
        <v>3134</v>
      </c>
      <c r="C306" s="2948">
        <v>5560</v>
      </c>
      <c r="D306" s="2948">
        <v>5510</v>
      </c>
      <c r="E306" s="2948">
        <v>6440</v>
      </c>
      <c r="F306" s="2948">
        <v>900</v>
      </c>
      <c r="G306" s="2961">
        <v>3320</v>
      </c>
    </row>
    <row r="307" spans="1:7" s="2782" customFormat="1" ht="14.25" customHeight="1">
      <c r="A307" s="2948" t="s">
        <v>306</v>
      </c>
      <c r="B307" s="2948" t="s">
        <v>2970</v>
      </c>
      <c r="C307" s="2948">
        <v>5650</v>
      </c>
      <c r="D307" s="2948">
        <v>5600</v>
      </c>
      <c r="E307" s="2948">
        <v>6590</v>
      </c>
      <c r="F307" s="2948">
        <v>930</v>
      </c>
      <c r="G307" s="2961">
        <v>3380</v>
      </c>
    </row>
    <row r="308" spans="1:7" s="2782" customFormat="1" ht="14.25" customHeight="1">
      <c r="A308" s="2948" t="s">
        <v>306</v>
      </c>
      <c r="B308" s="2948" t="s">
        <v>3135</v>
      </c>
      <c r="C308" s="2948">
        <v>5620</v>
      </c>
      <c r="D308" s="2948">
        <v>5580</v>
      </c>
      <c r="E308" s="2948">
        <v>6540</v>
      </c>
      <c r="F308" s="2948">
        <v>910</v>
      </c>
      <c r="G308" s="2961">
        <v>3370</v>
      </c>
    </row>
    <row r="309" spans="1:7" s="2782" customFormat="1" ht="14.25" customHeight="1">
      <c r="A309" s="2948" t="s">
        <v>306</v>
      </c>
      <c r="B309" s="2948" t="s">
        <v>3136</v>
      </c>
      <c r="C309" s="2948">
        <v>5060</v>
      </c>
      <c r="D309" s="2948">
        <v>5020</v>
      </c>
      <c r="E309" s="2948">
        <v>6370</v>
      </c>
      <c r="F309" s="2948">
        <v>800</v>
      </c>
      <c r="G309" s="2961">
        <v>3020</v>
      </c>
    </row>
    <row r="310" spans="1:7" s="2782" customFormat="1" ht="14.25" customHeight="1">
      <c r="A310" s="2948" t="s">
        <v>306</v>
      </c>
      <c r="B310" s="2948" t="s">
        <v>2985</v>
      </c>
      <c r="C310" s="2948">
        <v>5150</v>
      </c>
      <c r="D310" s="2948">
        <v>5110</v>
      </c>
      <c r="E310" s="2948">
        <v>6500</v>
      </c>
      <c r="F310" s="2948">
        <v>880</v>
      </c>
      <c r="G310" s="2961">
        <v>3080</v>
      </c>
    </row>
    <row r="311" spans="1:7" s="2782" customFormat="1" ht="14.25" customHeight="1">
      <c r="A311" s="2948" t="s">
        <v>306</v>
      </c>
      <c r="B311" s="2948" t="s">
        <v>3137</v>
      </c>
      <c r="C311" s="2948">
        <v>4750</v>
      </c>
      <c r="D311" s="2948">
        <v>4710</v>
      </c>
      <c r="E311" s="2948">
        <v>5510</v>
      </c>
      <c r="F311" s="2948">
        <v>880</v>
      </c>
      <c r="G311" s="2961">
        <v>2840</v>
      </c>
    </row>
    <row r="312" spans="1:7" s="2782" customFormat="1" ht="14.25" customHeight="1">
      <c r="A312" s="2948" t="s">
        <v>306</v>
      </c>
      <c r="B312" s="2948" t="s">
        <v>2995</v>
      </c>
      <c r="C312" s="2948">
        <v>4690</v>
      </c>
      <c r="D312" s="2948">
        <v>4640</v>
      </c>
      <c r="E312" s="2948">
        <v>5420</v>
      </c>
      <c r="F312" s="2948">
        <v>800</v>
      </c>
      <c r="G312" s="2961">
        <v>2800</v>
      </c>
    </row>
    <row r="313" spans="1:7" s="2782" customFormat="1" ht="14.25" customHeight="1">
      <c r="A313" s="2948" t="s">
        <v>306</v>
      </c>
      <c r="B313" s="2948" t="s">
        <v>3000</v>
      </c>
      <c r="C313" s="2948">
        <v>4810</v>
      </c>
      <c r="D313" s="2948">
        <v>4760</v>
      </c>
      <c r="E313" s="2948">
        <v>5550</v>
      </c>
      <c r="F313" s="2948">
        <v>920</v>
      </c>
      <c r="G313" s="2961">
        <v>2870</v>
      </c>
    </row>
    <row r="314" spans="1:7" s="2782" customFormat="1" ht="14.25" customHeight="1">
      <c r="A314" s="2948" t="s">
        <v>306</v>
      </c>
      <c r="B314" s="2948" t="s">
        <v>3138</v>
      </c>
      <c r="C314" s="2948"/>
      <c r="D314" s="2948"/>
      <c r="E314" s="2948"/>
      <c r="F314" s="2948">
        <v>1020</v>
      </c>
      <c r="G314" s="2961"/>
    </row>
    <row r="315" spans="1:7" s="2782" customFormat="1" ht="14.25" customHeight="1">
      <c r="A315" s="2948" t="s">
        <v>306</v>
      </c>
      <c r="B315" s="2948" t="s">
        <v>3139</v>
      </c>
      <c r="C315" s="2948"/>
      <c r="D315" s="2948"/>
      <c r="E315" s="2948"/>
      <c r="F315" s="2948">
        <v>1050</v>
      </c>
      <c r="G315" s="2961"/>
    </row>
    <row r="316" spans="1:7" s="2782" customFormat="1" ht="14.25" customHeight="1">
      <c r="A316" s="2948" t="s">
        <v>306</v>
      </c>
      <c r="B316" s="2948" t="s">
        <v>3015</v>
      </c>
      <c r="C316" s="2948"/>
      <c r="D316" s="2948"/>
      <c r="E316" s="2948"/>
      <c r="F316" s="2948">
        <v>900</v>
      </c>
      <c r="G316" s="2961"/>
    </row>
    <row r="317" spans="1:7" s="2782" customFormat="1" ht="14.25" customHeight="1">
      <c r="A317" s="2948" t="s">
        <v>306</v>
      </c>
      <c r="B317" s="2948" t="s">
        <v>3140</v>
      </c>
      <c r="C317" s="2948"/>
      <c r="D317" s="2948"/>
      <c r="E317" s="2948"/>
      <c r="F317" s="2948">
        <v>920</v>
      </c>
      <c r="G317" s="2961"/>
    </row>
    <row r="318" spans="1:7" s="2782" customFormat="1" ht="14.25" customHeight="1">
      <c r="A318" s="2948" t="s">
        <v>306</v>
      </c>
      <c r="B318" s="2948" t="s">
        <v>3141</v>
      </c>
      <c r="C318" s="2948"/>
      <c r="D318" s="2948"/>
      <c r="E318" s="2948"/>
      <c r="F318" s="2948">
        <v>1080</v>
      </c>
      <c r="G318" s="2961"/>
    </row>
    <row r="319" spans="1:7" s="2782" customFormat="1" ht="14.25" customHeight="1">
      <c r="A319" s="2948" t="s">
        <v>306</v>
      </c>
      <c r="B319" s="2948" t="s">
        <v>3028</v>
      </c>
      <c r="C319" s="2948"/>
      <c r="D319" s="2948"/>
      <c r="E319" s="2948"/>
      <c r="F319" s="2948">
        <v>1020</v>
      </c>
      <c r="G319" s="2961"/>
    </row>
    <row r="320" spans="1:7" s="2782" customFormat="1" ht="14.25" customHeight="1">
      <c r="A320" s="2948" t="s">
        <v>306</v>
      </c>
      <c r="B320" s="2948" t="s">
        <v>3031</v>
      </c>
      <c r="C320" s="2948"/>
      <c r="D320" s="2948"/>
      <c r="E320" s="2948"/>
      <c r="F320" s="2948">
        <v>1050</v>
      </c>
      <c r="G320" s="2961"/>
    </row>
    <row r="321" spans="1:7" s="2782" customFormat="1" ht="14.25" customHeight="1">
      <c r="A321" s="2948" t="s">
        <v>306</v>
      </c>
      <c r="B321" s="2948" t="s">
        <v>3033</v>
      </c>
      <c r="C321" s="2948"/>
      <c r="D321" s="2948"/>
      <c r="E321" s="2948"/>
      <c r="F321" s="2948">
        <v>960</v>
      </c>
      <c r="G321" s="2961"/>
    </row>
    <row r="322" spans="1:7" s="2782" customFormat="1" ht="14.25" customHeight="1">
      <c r="A322" s="2948" t="s">
        <v>306</v>
      </c>
      <c r="B322" s="2948" t="s">
        <v>3035</v>
      </c>
      <c r="C322" s="2948"/>
      <c r="D322" s="2948"/>
      <c r="E322" s="2948"/>
      <c r="F322" s="2948">
        <v>960</v>
      </c>
      <c r="G322" s="2961"/>
    </row>
    <row r="323" spans="1:7" s="2782" customFormat="1" ht="14.25" customHeight="1">
      <c r="A323" s="2948" t="s">
        <v>306</v>
      </c>
      <c r="B323" s="2948" t="s">
        <v>3037</v>
      </c>
      <c r="C323" s="2948"/>
      <c r="D323" s="2948"/>
      <c r="E323" s="2948"/>
      <c r="F323" s="2948">
        <v>880</v>
      </c>
      <c r="G323" s="2961"/>
    </row>
    <row r="324" spans="1:7" s="2782" customFormat="1" ht="14.25" customHeight="1">
      <c r="A324" s="2948" t="s">
        <v>306</v>
      </c>
      <c r="B324" s="2948" t="s">
        <v>3039</v>
      </c>
      <c r="C324" s="2948"/>
      <c r="D324" s="2948"/>
      <c r="E324" s="2948"/>
      <c r="F324" s="2948">
        <v>930</v>
      </c>
      <c r="G324" s="2961"/>
    </row>
    <row r="325" spans="1:7" s="2782" customFormat="1" ht="14.25" customHeight="1">
      <c r="A325" s="2948" t="s">
        <v>306</v>
      </c>
      <c r="B325" s="2949" t="s">
        <v>3041</v>
      </c>
      <c r="C325" s="2948"/>
      <c r="D325" s="2948"/>
      <c r="E325" s="2948"/>
      <c r="F325" s="2948">
        <v>900</v>
      </c>
      <c r="G325" s="2961"/>
    </row>
    <row r="326" spans="1:7" s="2782" customFormat="1" ht="14.25" customHeight="1" thickBot="1">
      <c r="A326" s="2962" t="s">
        <v>306</v>
      </c>
      <c r="B326" s="2955" t="s">
        <v>3043</v>
      </c>
      <c r="C326" s="2955"/>
      <c r="D326" s="2955"/>
      <c r="E326" s="2955"/>
      <c r="F326" s="2955">
        <v>790</v>
      </c>
      <c r="G326" s="2963"/>
    </row>
    <row r="327" spans="1:7" s="2782" customFormat="1" ht="14.25" customHeight="1">
      <c r="A327" s="2953" t="s">
        <v>307</v>
      </c>
      <c r="B327" s="2944" t="s">
        <v>3142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3143</v>
      </c>
      <c r="C329" s="2948">
        <v>2730</v>
      </c>
      <c r="D329" s="2948">
        <v>2690</v>
      </c>
      <c r="E329" s="2948">
        <v>3100</v>
      </c>
      <c r="F329" s="2948">
        <v>660</v>
      </c>
      <c r="G329" s="2948">
        <v>1610</v>
      </c>
    </row>
    <row r="330" spans="1:7" s="2782" customFormat="1" ht="14.25" customHeight="1">
      <c r="A330" s="2948" t="s">
        <v>307</v>
      </c>
      <c r="B330" s="2948" t="s">
        <v>3144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2877</v>
      </c>
      <c r="C332" s="2948">
        <v>3520</v>
      </c>
      <c r="D332" s="2948">
        <v>3480</v>
      </c>
      <c r="E332" s="2948">
        <v>3830</v>
      </c>
      <c r="F332" s="2948">
        <v>720</v>
      </c>
      <c r="G332" s="2948">
        <v>2090</v>
      </c>
    </row>
    <row r="333" spans="1:7" s="2782" customFormat="1" ht="14.25" customHeight="1">
      <c r="A333" s="2948" t="s">
        <v>307</v>
      </c>
      <c r="B333" s="2948" t="s">
        <v>3145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2887</v>
      </c>
      <c r="C336" s="2948">
        <v>3570</v>
      </c>
      <c r="D336" s="2948">
        <v>3530</v>
      </c>
      <c r="E336" s="2948">
        <v>3880</v>
      </c>
      <c r="F336" s="2948">
        <v>770</v>
      </c>
      <c r="G336" s="2948">
        <v>2110</v>
      </c>
    </row>
    <row r="337" spans="1:10" s="2782" customFormat="1" ht="14.25" customHeight="1">
      <c r="A337" s="2948" t="s">
        <v>307</v>
      </c>
      <c r="B337" s="2948" t="s">
        <v>3146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2912</v>
      </c>
      <c r="C345" s="2948">
        <v>3190</v>
      </c>
      <c r="D345" s="2948">
        <v>3140</v>
      </c>
      <c r="E345" s="2948">
        <v>3450</v>
      </c>
      <c r="F345" s="2948">
        <v>720</v>
      </c>
      <c r="G345" s="2948">
        <v>1880</v>
      </c>
      <c r="J345" s="2782"/>
    </row>
    <row r="346" spans="1:10">
      <c r="A346" s="2948" t="s">
        <v>307</v>
      </c>
      <c r="B346" s="2948" t="s">
        <v>3149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2921</v>
      </c>
      <c r="C348" s="2948">
        <v>4000</v>
      </c>
      <c r="D348" s="2948">
        <v>3950</v>
      </c>
      <c r="E348" s="2948">
        <v>4430</v>
      </c>
      <c r="F348" s="2948">
        <v>760</v>
      </c>
      <c r="G348" s="2948">
        <v>2360</v>
      </c>
      <c r="J348" s="2782"/>
    </row>
    <row r="349" spans="1:10">
      <c r="A349" s="2948" t="s">
        <v>307</v>
      </c>
      <c r="B349" s="2948" t="s">
        <v>2926</v>
      </c>
      <c r="C349" s="2948">
        <v>3820</v>
      </c>
      <c r="D349" s="2948">
        <v>3780</v>
      </c>
      <c r="E349" s="2948">
        <v>4170</v>
      </c>
      <c r="F349" s="2948">
        <v>710</v>
      </c>
      <c r="G349" s="2948">
        <v>2260</v>
      </c>
      <c r="J349" s="2782"/>
    </row>
    <row r="350" spans="1:10">
      <c r="A350" s="2948" t="s">
        <v>307</v>
      </c>
      <c r="B350" s="2948" t="s">
        <v>3150</v>
      </c>
      <c r="C350" s="2948">
        <v>3760</v>
      </c>
      <c r="D350" s="2948">
        <v>3730</v>
      </c>
      <c r="E350" s="2948">
        <v>4100</v>
      </c>
      <c r="F350" s="2948">
        <v>800</v>
      </c>
      <c r="G350" s="2948">
        <v>2230</v>
      </c>
      <c r="J350" s="2782"/>
    </row>
    <row r="351" spans="1:10">
      <c r="A351" s="2948" t="s">
        <v>307</v>
      </c>
      <c r="B351" s="2948" t="s">
        <v>2934</v>
      </c>
      <c r="C351" s="2948">
        <v>3610</v>
      </c>
      <c r="D351" s="2948">
        <v>3580</v>
      </c>
      <c r="E351" s="2948">
        <v>3930</v>
      </c>
      <c r="F351" s="2948">
        <v>700</v>
      </c>
      <c r="G351" s="2948">
        <v>2140</v>
      </c>
      <c r="J351" s="2782"/>
    </row>
    <row r="352" spans="1:10">
      <c r="A352" s="2948" t="s">
        <v>307</v>
      </c>
      <c r="B352" s="2948" t="s">
        <v>2939</v>
      </c>
      <c r="C352" s="2948">
        <v>3670</v>
      </c>
      <c r="D352" s="2948">
        <v>3630</v>
      </c>
      <c r="E352" s="2948">
        <v>4000</v>
      </c>
      <c r="F352" s="2948">
        <v>750</v>
      </c>
      <c r="G352" s="2948">
        <v>2180</v>
      </c>
    </row>
    <row r="353" spans="1:7" s="2783" customFormat="1">
      <c r="A353" s="2948" t="s">
        <v>307</v>
      </c>
      <c r="B353" s="2948" t="s">
        <v>3151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2959</v>
      </c>
      <c r="C355" s="2948">
        <v>3650</v>
      </c>
      <c r="D355" s="2948">
        <v>3610</v>
      </c>
      <c r="E355" s="2948">
        <v>4200</v>
      </c>
      <c r="F355" s="2948">
        <v>640</v>
      </c>
      <c r="G355" s="2948">
        <v>2160</v>
      </c>
    </row>
    <row r="356" spans="1:7" s="2783" customFormat="1">
      <c r="A356" s="2948" t="s">
        <v>307</v>
      </c>
      <c r="B356" s="2948" t="s">
        <v>2966</v>
      </c>
      <c r="C356" s="2948">
        <v>3260</v>
      </c>
      <c r="D356" s="2948">
        <v>3230</v>
      </c>
      <c r="E356" s="2948">
        <v>3740</v>
      </c>
      <c r="F356" s="2948">
        <v>600</v>
      </c>
      <c r="G356" s="2948">
        <v>1930</v>
      </c>
    </row>
    <row r="357" spans="1:7" s="2783" customFormat="1" ht="12" thickBot="1">
      <c r="A357" s="2956" t="s">
        <v>307</v>
      </c>
      <c r="B357" s="2959" t="s">
        <v>3152</v>
      </c>
      <c r="C357" s="2959">
        <v>3690</v>
      </c>
      <c r="D357" s="2959">
        <v>3650</v>
      </c>
      <c r="E357" s="2959">
        <v>4020</v>
      </c>
      <c r="F357" s="2959">
        <v>700</v>
      </c>
      <c r="G357" s="2959">
        <v>2190</v>
      </c>
    </row>
    <row r="358" spans="1:7" s="2783" customFormat="1">
      <c r="A358" s="2953" t="s">
        <v>3153</v>
      </c>
      <c r="B358" s="2944" t="s">
        <v>3154</v>
      </c>
      <c r="C358" s="2944">
        <v>2080</v>
      </c>
      <c r="D358" s="2944">
        <v>2040</v>
      </c>
      <c r="E358" s="2944">
        <v>2010</v>
      </c>
      <c r="F358" s="2944">
        <v>530</v>
      </c>
      <c r="G358" s="2960">
        <v>1230</v>
      </c>
    </row>
    <row r="359" spans="1:7" s="2783" customFormat="1">
      <c r="A359" s="2948" t="s">
        <v>3153</v>
      </c>
      <c r="B359" s="2948" t="s">
        <v>3155</v>
      </c>
      <c r="C359" s="2948">
        <v>1850</v>
      </c>
      <c r="D359" s="2948">
        <v>1820</v>
      </c>
      <c r="E359" s="2948">
        <v>1780</v>
      </c>
      <c r="F359" s="2948">
        <v>520</v>
      </c>
      <c r="G359" s="2961">
        <v>1100</v>
      </c>
    </row>
    <row r="360" spans="1:7" s="2783" customFormat="1">
      <c r="A360" s="2948" t="s">
        <v>3153</v>
      </c>
      <c r="B360" s="2948" t="s">
        <v>3156</v>
      </c>
      <c r="C360" s="2948">
        <v>2020</v>
      </c>
      <c r="D360" s="2948">
        <v>1990</v>
      </c>
      <c r="E360" s="2948">
        <v>1950</v>
      </c>
      <c r="F360" s="2948">
        <v>500</v>
      </c>
      <c r="G360" s="2961">
        <v>1200</v>
      </c>
    </row>
    <row r="361" spans="1:7" s="2783" customFormat="1">
      <c r="A361" s="2948" t="s">
        <v>3153</v>
      </c>
      <c r="B361" s="2948" t="s">
        <v>153</v>
      </c>
      <c r="C361" s="2948">
        <v>2260</v>
      </c>
      <c r="D361" s="2948">
        <v>2220</v>
      </c>
      <c r="E361" s="2948">
        <v>2180</v>
      </c>
      <c r="F361" s="2948">
        <v>580</v>
      </c>
      <c r="G361" s="2961">
        <v>1340</v>
      </c>
    </row>
    <row r="362" spans="1:7" s="2783" customFormat="1">
      <c r="A362" s="2948" t="s">
        <v>3153</v>
      </c>
      <c r="B362" s="2948" t="s">
        <v>3157</v>
      </c>
      <c r="C362" s="2948">
        <v>2650</v>
      </c>
      <c r="D362" s="2948">
        <v>2610</v>
      </c>
      <c r="E362" s="2948">
        <v>2570</v>
      </c>
      <c r="F362" s="2948">
        <v>630</v>
      </c>
      <c r="G362" s="2961">
        <v>1570</v>
      </c>
    </row>
    <row r="363" spans="1:7" s="2783" customFormat="1">
      <c r="A363" s="2948" t="s">
        <v>3153</v>
      </c>
      <c r="B363" s="2948" t="s">
        <v>2878</v>
      </c>
      <c r="C363" s="2948">
        <v>2390</v>
      </c>
      <c r="D363" s="2948">
        <v>2360</v>
      </c>
      <c r="E363" s="2948">
        <v>2320</v>
      </c>
      <c r="F363" s="2948">
        <v>600</v>
      </c>
      <c r="G363" s="2961">
        <v>1420</v>
      </c>
    </row>
    <row r="364" spans="1:7" s="2783" customFormat="1">
      <c r="A364" s="2948" t="s">
        <v>3153</v>
      </c>
      <c r="B364" s="2948" t="s">
        <v>3158</v>
      </c>
      <c r="C364" s="2948">
        <v>2050</v>
      </c>
      <c r="D364" s="2948">
        <v>2030</v>
      </c>
      <c r="E364" s="2948">
        <v>1990</v>
      </c>
      <c r="F364" s="2948">
        <v>550</v>
      </c>
      <c r="G364" s="2961">
        <v>1220</v>
      </c>
    </row>
    <row r="365" spans="1:7" s="2783" customFormat="1">
      <c r="A365" s="2948" t="s">
        <v>3153</v>
      </c>
      <c r="B365" s="2948" t="s">
        <v>200</v>
      </c>
      <c r="C365" s="2948">
        <v>2140</v>
      </c>
      <c r="D365" s="2948">
        <v>2100</v>
      </c>
      <c r="E365" s="2948">
        <v>2060</v>
      </c>
      <c r="F365" s="2948">
        <v>540</v>
      </c>
      <c r="G365" s="2961">
        <v>1270</v>
      </c>
    </row>
    <row r="366" spans="1:7" s="2783" customFormat="1">
      <c r="A366" s="2948" t="s">
        <v>3153</v>
      </c>
      <c r="B366" s="2948" t="s">
        <v>2885</v>
      </c>
      <c r="C366" s="2948">
        <v>2410</v>
      </c>
      <c r="D366" s="2948">
        <v>2370</v>
      </c>
      <c r="E366" s="2948">
        <v>2330</v>
      </c>
      <c r="F366" s="2948">
        <v>570</v>
      </c>
      <c r="G366" s="2961">
        <v>1440</v>
      </c>
    </row>
    <row r="367" spans="1:7" s="2783" customFormat="1">
      <c r="A367" s="2948" t="s">
        <v>3153</v>
      </c>
      <c r="B367" s="2948" t="s">
        <v>3159</v>
      </c>
      <c r="C367" s="2948">
        <v>2300</v>
      </c>
      <c r="D367" s="2948">
        <v>2260</v>
      </c>
      <c r="E367" s="2948">
        <v>2220</v>
      </c>
      <c r="F367" s="2948">
        <v>560</v>
      </c>
      <c r="G367" s="2961">
        <v>1370</v>
      </c>
    </row>
    <row r="368" spans="1:7" s="2783" customFormat="1">
      <c r="A368" s="2948" t="s">
        <v>3153</v>
      </c>
      <c r="B368" s="2948" t="s">
        <v>3160</v>
      </c>
      <c r="C368" s="2948">
        <v>2430</v>
      </c>
      <c r="D368" s="2948">
        <v>2390</v>
      </c>
      <c r="E368" s="2948">
        <v>2350</v>
      </c>
      <c r="F368" s="2948">
        <v>570</v>
      </c>
      <c r="G368" s="2961">
        <v>1450</v>
      </c>
    </row>
    <row r="369" spans="1:7" s="2783" customFormat="1">
      <c r="A369" s="2948" t="s">
        <v>3153</v>
      </c>
      <c r="B369" s="2948" t="s">
        <v>214</v>
      </c>
      <c r="C369" s="2948">
        <v>2320</v>
      </c>
      <c r="D369" s="2948">
        <v>2290</v>
      </c>
      <c r="E369" s="2948">
        <v>2250</v>
      </c>
      <c r="F369" s="2948">
        <v>550</v>
      </c>
      <c r="G369" s="2961">
        <v>1380</v>
      </c>
    </row>
    <row r="370" spans="1:7" s="2783" customFormat="1">
      <c r="A370" s="2948" t="s">
        <v>3153</v>
      </c>
      <c r="B370" s="2948" t="s">
        <v>221</v>
      </c>
      <c r="C370" s="2948">
        <v>2190</v>
      </c>
      <c r="D370" s="2948">
        <v>2170</v>
      </c>
      <c r="E370" s="2948">
        <v>2130</v>
      </c>
      <c r="F370" s="2948">
        <v>530</v>
      </c>
      <c r="G370" s="2961">
        <v>1310</v>
      </c>
    </row>
    <row r="371" spans="1:7" s="2783" customFormat="1">
      <c r="A371" s="2948" t="s">
        <v>3153</v>
      </c>
      <c r="B371" s="2948" t="s">
        <v>229</v>
      </c>
      <c r="C371" s="2948">
        <v>2460</v>
      </c>
      <c r="D371" s="2948">
        <v>2420</v>
      </c>
      <c r="E371" s="2948">
        <v>2370</v>
      </c>
      <c r="F371" s="2948">
        <v>560</v>
      </c>
      <c r="G371" s="2961">
        <v>1470</v>
      </c>
    </row>
    <row r="372" spans="1:7" s="2783" customFormat="1">
      <c r="A372" s="2948" t="s">
        <v>3153</v>
      </c>
      <c r="B372" s="2948" t="s">
        <v>3161</v>
      </c>
      <c r="C372" s="2948">
        <v>2250</v>
      </c>
      <c r="D372" s="2948">
        <v>2210</v>
      </c>
      <c r="E372" s="2948">
        <v>2180</v>
      </c>
      <c r="F372" s="2948">
        <v>550</v>
      </c>
      <c r="G372" s="2961">
        <v>1340</v>
      </c>
    </row>
    <row r="373" spans="1:7" s="2783" customFormat="1">
      <c r="A373" s="2948" t="s">
        <v>3153</v>
      </c>
      <c r="B373" s="2948" t="s">
        <v>258</v>
      </c>
      <c r="C373" s="2948">
        <v>2210</v>
      </c>
      <c r="D373" s="2948">
        <v>2190</v>
      </c>
      <c r="E373" s="2948">
        <v>2150</v>
      </c>
      <c r="F373" s="2948">
        <v>530</v>
      </c>
      <c r="G373" s="2961">
        <v>1320</v>
      </c>
    </row>
    <row r="374" spans="1:7" s="2783" customFormat="1">
      <c r="A374" s="2948" t="s">
        <v>3153</v>
      </c>
      <c r="B374" s="2948" t="s">
        <v>266</v>
      </c>
      <c r="C374" s="2948">
        <v>2320</v>
      </c>
      <c r="D374" s="2948">
        <v>2280</v>
      </c>
      <c r="E374" s="2948">
        <v>2230</v>
      </c>
      <c r="F374" s="2948">
        <v>580</v>
      </c>
      <c r="G374" s="2961">
        <v>1380</v>
      </c>
    </row>
    <row r="375" spans="1:7" s="2783" customFormat="1">
      <c r="A375" s="2948" t="s">
        <v>3153</v>
      </c>
      <c r="B375" s="2948" t="s">
        <v>3162</v>
      </c>
      <c r="C375" s="2948">
        <v>2090</v>
      </c>
      <c r="D375" s="2948">
        <v>2050</v>
      </c>
      <c r="E375" s="2948">
        <v>2020</v>
      </c>
      <c r="F375" s="2948">
        <v>520</v>
      </c>
      <c r="G375" s="2961">
        <v>1240</v>
      </c>
    </row>
    <row r="376" spans="1:7" s="2783" customFormat="1">
      <c r="A376" s="2948" t="s">
        <v>3153</v>
      </c>
      <c r="B376" s="2948" t="s">
        <v>277</v>
      </c>
      <c r="C376" s="2948">
        <v>2010</v>
      </c>
      <c r="D376" s="2948">
        <v>1980</v>
      </c>
      <c r="E376" s="2948">
        <v>1940</v>
      </c>
      <c r="F376" s="2948">
        <v>540</v>
      </c>
      <c r="G376" s="2961">
        <v>1190</v>
      </c>
    </row>
    <row r="377" spans="1:7" s="2783" customFormat="1" ht="12" thickBot="1">
      <c r="A377" s="2956" t="s">
        <v>3153</v>
      </c>
      <c r="B377" s="2959" t="s">
        <v>2915</v>
      </c>
      <c r="C377" s="2959">
        <v>1930</v>
      </c>
      <c r="D377" s="2959">
        <v>1890</v>
      </c>
      <c r="E377" s="2959">
        <v>1860</v>
      </c>
      <c r="F377" s="2959">
        <v>530</v>
      </c>
      <c r="G377" s="2964">
        <v>1150</v>
      </c>
    </row>
    <row r="378" spans="1:7" s="2783" customFormat="1">
      <c r="A378" s="2965" t="s">
        <v>3163</v>
      </c>
      <c r="B378" s="2944" t="s">
        <v>3164</v>
      </c>
      <c r="C378" s="2944">
        <v>1520</v>
      </c>
      <c r="D378" s="2944">
        <v>1490</v>
      </c>
      <c r="E378" s="2944">
        <v>1460</v>
      </c>
      <c r="F378" s="2944">
        <v>460</v>
      </c>
      <c r="G378" s="2960">
        <v>940</v>
      </c>
    </row>
    <row r="379" spans="1:7" s="2783" customFormat="1">
      <c r="A379" s="2966" t="s">
        <v>3163</v>
      </c>
      <c r="B379" s="2948" t="s">
        <v>3165</v>
      </c>
      <c r="C379" s="2948">
        <v>1500</v>
      </c>
      <c r="D379" s="2948">
        <v>1470</v>
      </c>
      <c r="E379" s="2948">
        <v>1430</v>
      </c>
      <c r="F379" s="2948">
        <v>460</v>
      </c>
      <c r="G379" s="2961">
        <v>920</v>
      </c>
    </row>
    <row r="380" spans="1:7" s="2783" customFormat="1">
      <c r="A380" s="2966" t="s">
        <v>3163</v>
      </c>
      <c r="B380" s="2948" t="s">
        <v>3166</v>
      </c>
      <c r="C380" s="2948">
        <v>1620</v>
      </c>
      <c r="D380" s="2948">
        <v>1590</v>
      </c>
      <c r="E380" s="2948">
        <v>1560</v>
      </c>
      <c r="F380" s="2948">
        <v>480</v>
      </c>
      <c r="G380" s="2961">
        <v>1000</v>
      </c>
    </row>
    <row r="381" spans="1:7" s="2783" customFormat="1">
      <c r="A381" s="2966" t="s">
        <v>3163</v>
      </c>
      <c r="B381" s="2948" t="s">
        <v>3167</v>
      </c>
      <c r="C381" s="2948">
        <v>1460</v>
      </c>
      <c r="D381" s="2948">
        <v>1430</v>
      </c>
      <c r="E381" s="2948">
        <v>1390</v>
      </c>
      <c r="F381" s="2948">
        <v>450</v>
      </c>
      <c r="G381" s="2961">
        <v>900</v>
      </c>
    </row>
    <row r="382" spans="1:7" s="2783" customFormat="1">
      <c r="A382" s="2966" t="s">
        <v>3163</v>
      </c>
      <c r="B382" s="2948" t="s">
        <v>3168</v>
      </c>
      <c r="C382" s="2948">
        <v>1310</v>
      </c>
      <c r="D382" s="2948">
        <v>1280</v>
      </c>
      <c r="E382" s="2948">
        <v>1250</v>
      </c>
      <c r="F382" s="2948">
        <v>440</v>
      </c>
      <c r="G382" s="2961">
        <v>800</v>
      </c>
    </row>
    <row r="383" spans="1:7" s="2783" customFormat="1">
      <c r="A383" s="2966" t="s">
        <v>3163</v>
      </c>
      <c r="B383" s="2948" t="s">
        <v>3169</v>
      </c>
      <c r="C383" s="2948">
        <v>1260</v>
      </c>
      <c r="D383" s="2948">
        <v>1230</v>
      </c>
      <c r="E383" s="2948">
        <v>1200</v>
      </c>
      <c r="F383" s="2948">
        <v>420</v>
      </c>
      <c r="G383" s="2961">
        <v>770</v>
      </c>
    </row>
    <row r="384" spans="1:7" s="2783" customFormat="1" ht="12" thickBot="1">
      <c r="A384" s="2967" t="s">
        <v>3163</v>
      </c>
      <c r="B384" s="2955" t="s">
        <v>3170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45973</v>
      </c>
      <c r="D1" s="1217" t="s">
        <v>603</v>
      </c>
      <c r="E1" s="1212">
        <f>'数据-取费表'!B22</f>
        <v>3</v>
      </c>
      <c r="F1" s="1217" t="s">
        <v>604</v>
      </c>
      <c r="G1" s="1213">
        <f ca="1">IF(OR(C1&lt;C27,E1&lt;=1),INDIRECT("d"&amp;$K$1)/100,ROUND((D5+(E1-C5)*(D7-D5)/(C7-C5))/100,4))</f>
        <v>3.2500000000000001E-2</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4" t="s">
        <v>949</v>
      </c>
      <c r="B1" s="3244"/>
      <c r="C1" s="3244"/>
      <c r="D1" s="3244"/>
    </row>
    <row r="2" spans="1:4" ht="18">
      <c r="A2" s="3245" t="s">
        <v>933</v>
      </c>
      <c r="B2" s="3245"/>
      <c r="C2" s="3245"/>
      <c r="D2" s="324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5" t="s">
        <v>939</v>
      </c>
      <c r="B6" s="3245"/>
      <c r="C6" s="3245"/>
      <c r="D6" s="324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6" t="s">
        <v>942</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38" t="str">
        <f>IF(项目基本情况!B8="抵押","4.本次评估估价师所知悉的法定优先受偿款情况说明如下：","——")</f>
        <v>4.本次评估估价师所知悉的法定优先受偿款情况说明如下：</v>
      </c>
      <c r="B14" s="3243"/>
      <c r="C14" s="3243"/>
      <c r="D14" s="3243"/>
    </row>
    <row r="15" spans="1:4" ht="42" customHeight="1">
      <c r="A15" s="32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0" t="s">
        <v>943</v>
      </c>
      <c r="B16" s="3240"/>
      <c r="C16" s="3240"/>
      <c r="D16" s="3240"/>
    </row>
    <row r="17" spans="1:4" ht="144" customHeight="1">
      <c r="A17" s="3240" t="s">
        <v>944</v>
      </c>
      <c r="B17" s="3240"/>
      <c r="C17" s="3240"/>
      <c r="D17" s="3240"/>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8"/>
      <c r="C20" s="3238"/>
      <c r="D20" s="3238"/>
    </row>
    <row r="21" spans="1:4" ht="57.75" customHeight="1">
      <c r="A21" s="32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1"/>
      <c r="C21" s="3241"/>
      <c r="D21" s="3241"/>
    </row>
    <row r="22" spans="1:4" ht="18.75" customHeight="1">
      <c r="A22" s="3242" t="s">
        <v>945</v>
      </c>
      <c r="B22" s="3242"/>
      <c r="C22" s="3242"/>
      <c r="D22" s="324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39">
        <v>42551</v>
      </c>
      <c r="D31" s="32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2" t="s">
        <v>956</v>
      </c>
      <c r="B15" s="3247" t="s">
        <v>109</v>
      </c>
      <c r="C15" s="3248"/>
    </row>
    <row r="16" spans="1:7" ht="13.5">
      <c r="A16" s="3253"/>
      <c r="B16" s="3247" t="s">
        <v>42</v>
      </c>
      <c r="C16" s="3248"/>
    </row>
    <row r="17" spans="1:3" ht="13.5">
      <c r="A17" s="3253"/>
      <c r="B17" s="3250" t="s">
        <v>957</v>
      </c>
      <c r="C17" s="1429" t="s">
        <v>956</v>
      </c>
    </row>
    <row r="18" spans="1:3" ht="13.5">
      <c r="A18" s="3253"/>
      <c r="B18" s="3250"/>
      <c r="C18" s="1429" t="s">
        <v>958</v>
      </c>
    </row>
    <row r="19" spans="1:3" ht="13.5">
      <c r="A19" s="3253"/>
      <c r="B19" s="3250"/>
      <c r="C19" s="1429" t="s">
        <v>959</v>
      </c>
    </row>
    <row r="20" spans="1:3" ht="13.5">
      <c r="A20" s="3254"/>
      <c r="B20" s="3249" t="s">
        <v>960</v>
      </c>
      <c r="C20" s="3248"/>
    </row>
    <row r="21" spans="1:3" ht="13.5">
      <c r="A21" s="1430" t="s">
        <v>961</v>
      </c>
      <c r="B21" s="1431"/>
      <c r="C21" s="1432"/>
    </row>
    <row r="22" spans="1:3" ht="13.5">
      <c r="A22" s="3251" t="s">
        <v>962</v>
      </c>
      <c r="B22" s="3249" t="s">
        <v>963</v>
      </c>
      <c r="C22" s="3248"/>
    </row>
    <row r="23" spans="1:3" ht="13.5">
      <c r="A23" s="3251"/>
      <c r="B23" s="3249" t="s">
        <v>964</v>
      </c>
      <c r="C23" s="3248"/>
    </row>
    <row r="24" spans="1:3" ht="13.5">
      <c r="A24" s="3251"/>
      <c r="B24" s="3249" t="s">
        <v>965</v>
      </c>
      <c r="C24" s="3248"/>
    </row>
    <row r="25" spans="1:3" ht="13.5">
      <c r="A25" s="3251"/>
      <c r="B25" s="3250" t="s">
        <v>966</v>
      </c>
      <c r="C25" s="1429" t="s">
        <v>967</v>
      </c>
    </row>
    <row r="26" spans="1:3" ht="13.5">
      <c r="A26" s="3251"/>
      <c r="B26" s="3250"/>
      <c r="C26" s="1429" t="s">
        <v>968</v>
      </c>
    </row>
    <row r="27" spans="1:3" ht="13.5">
      <c r="A27" s="3251"/>
      <c r="B27" s="3250"/>
      <c r="C27" s="1429" t="s">
        <v>969</v>
      </c>
    </row>
    <row r="28" spans="1:3" ht="13.5">
      <c r="A28" s="3251"/>
      <c r="B28" s="3250"/>
      <c r="C28" s="1429" t="s">
        <v>970</v>
      </c>
    </row>
    <row r="29" spans="1:3" ht="13.5">
      <c r="A29" s="3251"/>
      <c r="B29" s="3250"/>
      <c r="C29" s="1429" t="s">
        <v>971</v>
      </c>
    </row>
    <row r="30" spans="1:3" ht="13.5">
      <c r="A30" s="3251"/>
      <c r="B30" s="3250"/>
      <c r="C30" s="1429" t="s">
        <v>972</v>
      </c>
    </row>
    <row r="31" spans="1:3" ht="13.5">
      <c r="A31" s="3251"/>
      <c r="B31" s="3250"/>
      <c r="C31" s="1429" t="s">
        <v>973</v>
      </c>
    </row>
    <row r="32" spans="1:3" ht="13.5">
      <c r="A32" s="3251"/>
      <c r="B32" s="3250"/>
      <c r="C32" s="1429" t="s">
        <v>974</v>
      </c>
    </row>
    <row r="33" spans="1:3" ht="13.5">
      <c r="A33" s="3251"/>
      <c r="B33" s="325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45978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5" t="s">
        <v>2160</v>
      </c>
      <c r="B17" s="3255"/>
      <c r="C17" s="3255"/>
      <c r="D17" s="3255"/>
      <c r="E17" s="3255"/>
      <c r="F17" s="3255"/>
      <c r="G17" s="3255"/>
      <c r="H17" s="3255"/>
    </row>
    <row r="18" spans="1:8" ht="24" customHeight="1">
      <c r="A18" s="3256" t="s">
        <v>2161</v>
      </c>
      <c r="B18" s="3256"/>
      <c r="C18" s="3256"/>
      <c r="D18" s="2160"/>
      <c r="E18" s="3257" t="s">
        <v>2162</v>
      </c>
      <c r="F18" s="3256"/>
      <c r="G18" s="325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Sheet1</vt:lpstr>
      <vt:lpstr>商业大宗</vt:lpstr>
      <vt:lpstr>乐华大厦</vt:lpstr>
      <vt:lpstr>悦荣中心</vt:lpstr>
      <vt:lpstr>中海金融中心</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收益法（汇总）</vt:lpstr>
      <vt:lpstr>收益法</vt:lpstr>
      <vt:lpstr>收益法 (元)</vt:lpstr>
      <vt:lpstr>收益法车库</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2025-11-17T07:54:30Z</dcterms:modified>
</cp:coreProperties>
</file>