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190" windowHeight="4185"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建安" sheetId="68" r:id="rId41"/>
    <sheet name="土地案例" sheetId="69"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1" l="1"/>
  <c r="C38" i="9" l="1"/>
  <c r="H17" i="4" l="1"/>
  <c r="G21" i="6"/>
  <c r="B38" i="9" s="1"/>
  <c r="E38" i="9" s="1"/>
  <c r="K13" i="3"/>
  <c r="L14" i="1" l="1"/>
  <c r="L7" i="1"/>
  <c r="C37" i="9" l="1"/>
  <c r="D73" i="39"/>
  <c r="E73" i="39" s="1"/>
  <c r="F73" i="39" s="1"/>
  <c r="G73" i="39" s="1"/>
  <c r="H73" i="39" s="1"/>
  <c r="I73" i="39" s="1"/>
  <c r="J73" i="39" s="1"/>
  <c r="K73" i="39" s="1"/>
  <c r="L73" i="39" s="1"/>
  <c r="M73" i="39" s="1"/>
  <c r="N73" i="39" s="1"/>
  <c r="I48" i="39"/>
  <c r="G48" i="39"/>
  <c r="E48" i="39"/>
  <c r="I40" i="39"/>
  <c r="G40" i="39"/>
  <c r="E40" i="39"/>
  <c r="I13" i="39"/>
  <c r="G13" i="39"/>
  <c r="E13" i="39"/>
  <c r="I9" i="39"/>
  <c r="G9" i="39"/>
  <c r="E9" i="39"/>
  <c r="I7" i="39"/>
  <c r="G7" i="39"/>
  <c r="E7" i="39"/>
  <c r="G20" i="6" l="1"/>
  <c r="F19" i="6"/>
  <c r="B7" i="4"/>
  <c r="B37" i="9" l="1"/>
  <c r="E37" i="9" s="1"/>
  <c r="G35" i="9" s="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Y3" i="59" s="1"/>
  <c r="Z3" i="59" s="1"/>
  <c r="N7" i="59"/>
  <c r="N8" i="59"/>
  <c r="AH8" i="59"/>
  <c r="AG8" i="59"/>
  <c r="AE8" i="59"/>
  <c r="AF8" i="59"/>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P75" i="15"/>
  <c r="Q74" i="44"/>
  <c r="Q61" i="44"/>
  <c r="Q60" i="44"/>
  <c r="Q53" i="44"/>
  <c r="J51" i="44"/>
  <c r="J52" i="44" s="1"/>
  <c r="M48" i="44"/>
  <c r="A16" i="55"/>
  <c r="A15" i="55"/>
  <c r="B66" i="63" s="1"/>
  <c r="A10" i="55"/>
  <c r="A9" i="55"/>
  <c r="B60" i="63" s="1"/>
  <c r="A8" i="55"/>
  <c r="A6" i="54"/>
  <c r="A8" i="54"/>
  <c r="B53" i="63" s="1"/>
  <c r="A7" i="54"/>
  <c r="B51" i="63" s="1"/>
  <c r="A28" i="51"/>
  <c r="N4" i="63" s="1"/>
  <c r="A27" i="51"/>
  <c r="B20" i="63" s="1"/>
  <c r="Q12" i="59"/>
  <c r="O12" i="59"/>
  <c r="Y11" i="59" s="1"/>
  <c r="Z11" i="59" s="1"/>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V10" i="59"/>
  <c r="AG3"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D10"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61" i="63"/>
  <c r="B59" i="63"/>
  <c r="B51" i="10"/>
  <c r="A15" i="51"/>
  <c r="B12" i="63" s="1"/>
  <c r="A14" i="51"/>
  <c r="B11" i="63" s="1"/>
  <c r="A4" i="55"/>
  <c r="B57" i="63" s="1"/>
  <c r="G5" i="54"/>
  <c r="B34" i="63" s="1"/>
  <c r="E5" i="54"/>
  <c r="B32" i="63" s="1"/>
  <c r="R2" i="54"/>
  <c r="B24" i="63" s="1"/>
  <c r="B49" i="50"/>
  <c r="B5" i="63" s="1"/>
  <c r="B40" i="50"/>
  <c r="B3" i="63" s="1"/>
  <c r="B21" i="63"/>
  <c r="B67" i="63"/>
  <c r="I19" i="46"/>
  <c r="Q14" i="59"/>
  <c r="P14" i="59"/>
  <c r="O14" i="59"/>
  <c r="C14" i="59" s="1"/>
  <c r="D14" i="59" s="1"/>
  <c r="N14" i="59"/>
  <c r="X12" i="59" s="1"/>
  <c r="D75" i="59"/>
  <c r="F74" i="59"/>
  <c r="F73" i="59" s="1"/>
  <c r="F72" i="59" s="1"/>
  <c r="E74" i="59"/>
  <c r="E73" i="59"/>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O54" i="59" s="1"/>
  <c r="B54" i="59"/>
  <c r="N54" i="59"/>
  <c r="B53" i="59"/>
  <c r="B52" i="59" s="1"/>
  <c r="N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C45" i="59" s="1"/>
  <c r="C46" i="59" s="1"/>
  <c r="D46"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D41"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c r="B30" i="59" s="1"/>
  <c r="S30" i="59" s="1"/>
  <c r="D27" i="59"/>
  <c r="Q26" i="59"/>
  <c r="P26" i="59"/>
  <c r="O26" i="59"/>
  <c r="N26" i="59"/>
  <c r="Q25" i="59"/>
  <c r="AB25" i="59" s="1"/>
  <c r="P25" i="59"/>
  <c r="AA25" i="59" s="1"/>
  <c r="O25" i="59"/>
  <c r="Y25" i="59" s="1"/>
  <c r="Z25" i="59" s="1"/>
  <c r="N25" i="59"/>
  <c r="X25" i="59" s="1"/>
  <c r="Q24" i="59"/>
  <c r="P24" i="59"/>
  <c r="O24" i="59"/>
  <c r="N24" i="59"/>
  <c r="Q23" i="59"/>
  <c r="P23" i="59"/>
  <c r="E24" i="59" s="1"/>
  <c r="E25" i="59" s="1"/>
  <c r="E26" i="59" s="1"/>
  <c r="U26" i="59" s="1"/>
  <c r="O23" i="59"/>
  <c r="Y23" i="59" s="1"/>
  <c r="Z23" i="59" s="1"/>
  <c r="N23" i="59"/>
  <c r="B24" i="59" s="1"/>
  <c r="B25" i="59" s="1"/>
  <c r="B26" i="59" s="1"/>
  <c r="S26" i="59" s="1"/>
  <c r="D23" i="59"/>
  <c r="Q22" i="59"/>
  <c r="P22" i="59"/>
  <c r="O22" i="59"/>
  <c r="N22" i="59"/>
  <c r="Q21" i="59"/>
  <c r="P21" i="59"/>
  <c r="O21" i="59"/>
  <c r="N21" i="59"/>
  <c r="Q20" i="59"/>
  <c r="AB20" i="59" s="1"/>
  <c r="P20" i="59"/>
  <c r="O20" i="59"/>
  <c r="N20" i="59"/>
  <c r="Q19" i="59"/>
  <c r="F20" i="59" s="1"/>
  <c r="F21" i="59" s="1"/>
  <c r="F22" i="59" s="1"/>
  <c r="V22"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s="1"/>
  <c r="O15" i="59"/>
  <c r="Y15" i="59" s="1"/>
  <c r="Z15" i="59" s="1"/>
  <c r="N15" i="59"/>
  <c r="B16" i="59" s="1"/>
  <c r="B17" i="59" s="1"/>
  <c r="B18" i="59" s="1"/>
  <c r="S18" i="59" s="1"/>
  <c r="D15" i="59"/>
  <c r="AA11" i="59"/>
  <c r="Y13" i="59"/>
  <c r="Z13" i="59" s="1"/>
  <c r="AB12" i="59"/>
  <c r="E17" i="59"/>
  <c r="E18" i="59" s="1"/>
  <c r="U18" i="59"/>
  <c r="S54" i="59"/>
  <c r="F33" i="59"/>
  <c r="F34" i="59" s="1"/>
  <c r="V34" i="59" s="1"/>
  <c r="F45" i="59"/>
  <c r="F46" i="59" s="1"/>
  <c r="V46" i="59"/>
  <c r="C29" i="59"/>
  <c r="D29" i="59" s="1"/>
  <c r="D48" i="59"/>
  <c r="N53" i="59"/>
  <c r="P54" i="59"/>
  <c r="Q54" i="59"/>
  <c r="C57" i="59"/>
  <c r="C56" i="59" s="1"/>
  <c r="C61" i="59"/>
  <c r="D61" i="59" s="1"/>
  <c r="C65" i="59"/>
  <c r="D65" i="59" s="1"/>
  <c r="C73" i="59"/>
  <c r="D73" i="59" s="1"/>
  <c r="U16" i="4"/>
  <c r="S16" i="4"/>
  <c r="Q16" i="4"/>
  <c r="O16" i="4"/>
  <c r="M16" i="4"/>
  <c r="K16" i="4"/>
  <c r="C72" i="59"/>
  <c r="D72" i="59" s="1"/>
  <c r="C64" i="59"/>
  <c r="D64" i="59" s="1"/>
  <c r="D57" i="59"/>
  <c r="D56" i="59"/>
  <c r="C60" i="59"/>
  <c r="D60" i="59" s="1"/>
  <c r="N51" i="59"/>
  <c r="D45" i="59"/>
  <c r="N16" i="4"/>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34"/>
  <c r="S21" i="21"/>
  <c r="S27" i="40"/>
  <c r="C31" i="39"/>
  <c r="B74" i="46"/>
  <c r="H18" i="35"/>
  <c r="U18" i="35" s="1"/>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A30" i="51" s="1"/>
  <c r="B22" i="63"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AC31" i="35" s="1"/>
  <c r="H31" i="35"/>
  <c r="AB31" i="35" s="1"/>
  <c r="F31" i="35"/>
  <c r="AA31" i="35" s="1"/>
  <c r="D87" i="35"/>
  <c r="E87" i="35" s="1"/>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D107" i="39"/>
  <c r="E107" i="39"/>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c r="F95" i="39" s="1"/>
  <c r="G95" i="39" s="1"/>
  <c r="D93" i="39"/>
  <c r="E93" i="39"/>
  <c r="F93" i="39" s="1"/>
  <c r="G93" i="39" s="1"/>
  <c r="D91" i="39"/>
  <c r="E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D70" i="39" s="1"/>
  <c r="E70" i="39" s="1"/>
  <c r="C20" i="36"/>
  <c r="C20" i="35"/>
  <c r="C16" i="36"/>
  <c r="C16" i="35"/>
  <c r="C14" i="36"/>
  <c r="C14" i="35"/>
  <c r="B80" i="37"/>
  <c r="H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G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c r="H56" i="35" s="1"/>
  <c r="I56" i="35" s="1"/>
  <c r="C53" i="35"/>
  <c r="H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S34" i="35"/>
  <c r="W31" i="35"/>
  <c r="U34" i="35"/>
  <c r="F36" i="34"/>
  <c r="S36" i="34" s="1"/>
  <c r="W9" i="34"/>
  <c r="S34" i="34"/>
  <c r="W39" i="34"/>
  <c r="H39" i="33"/>
  <c r="AB39" i="33"/>
  <c r="F26" i="33"/>
  <c r="AA26" i="33"/>
  <c r="U33" i="33"/>
  <c r="W38" i="33"/>
  <c r="S40" i="33"/>
  <c r="S33" i="33"/>
  <c r="W33" i="33"/>
  <c r="U38" i="33"/>
  <c r="S8" i="21"/>
  <c r="W8" i="21"/>
  <c r="H39" i="37"/>
  <c r="AB39" i="37" s="1"/>
  <c r="AB27" i="35"/>
  <c r="S10" i="40"/>
  <c r="W10" i="40"/>
  <c r="S11" i="40"/>
  <c r="U11" i="40"/>
  <c r="S36" i="40"/>
  <c r="U36" i="40"/>
  <c r="F11" i="21"/>
  <c r="S11" i="21" s="1"/>
  <c r="AC40" i="21"/>
  <c r="AA38" i="21"/>
  <c r="AB36" i="21"/>
  <c r="AC35" i="21"/>
  <c r="C29" i="39"/>
  <c r="C23" i="39"/>
  <c r="S42" i="39"/>
  <c r="H32" i="33"/>
  <c r="AB32" i="33" s="1"/>
  <c r="H11" i="21"/>
  <c r="U11" i="21" s="1"/>
  <c r="J11" i="21"/>
  <c r="W11" i="21" s="1"/>
  <c r="AA12" i="33"/>
  <c r="U9" i="21"/>
  <c r="J27" i="36"/>
  <c r="W27" i="36" s="1"/>
  <c r="J34" i="36"/>
  <c r="W34" i="36" s="1"/>
  <c r="J30" i="35"/>
  <c r="W30" i="35" s="1"/>
  <c r="F22" i="35"/>
  <c r="AA22" i="35"/>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S10" i="21"/>
  <c r="W40" i="33"/>
  <c r="AB30" i="36"/>
  <c r="AC34" i="36"/>
  <c r="S22"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AB13" i="21"/>
  <c r="U46" i="21"/>
  <c r="AC30" i="21"/>
  <c r="W30" i="21"/>
  <c r="AB30" i="21"/>
  <c r="S28" i="21"/>
  <c r="AA28" i="21"/>
  <c r="AB14" i="21"/>
  <c r="AC14" i="21"/>
  <c r="W42" i="21"/>
  <c r="S46" i="33"/>
  <c r="U36" i="37"/>
  <c r="AC13" i="36"/>
  <c r="AB45" i="33"/>
  <c r="AB31" i="33"/>
  <c r="AA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s="1"/>
  <c r="AB43" i="33"/>
  <c r="D3" i="21"/>
  <c r="AC33" i="36"/>
  <c r="W23" i="35"/>
  <c r="AC23" i="37"/>
  <c r="S27" i="37"/>
  <c r="U39" i="37"/>
  <c r="AC8"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AZ118" i="3" s="1"/>
  <c r="BL119" i="3"/>
  <c r="AZ119" i="3" s="1"/>
  <c r="G120" i="3"/>
  <c r="BA122" i="3"/>
  <c r="AZ122" i="3" s="1"/>
  <c r="BL123" i="3"/>
  <c r="AZ123" i="3" s="1"/>
  <c r="G124" i="3"/>
  <c r="BA126" i="3"/>
  <c r="BL127" i="3"/>
  <c r="AZ127" i="3" s="1"/>
  <c r="G128" i="3"/>
  <c r="BA130" i="3"/>
  <c r="AZ130" i="3" s="1"/>
  <c r="BL131" i="3"/>
  <c r="G132" i="3"/>
  <c r="BA134" i="3"/>
  <c r="AZ134" i="3"/>
  <c r="BL135" i="3"/>
  <c r="AZ135" i="3"/>
  <c r="G136" i="3"/>
  <c r="BA138" i="3"/>
  <c r="AZ138" i="3" s="1"/>
  <c r="BL139" i="3"/>
  <c r="AZ139" i="3" s="1"/>
  <c r="G140" i="3"/>
  <c r="BA142" i="3"/>
  <c r="BL143" i="3"/>
  <c r="G144" i="3"/>
  <c r="BA146" i="3"/>
  <c r="AZ146" i="3"/>
  <c r="BL147" i="3"/>
  <c r="G148" i="3"/>
  <c r="BA150" i="3"/>
  <c r="BL151" i="3"/>
  <c r="AZ151" i="3" s="1"/>
  <c r="BA153" i="3"/>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31" i="3"/>
  <c r="AZ39" i="3"/>
  <c r="AZ47" i="3"/>
  <c r="AZ55" i="3"/>
  <c r="G537"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4" i="3"/>
  <c r="AZ82" i="3"/>
  <c r="AZ201" i="3"/>
  <c r="AZ84" i="3"/>
  <c r="AZ86" i="3"/>
  <c r="AZ94" i="3"/>
  <c r="AZ102"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367" i="3" s="1"/>
  <c r="AZ209" i="3"/>
  <c r="AZ221" i="3"/>
  <c r="AZ225" i="3"/>
  <c r="AZ237" i="3"/>
  <c r="AZ241" i="3"/>
  <c r="AZ309" i="3"/>
  <c r="AZ321" i="3"/>
  <c r="AZ333" i="3"/>
  <c r="AZ341" i="3"/>
  <c r="AZ353" i="3"/>
  <c r="AZ363" i="3"/>
  <c r="G368" i="3"/>
  <c r="BA370" i="3"/>
  <c r="AZ370" i="3" s="1"/>
  <c r="BL371" i="3"/>
  <c r="AZ371" i="3" s="1"/>
  <c r="G372" i="3"/>
  <c r="BA374" i="3"/>
  <c r="BL375" i="3"/>
  <c r="G376" i="3"/>
  <c r="BA378" i="3"/>
  <c r="AZ378" i="3" s="1"/>
  <c r="BL379" i="3"/>
  <c r="G380" i="3"/>
  <c r="BA382" i="3"/>
  <c r="AZ382" i="3"/>
  <c r="BL383" i="3"/>
  <c r="G384" i="3"/>
  <c r="AZ253" i="3"/>
  <c r="AZ257" i="3"/>
  <c r="AZ265" i="3"/>
  <c r="AZ375" i="3"/>
  <c r="AZ383" i="3"/>
  <c r="AZ282" i="3"/>
  <c r="AZ313" i="3"/>
  <c r="AZ335" i="3"/>
  <c r="AZ369" i="3"/>
  <c r="AZ390" i="3"/>
  <c r="AZ410" i="3"/>
  <c r="AZ426" i="3"/>
  <c r="AZ430" i="3"/>
  <c r="AZ434" i="3"/>
  <c r="AZ438" i="3"/>
  <c r="AZ442" i="3"/>
  <c r="AZ455" i="3"/>
  <c r="AZ459" i="3"/>
  <c r="AZ467" i="3"/>
  <c r="AZ471" i="3"/>
  <c r="H7" i="48"/>
  <c r="H113" i="46"/>
  <c r="F33" i="46"/>
  <c r="F37" i="46"/>
  <c r="H16" i="48"/>
  <c r="H8" i="48"/>
  <c r="C12" i="46"/>
  <c r="AA43" i="21"/>
  <c r="U43" i="21"/>
  <c r="AA13" i="40"/>
  <c r="E78" i="40"/>
  <c r="F78" i="40" s="1"/>
  <c r="G78" i="40" s="1"/>
  <c r="H78" i="40" s="1"/>
  <c r="I78" i="40" s="1"/>
  <c r="J78" i="40" s="1"/>
  <c r="K78" i="40" s="1"/>
  <c r="L78" i="40" s="1"/>
  <c r="M78" i="40" s="1"/>
  <c r="BH5" i="3"/>
  <c r="P16" i="4"/>
  <c r="D3" i="35"/>
  <c r="G4" i="4"/>
  <c r="S37" i="34"/>
  <c r="U42" i="21"/>
  <c r="AC26" i="36"/>
  <c r="W25" i="35"/>
  <c r="AZ300" i="3"/>
  <c r="AZ354" i="3"/>
  <c r="AA36" i="35"/>
  <c r="H11" i="37"/>
  <c r="AB11" i="37"/>
  <c r="W37" i="37"/>
  <c r="AA30" i="33"/>
  <c r="AA36" i="37"/>
  <c r="S42" i="33"/>
  <c r="U32" i="33"/>
  <c r="AB17" i="37"/>
  <c r="AZ488" i="3"/>
  <c r="AZ508" i="3"/>
  <c r="AZ524" i="3"/>
  <c r="AZ532"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44" i="39"/>
  <c r="S44" i="39" s="1"/>
  <c r="H44" i="39"/>
  <c r="U44" i="39" s="1"/>
  <c r="J44" i="39"/>
  <c r="W44" i="39" s="1"/>
  <c r="E103" i="39"/>
  <c r="F103" i="39" s="1"/>
  <c r="F39" i="39"/>
  <c r="S39" i="39"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E72" i="35"/>
  <c r="F72" i="35" s="1"/>
  <c r="G72" i="35" s="1"/>
  <c r="H22" i="35"/>
  <c r="AB22" i="35"/>
  <c r="H23" i="35"/>
  <c r="F23" i="35"/>
  <c r="AA23" i="35" s="1"/>
  <c r="W12" i="36"/>
  <c r="AC12" i="36"/>
  <c r="U31" i="36"/>
  <c r="S8" i="37"/>
  <c r="AA8" i="37"/>
  <c r="H14" i="39"/>
  <c r="AB14" i="39" s="1"/>
  <c r="F16" i="39"/>
  <c r="AA16" i="39" s="1"/>
  <c r="J16" i="39"/>
  <c r="AC16"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s="1"/>
  <c r="H34" i="40"/>
  <c r="U34" i="40" s="1"/>
  <c r="AZ399" i="3"/>
  <c r="AZ403" i="3"/>
  <c r="AZ415" i="3"/>
  <c r="AZ431" i="3"/>
  <c r="AZ454" i="3"/>
  <c r="B41" i="1"/>
  <c r="F34" i="44" s="1"/>
  <c r="J42" i="40"/>
  <c r="AC42" i="40" s="1"/>
  <c r="J40" i="40"/>
  <c r="AC40" i="40" s="1"/>
  <c r="J34" i="40"/>
  <c r="AC34" i="40" s="1"/>
  <c r="H16" i="40"/>
  <c r="AB16" i="40" s="1"/>
  <c r="H14" i="40"/>
  <c r="U14" i="40" s="1"/>
  <c r="F32" i="40"/>
  <c r="AA32" i="40" s="1"/>
  <c r="AZ401" i="3"/>
  <c r="AZ428" i="3"/>
  <c r="AZ436" i="3"/>
  <c r="AZ444" i="3"/>
  <c r="AZ452" i="3"/>
  <c r="M1" i="46"/>
  <c r="M10" i="46"/>
  <c r="N5" i="46"/>
  <c r="F58" i="46"/>
  <c r="H61" i="46" s="1"/>
  <c r="F47" i="46"/>
  <c r="H49" i="46" s="1"/>
  <c r="AZ458" i="3"/>
  <c r="AZ466" i="3"/>
  <c r="AZ469" i="3"/>
  <c r="AZ477" i="3"/>
  <c r="AZ388" i="3"/>
  <c r="AZ212" i="3"/>
  <c r="AZ223" i="3"/>
  <c r="AZ228" i="3"/>
  <c r="AZ239" i="3"/>
  <c r="AZ244" i="3"/>
  <c r="AZ255" i="3"/>
  <c r="AZ260" i="3"/>
  <c r="AZ263" i="3"/>
  <c r="AZ268" i="3"/>
  <c r="AZ281" i="3"/>
  <c r="AZ284" i="3"/>
  <c r="AZ121" i="3"/>
  <c r="AZ137" i="3"/>
  <c r="M11" i="46"/>
  <c r="N6" i="46"/>
  <c r="AZ167" i="3"/>
  <c r="AZ180" i="3"/>
  <c r="AZ40" i="3"/>
  <c r="AZ56" i="3"/>
  <c r="AZ63" i="3"/>
  <c r="AZ79" i="3"/>
  <c r="AZ99" i="3"/>
  <c r="AZ107" i="3"/>
  <c r="J13" i="40"/>
  <c r="W13" i="40" s="1"/>
  <c r="AB14" i="40"/>
  <c r="W35" i="40"/>
  <c r="AB32" i="40"/>
  <c r="U37" i="34"/>
  <c r="W41" i="40"/>
  <c r="J23" i="40"/>
  <c r="AC23" i="40" s="1"/>
  <c r="F23" i="40"/>
  <c r="S23" i="40" s="1"/>
  <c r="AC15" i="40"/>
  <c r="W15" i="40"/>
  <c r="U23" i="35"/>
  <c r="AB23"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21" i="39"/>
  <c r="AB33" i="36"/>
  <c r="AA11" i="36"/>
  <c r="G99" i="37"/>
  <c r="F33" i="37"/>
  <c r="AB19" i="39"/>
  <c r="U46" i="34"/>
  <c r="AC30" i="34"/>
  <c r="AA14" i="34"/>
  <c r="W12" i="34"/>
  <c r="U29" i="33"/>
  <c r="AC13" i="33"/>
  <c r="U17" i="34"/>
  <c r="AA11" i="34"/>
  <c r="W32" i="33"/>
  <c r="H15" i="33"/>
  <c r="U15" i="33" s="1"/>
  <c r="AA11" i="33"/>
  <c r="AA40" i="21"/>
  <c r="U17" i="21"/>
  <c r="W34" i="40"/>
  <c r="U42" i="40"/>
  <c r="H25" i="40"/>
  <c r="AB25" i="40" s="1"/>
  <c r="F94" i="40"/>
  <c r="G94" i="40" s="1"/>
  <c r="J37" i="34"/>
  <c r="AC37" i="34" s="1"/>
  <c r="J36" i="33"/>
  <c r="W36" i="33" s="1"/>
  <c r="S41" i="40"/>
  <c r="S15" i="34"/>
  <c r="AA15" i="34"/>
  <c r="AA41" i="33"/>
  <c r="F106" i="33"/>
  <c r="G106" i="33" s="1"/>
  <c r="H106" i="33" s="1"/>
  <c r="I106" i="33" s="1"/>
  <c r="J106" i="33" s="1"/>
  <c r="K106" i="33" s="1"/>
  <c r="L106" i="33" s="1"/>
  <c r="M106" i="33" s="1"/>
  <c r="J34" i="33"/>
  <c r="AC34" i="33" s="1"/>
  <c r="U30" i="40"/>
  <c r="AA39" i="39"/>
  <c r="U11" i="36"/>
  <c r="F80" i="35"/>
  <c r="G80" i="35" s="1"/>
  <c r="H80" i="35" s="1"/>
  <c r="I80" i="35" s="1"/>
  <c r="J80" i="35" s="1"/>
  <c r="K80" i="35" s="1"/>
  <c r="L80" i="35" s="1"/>
  <c r="M80" i="35" s="1"/>
  <c r="F90" i="34"/>
  <c r="G90" i="34"/>
  <c r="H90" i="34" s="1"/>
  <c r="I90" i="34" s="1"/>
  <c r="J90" i="34" s="1"/>
  <c r="K90" i="34" s="1"/>
  <c r="L90" i="34" s="1"/>
  <c r="M90" i="34" s="1"/>
  <c r="F27" i="34"/>
  <c r="S27" i="34"/>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3" i="40"/>
  <c r="J11" i="34"/>
  <c r="W11" i="34"/>
  <c r="AC36" i="33"/>
  <c r="F25" i="40"/>
  <c r="AA25" i="40"/>
  <c r="J11" i="33"/>
  <c r="W11" i="33"/>
  <c r="H33" i="37"/>
  <c r="AB33" i="37"/>
  <c r="AC15" i="34"/>
  <c r="D73" i="9"/>
  <c r="N73" i="9" s="1"/>
  <c r="AP11" i="1"/>
  <c r="B11" i="1"/>
  <c r="E11" i="1" s="1"/>
  <c r="K11" i="1"/>
  <c r="M11" i="1" s="1"/>
  <c r="B9" i="1"/>
  <c r="E9" i="1"/>
  <c r="K9" i="1"/>
  <c r="M9" i="1" s="1"/>
  <c r="B7" i="1"/>
  <c r="E7" i="1" s="1"/>
  <c r="K7" i="1"/>
  <c r="C20" i="43"/>
  <c r="F6" i="1"/>
  <c r="AP6" i="1" s="1"/>
  <c r="G11" i="1"/>
  <c r="M22" i="44"/>
  <c r="M20" i="44"/>
  <c r="AC25" i="36"/>
  <c r="S8" i="36"/>
  <c r="AA26" i="36"/>
  <c r="AA28" i="36"/>
  <c r="U25" i="36"/>
  <c r="H20" i="36"/>
  <c r="U20" i="36"/>
  <c r="J20" i="36"/>
  <c r="AC20" i="36"/>
  <c r="F20" i="36"/>
  <c r="S20" i="36"/>
  <c r="F62" i="36"/>
  <c r="G62" i="36"/>
  <c r="J14" i="36"/>
  <c r="H14" i="36"/>
  <c r="F14" i="36"/>
  <c r="AA14" i="36"/>
  <c r="W20" i="36"/>
  <c r="U27" i="36"/>
  <c r="U32" i="36"/>
  <c r="AB12" i="36"/>
  <c r="S33" i="36"/>
  <c r="AA27" i="36"/>
  <c r="S16" i="36"/>
  <c r="S29" i="36"/>
  <c r="AC33" i="35"/>
  <c r="U22" i="35"/>
  <c r="AA13" i="35"/>
  <c r="S8" i="35"/>
  <c r="S23" i="35"/>
  <c r="AC10" i="35"/>
  <c r="W13" i="35"/>
  <c r="AC18" i="35"/>
  <c r="W18" i="35"/>
  <c r="AB18" i="35"/>
  <c r="AA35" i="35"/>
  <c r="AB30" i="35"/>
  <c r="S27" i="35"/>
  <c r="S28" i="35"/>
  <c r="AB9" i="37"/>
  <c r="W12" i="37"/>
  <c r="AA9" i="37"/>
  <c r="S17" i="37"/>
  <c r="W28" i="37"/>
  <c r="AB37" i="37"/>
  <c r="AA31" i="37"/>
  <c r="S33" i="37"/>
  <c r="AA33" i="37"/>
  <c r="U32" i="37"/>
  <c r="J33" i="37"/>
  <c r="W33" i="37" s="1"/>
  <c r="H99" i="37"/>
  <c r="I99" i="37" s="1"/>
  <c r="J99" i="37" s="1"/>
  <c r="K99" i="37" s="1"/>
  <c r="L99" i="37" s="1"/>
  <c r="M99" i="37" s="1"/>
  <c r="S29" i="37"/>
  <c r="J19" i="37"/>
  <c r="AC19" i="37" s="1"/>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A21" i="39"/>
  <c r="AC19" i="39"/>
  <c r="AC38" i="39"/>
  <c r="AC21" i="39"/>
  <c r="U31" i="39"/>
  <c r="AB31" i="39"/>
  <c r="S22" i="31"/>
  <c r="M20" i="15"/>
  <c r="BA16" i="3"/>
  <c r="BA17" i="3"/>
  <c r="AZ17" i="3"/>
  <c r="F3" i="35"/>
  <c r="K1" i="12"/>
  <c r="I4" i="6"/>
  <c r="AZ15" i="3"/>
  <c r="BK5" i="3"/>
  <c r="BO5" i="3"/>
  <c r="BP5" i="3"/>
  <c r="BN5" i="3"/>
  <c r="BL18" i="3"/>
  <c r="AZ18" i="3"/>
  <c r="E8" i="6"/>
  <c r="E58" i="39" s="1"/>
  <c r="BD5" i="3"/>
  <c r="BR5" i="3"/>
  <c r="BS5" i="3"/>
  <c r="BQ5" i="3"/>
  <c r="BL16" i="3"/>
  <c r="BM5" i="3"/>
  <c r="G22" i="43"/>
  <c r="D26" i="44"/>
  <c r="G21" i="43"/>
  <c r="N8" i="46"/>
  <c r="N1" i="46"/>
  <c r="M2" i="46"/>
  <c r="N9" i="46"/>
  <c r="M12" i="46"/>
  <c r="M3" i="46"/>
  <c r="H15" i="48"/>
  <c r="H14" i="48"/>
  <c r="F38" i="46"/>
  <c r="F36" i="46"/>
  <c r="F34" i="46"/>
  <c r="K17" i="46"/>
  <c r="C17" i="46"/>
  <c r="F39" i="46"/>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W42" i="39"/>
  <c r="AC37" i="39"/>
  <c r="S15" i="39"/>
  <c r="W25" i="39"/>
  <c r="W45"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 i="6"/>
  <c r="D21" i="12" s="1"/>
  <c r="C21" i="12" s="1"/>
  <c r="G29" i="6"/>
  <c r="AZ16" i="3"/>
  <c r="A9" i="64"/>
  <c r="A9" i="51"/>
  <c r="B9" i="63" s="1"/>
  <c r="G66" i="36"/>
  <c r="J18" i="36"/>
  <c r="W18" i="36" s="1"/>
  <c r="AE6" i="1"/>
  <c r="AG6" i="1"/>
  <c r="L20" i="6"/>
  <c r="L19" i="6"/>
  <c r="S9" i="1"/>
  <c r="R9" i="1"/>
  <c r="C45" i="9"/>
  <c r="H14" i="66" s="1"/>
  <c r="B7" i="66" s="1"/>
  <c r="K31" i="9"/>
  <c r="K32" i="9" s="1"/>
  <c r="N76" i="9"/>
  <c r="C46" i="9"/>
  <c r="K33" i="9" s="1"/>
  <c r="K34" i="9" s="1"/>
  <c r="M26" i="15"/>
  <c r="E10" i="67"/>
  <c r="M8" i="15"/>
  <c r="F36" i="15"/>
  <c r="F7" i="15"/>
  <c r="L48" i="15"/>
  <c r="B11" i="67"/>
  <c r="F26" i="15"/>
  <c r="F8" i="15"/>
  <c r="L47" i="15"/>
  <c r="M22" i="15"/>
  <c r="F14" i="67"/>
  <c r="F40" i="15"/>
  <c r="F11" i="67"/>
  <c r="B13" i="67"/>
  <c r="B10" i="67"/>
  <c r="N7" i="65"/>
  <c r="E11" i="67"/>
  <c r="N4" i="65"/>
  <c r="N6" i="65"/>
  <c r="E9" i="67"/>
  <c r="F13" i="67"/>
  <c r="M27" i="15"/>
  <c r="F12" i="67"/>
  <c r="N3" i="65"/>
  <c r="B14" i="67"/>
  <c r="F10" i="67"/>
  <c r="F42" i="15"/>
  <c r="E14" i="67"/>
  <c r="B8" i="67"/>
  <c r="M29" i="15"/>
  <c r="E8" i="67"/>
  <c r="M23" i="15"/>
  <c r="F13" i="15"/>
  <c r="M24" i="15"/>
  <c r="F9" i="67"/>
  <c r="M6" i="15"/>
  <c r="B12" i="67"/>
  <c r="N5" i="65"/>
  <c r="F16" i="15"/>
  <c r="F8" i="67"/>
  <c r="B9" i="67"/>
  <c r="E12" i="67"/>
  <c r="E13" i="67"/>
  <c r="U27" i="33" l="1"/>
  <c r="AB27" i="33"/>
  <c r="AB9" i="34"/>
  <c r="U9" i="34"/>
  <c r="AA31" i="33"/>
  <c r="S31" i="33"/>
  <c r="C67" i="40"/>
  <c r="D65" i="40"/>
  <c r="E65" i="40" s="1"/>
  <c r="D58" i="21"/>
  <c r="E58" i="21" s="1"/>
  <c r="F58" i="21" s="1"/>
  <c r="G58" i="21" s="1"/>
  <c r="H58" i="21" s="1"/>
  <c r="I58" i="21" s="1"/>
  <c r="J58" i="21" s="1"/>
  <c r="K58" i="21" s="1"/>
  <c r="L58" i="21" s="1"/>
  <c r="M58" i="21" s="1"/>
  <c r="N58" i="21" s="1"/>
  <c r="O58" i="21" s="1"/>
  <c r="H7" i="21"/>
  <c r="AB7" i="21" s="1"/>
  <c r="T48" i="21" s="1"/>
  <c r="G48" i="21" s="1"/>
  <c r="F7" i="21"/>
  <c r="S12" i="21"/>
  <c r="AA12" i="21"/>
  <c r="U36" i="35"/>
  <c r="AB36" i="35"/>
  <c r="AC23" i="36"/>
  <c r="W23" i="36"/>
  <c r="U25" i="37"/>
  <c r="AB25" i="37"/>
  <c r="AC18" i="36"/>
  <c r="E29" i="6"/>
  <c r="K15" i="1" s="1"/>
  <c r="AC35" i="33"/>
  <c r="U11" i="34"/>
  <c r="W17" i="34"/>
  <c r="AA32" i="37"/>
  <c r="S17" i="34"/>
  <c r="AA37" i="39"/>
  <c r="W32" i="40"/>
  <c r="AB34" i="40"/>
  <c r="U16" i="40"/>
  <c r="AB38" i="34"/>
  <c r="W40" i="40"/>
  <c r="AZ490" i="3"/>
  <c r="AZ507" i="3"/>
  <c r="AZ517" i="3"/>
  <c r="AZ537" i="3"/>
  <c r="AZ539" i="3"/>
  <c r="AZ548" i="3"/>
  <c r="AZ571" i="3"/>
  <c r="AB15" i="37"/>
  <c r="AZ374" i="3"/>
  <c r="AZ373" i="3"/>
  <c r="AZ365" i="3"/>
  <c r="AZ347" i="3"/>
  <c r="AZ379" i="3"/>
  <c r="AZ361" i="3"/>
  <c r="AZ345" i="3"/>
  <c r="AZ329" i="3"/>
  <c r="AZ305" i="3"/>
  <c r="AZ303" i="3"/>
  <c r="AC41" i="34"/>
  <c r="AZ562" i="3"/>
  <c r="F23" i="36"/>
  <c r="H23" i="36"/>
  <c r="F25" i="37"/>
  <c r="AZ514" i="3"/>
  <c r="AZ492" i="3"/>
  <c r="AZ544" i="3"/>
  <c r="AZ493" i="3"/>
  <c r="S45" i="21"/>
  <c r="S46" i="21"/>
  <c r="U30" i="33"/>
  <c r="AA38" i="37"/>
  <c r="BA570" i="3"/>
  <c r="AZ570" i="3" s="1"/>
  <c r="BT5" i="3"/>
  <c r="G28" i="6" s="1"/>
  <c r="BI5" i="3"/>
  <c r="BG5" i="3"/>
  <c r="J36" i="35"/>
  <c r="G559" i="3"/>
  <c r="G551" i="3"/>
  <c r="G547" i="3"/>
  <c r="G532" i="3"/>
  <c r="G505" i="3"/>
  <c r="G497" i="3"/>
  <c r="C92" i="9"/>
  <c r="C18" i="9"/>
  <c r="AZ389" i="3"/>
  <c r="BA391" i="3"/>
  <c r="AZ391" i="3" s="1"/>
  <c r="BL398" i="3"/>
  <c r="AZ398" i="3" s="1"/>
  <c r="BA406" i="3"/>
  <c r="AZ406" i="3" s="1"/>
  <c r="BA407" i="3"/>
  <c r="AZ407" i="3" s="1"/>
  <c r="BL411" i="3"/>
  <c r="BA412" i="3"/>
  <c r="AZ412" i="3" s="1"/>
  <c r="BL414" i="3"/>
  <c r="AZ414" i="3" s="1"/>
  <c r="BA421" i="3"/>
  <c r="AZ421" i="3" s="1"/>
  <c r="BA422" i="3"/>
  <c r="AZ422" i="3" s="1"/>
  <c r="BA423" i="3"/>
  <c r="AZ423" i="3" s="1"/>
  <c r="BL427" i="3"/>
  <c r="BL443" i="3"/>
  <c r="BA448" i="3"/>
  <c r="AZ448" i="3" s="1"/>
  <c r="BA449" i="3"/>
  <c r="AZ449" i="3" s="1"/>
  <c r="BA450" i="3"/>
  <c r="AZ450" i="3" s="1"/>
  <c r="BA453" i="3"/>
  <c r="AZ453" i="3" s="1"/>
  <c r="BA456" i="3"/>
  <c r="AZ456" i="3" s="1"/>
  <c r="BA457" i="3"/>
  <c r="AZ457" i="3" s="1"/>
  <c r="BL461" i="3"/>
  <c r="AZ461" i="3" s="1"/>
  <c r="BA462" i="3"/>
  <c r="AZ462" i="3" s="1"/>
  <c r="BA463" i="3"/>
  <c r="AZ463" i="3" s="1"/>
  <c r="AZ470" i="3"/>
  <c r="AZ473" i="3"/>
  <c r="BA474" i="3"/>
  <c r="AZ474" i="3" s="1"/>
  <c r="BA475" i="3"/>
  <c r="AZ475" i="3" s="1"/>
  <c r="BA476" i="3"/>
  <c r="AZ476" i="3" s="1"/>
  <c r="G315" i="3"/>
  <c r="BA318" i="3"/>
  <c r="AZ318" i="3" s="1"/>
  <c r="BA319" i="3"/>
  <c r="AZ319" i="3" s="1"/>
  <c r="G333" i="3"/>
  <c r="AZ334" i="3"/>
  <c r="G347" i="3"/>
  <c r="BL348" i="3"/>
  <c r="AZ348" i="3" s="1"/>
  <c r="BA351" i="3"/>
  <c r="AZ351" i="3" s="1"/>
  <c r="BL205" i="3"/>
  <c r="AZ205" i="3" s="1"/>
  <c r="BA206" i="3"/>
  <c r="AZ206" i="3" s="1"/>
  <c r="BA207" i="3"/>
  <c r="AZ207" i="3" s="1"/>
  <c r="BA393" i="3"/>
  <c r="AZ393" i="3" s="1"/>
  <c r="BA394" i="3"/>
  <c r="AZ394" i="3" s="1"/>
  <c r="BA404" i="3"/>
  <c r="AZ404" i="3" s="1"/>
  <c r="BA409" i="3"/>
  <c r="AZ409" i="3" s="1"/>
  <c r="AZ411" i="3"/>
  <c r="BL418" i="3"/>
  <c r="AZ418" i="3" s="1"/>
  <c r="BA419" i="3"/>
  <c r="AZ419" i="3" s="1"/>
  <c r="AZ425" i="3"/>
  <c r="AZ427" i="3"/>
  <c r="BL433" i="3"/>
  <c r="AZ433" i="3" s="1"/>
  <c r="BL437" i="3"/>
  <c r="AZ437" i="3" s="1"/>
  <c r="BL439" i="3"/>
  <c r="AZ439" i="3" s="1"/>
  <c r="BA440" i="3"/>
  <c r="AZ440" i="3" s="1"/>
  <c r="BA441" i="3"/>
  <c r="AZ441" i="3" s="1"/>
  <c r="AZ445" i="3"/>
  <c r="BA446" i="3"/>
  <c r="AZ446" i="3" s="1"/>
  <c r="AZ468" i="3"/>
  <c r="AZ478" i="3"/>
  <c r="BA479" i="3"/>
  <c r="AZ479" i="3" s="1"/>
  <c r="BA368" i="3"/>
  <c r="AZ368" i="3" s="1"/>
  <c r="BL385" i="3"/>
  <c r="AZ385" i="3" s="1"/>
  <c r="BA386" i="3"/>
  <c r="AZ386" i="3" s="1"/>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G263" i="3"/>
  <c r="G264" i="3"/>
  <c r="BL264" i="3"/>
  <c r="AZ264" i="3" s="1"/>
  <c r="G267" i="3"/>
  <c r="BL267" i="3"/>
  <c r="AZ267" i="3" s="1"/>
  <c r="BA269" i="3"/>
  <c r="AZ269" i="3" s="1"/>
  <c r="BA270" i="3"/>
  <c r="AZ270" i="3" s="1"/>
  <c r="BA272" i="3"/>
  <c r="AZ272" i="3" s="1"/>
  <c r="BA273" i="3"/>
  <c r="AZ273" i="3" s="1"/>
  <c r="BA274" i="3"/>
  <c r="AZ274" i="3" s="1"/>
  <c r="BL276" i="3"/>
  <c r="AZ276" i="3" s="1"/>
  <c r="BA277" i="3"/>
  <c r="AZ277" i="3" s="1"/>
  <c r="BA278" i="3"/>
  <c r="AZ278" i="3" s="1"/>
  <c r="G281" i="3"/>
  <c r="G282" i="3"/>
  <c r="G283" i="3"/>
  <c r="BL283" i="3"/>
  <c r="AZ283" i="3" s="1"/>
  <c r="BA285" i="3"/>
  <c r="AZ285" i="3" s="1"/>
  <c r="BA286" i="3"/>
  <c r="AZ286" i="3" s="1"/>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G129" i="3"/>
  <c r="BL129" i="3"/>
  <c r="BA131" i="3"/>
  <c r="AZ131" i="3" s="1"/>
  <c r="BL132" i="3"/>
  <c r="G134" i="3"/>
  <c r="G137" i="3"/>
  <c r="G138" i="3"/>
  <c r="BL140" i="3"/>
  <c r="AZ140" i="3" s="1"/>
  <c r="BA141" i="3"/>
  <c r="AZ141" i="3" s="1"/>
  <c r="BL142" i="3"/>
  <c r="AZ142" i="3" s="1"/>
  <c r="G145" i="3"/>
  <c r="BL145" i="3"/>
  <c r="BA147" i="3"/>
  <c r="AZ147" i="3" s="1"/>
  <c r="BL148" i="3"/>
  <c r="AZ148" i="3" s="1"/>
  <c r="BA149" i="3"/>
  <c r="AZ149" i="3" s="1"/>
  <c r="BL150" i="3"/>
  <c r="AZ150" i="3" s="1"/>
  <c r="BA152" i="3"/>
  <c r="AZ152" i="3" s="1"/>
  <c r="BL153" i="3"/>
  <c r="AZ153" i="3" s="1"/>
  <c r="G156" i="3"/>
  <c r="BL156" i="3"/>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AZ21" i="3" s="1"/>
  <c r="BA22" i="3"/>
  <c r="AZ22" i="3" s="1"/>
  <c r="BA23" i="3"/>
  <c r="AZ23" i="3" s="1"/>
  <c r="BA24" i="3"/>
  <c r="AZ24" i="3" s="1"/>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BA104" i="3"/>
  <c r="AZ104" i="3" s="1"/>
  <c r="BL106" i="3"/>
  <c r="AZ106" i="3" s="1"/>
  <c r="BA108" i="3"/>
  <c r="AZ108" i="3" s="1"/>
  <c r="BL110" i="3"/>
  <c r="AZ110" i="3" s="1"/>
  <c r="BA111" i="3"/>
  <c r="AZ111" i="3" s="1"/>
  <c r="BA112" i="3"/>
  <c r="AZ112" i="3" s="1"/>
  <c r="K13" i="1"/>
  <c r="M13" i="1" s="1"/>
  <c r="C37" i="59"/>
  <c r="D36" i="59"/>
  <c r="X22" i="59"/>
  <c r="E26" i="57"/>
  <c r="I20" i="57"/>
  <c r="L16" i="4"/>
  <c r="C69" i="59"/>
  <c r="E65" i="59"/>
  <c r="E64" i="59" s="1"/>
  <c r="D62" i="59"/>
  <c r="E61" i="59"/>
  <c r="E60" i="59" s="1"/>
  <c r="U54" i="59"/>
  <c r="D40" i="59"/>
  <c r="D32" i="59"/>
  <c r="C16" i="59"/>
  <c r="X20" i="59"/>
  <c r="X21" i="59"/>
  <c r="C24" i="59"/>
  <c r="D24" i="59" s="1"/>
  <c r="Y21" i="59"/>
  <c r="Z21" i="59" s="1"/>
  <c r="AB24" i="59"/>
  <c r="F53" i="59"/>
  <c r="C13" i="59"/>
  <c r="T14" i="59"/>
  <c r="J29" i="35"/>
  <c r="F29" i="35"/>
  <c r="R16" i="4"/>
  <c r="AA38" i="39"/>
  <c r="S38" i="39"/>
  <c r="E72" i="39"/>
  <c r="F70" i="39"/>
  <c r="S46" i="39"/>
  <c r="AA46" i="39"/>
  <c r="U39" i="39"/>
  <c r="AB39" i="39"/>
  <c r="U42" i="39"/>
  <c r="W36" i="39"/>
  <c r="AB45" i="39"/>
  <c r="AB37" i="39"/>
  <c r="S47" i="39"/>
  <c r="H38" i="39"/>
  <c r="J14" i="39"/>
  <c r="AC14" i="39" s="1"/>
  <c r="J39" i="39"/>
  <c r="J46" i="39"/>
  <c r="H46" i="39"/>
  <c r="U36" i="39"/>
  <c r="S36" i="39"/>
  <c r="U10" i="39"/>
  <c r="AC27" i="40"/>
  <c r="S9" i="21"/>
  <c r="AA9" i="21"/>
  <c r="S28" i="34"/>
  <c r="AA28" i="34"/>
  <c r="AC24" i="35"/>
  <c r="W24" i="35"/>
  <c r="W39" i="37"/>
  <c r="AC39" i="37"/>
  <c r="H87" i="35"/>
  <c r="I87" i="35" s="1"/>
  <c r="J87" i="35" s="1"/>
  <c r="K87" i="35" s="1"/>
  <c r="L87" i="35" s="1"/>
  <c r="M87" i="35" s="1"/>
  <c r="H29" i="35"/>
  <c r="M7" i="1"/>
  <c r="O7" i="1" s="1"/>
  <c r="P7" i="1" s="1"/>
  <c r="R23" i="1"/>
  <c r="W23" i="40"/>
  <c r="AA34" i="33"/>
  <c r="AB23" i="40"/>
  <c r="U47" i="39"/>
  <c r="AC16" i="40"/>
  <c r="U41" i="40"/>
  <c r="AC47" i="39"/>
  <c r="S33" i="40"/>
  <c r="AC14" i="40"/>
  <c r="AZ520" i="3"/>
  <c r="AC24" i="36"/>
  <c r="W24" i="36"/>
  <c r="H5" i="3"/>
  <c r="BF5" i="3"/>
  <c r="F9" i="33"/>
  <c r="H9" i="33"/>
  <c r="AZ443" i="3"/>
  <c r="AZ447" i="3"/>
  <c r="AZ235" i="3"/>
  <c r="W31" i="34"/>
  <c r="AB40" i="37"/>
  <c r="W46" i="33"/>
  <c r="W35" i="35"/>
  <c r="BL13" i="3"/>
  <c r="F12" i="35"/>
  <c r="J12" i="35"/>
  <c r="F9" i="36"/>
  <c r="H9" i="36"/>
  <c r="H24" i="36"/>
  <c r="G536" i="3"/>
  <c r="G524" i="3"/>
  <c r="G512" i="3"/>
  <c r="G489" i="3"/>
  <c r="G481" i="3"/>
  <c r="AZ392" i="3"/>
  <c r="AZ397" i="3"/>
  <c r="AZ408" i="3"/>
  <c r="AZ413" i="3"/>
  <c r="AZ424" i="3"/>
  <c r="AZ464" i="3"/>
  <c r="AZ208" i="3"/>
  <c r="AZ211" i="3"/>
  <c r="AZ227" i="3"/>
  <c r="AZ243" i="3"/>
  <c r="AZ256" i="3"/>
  <c r="AZ259" i="3"/>
  <c r="AZ156" i="3"/>
  <c r="A30" i="64"/>
  <c r="A11" i="55"/>
  <c r="B62" i="63" s="1"/>
  <c r="AZ271" i="3"/>
  <c r="AZ275" i="3"/>
  <c r="AZ287" i="3"/>
  <c r="AZ291" i="3"/>
  <c r="AZ113" i="3"/>
  <c r="AZ116" i="3"/>
  <c r="AZ129" i="3"/>
  <c r="AZ132" i="3"/>
  <c r="AZ145" i="3"/>
  <c r="AZ25" i="3"/>
  <c r="AZ30" i="3"/>
  <c r="AZ41" i="3"/>
  <c r="AZ46" i="3"/>
  <c r="AZ57" i="3"/>
  <c r="AZ62" i="3"/>
  <c r="AZ65" i="3"/>
  <c r="AZ68" i="3"/>
  <c r="AZ75" i="3"/>
  <c r="AZ81" i="3"/>
  <c r="AZ85" i="3"/>
  <c r="AZ88" i="3"/>
  <c r="AZ95" i="3"/>
  <c r="AZ101" i="3"/>
  <c r="AZ103" i="3"/>
  <c r="AZ105" i="3"/>
  <c r="AZ109" i="3"/>
  <c r="K1" i="43"/>
  <c r="D1" i="57"/>
  <c r="E10" i="57" s="1"/>
  <c r="AB15" i="59"/>
  <c r="F16" i="59"/>
  <c r="F17" i="59" s="1"/>
  <c r="F18" i="59" s="1"/>
  <c r="V18" i="59" s="1"/>
  <c r="AB14" i="59"/>
  <c r="AB11" i="59"/>
  <c r="AB13" i="59"/>
  <c r="X19" i="59"/>
  <c r="B20" i="59"/>
  <c r="B21" i="59" s="1"/>
  <c r="B22" i="59" s="1"/>
  <c r="S22" i="59" s="1"/>
  <c r="AB23" i="59"/>
  <c r="F24" i="59"/>
  <c r="F25" i="59" s="1"/>
  <c r="F26" i="59" s="1"/>
  <c r="V26" i="59" s="1"/>
  <c r="T54" i="59"/>
  <c r="D54" i="59"/>
  <c r="U58" i="59"/>
  <c r="E57" i="59"/>
  <c r="E56" i="59" s="1"/>
  <c r="AA23" i="59"/>
  <c r="AA15" i="59"/>
  <c r="B9" i="59"/>
  <c r="B8" i="59" s="1"/>
  <c r="S10" i="59"/>
  <c r="F5" i="59"/>
  <c r="V6" i="59"/>
  <c r="Y9" i="59"/>
  <c r="Z9" i="59" s="1"/>
  <c r="AB9" i="59"/>
  <c r="Y7" i="59"/>
  <c r="Z7" i="59" s="1"/>
  <c r="AB7" i="59"/>
  <c r="B54" i="46"/>
  <c r="C27" i="40"/>
  <c r="T46" i="59"/>
  <c r="C30" i="59"/>
  <c r="C42" i="59"/>
  <c r="C50" i="59"/>
  <c r="C53" i="59"/>
  <c r="D44" i="59"/>
  <c r="C25" i="59"/>
  <c r="AB3" i="59"/>
  <c r="Y14" i="59"/>
  <c r="Z14" i="59" s="1"/>
  <c r="Y12" i="59"/>
  <c r="Z12" i="59" s="1"/>
  <c r="AA13" i="59"/>
  <c r="X14" i="59"/>
  <c r="X3" i="59"/>
  <c r="X16" i="59"/>
  <c r="AA17" i="59"/>
  <c r="Y19" i="59"/>
  <c r="Z19" i="59" s="1"/>
  <c r="C20" i="59"/>
  <c r="AA20" i="59"/>
  <c r="AA21" i="59"/>
  <c r="AA22" i="59"/>
  <c r="P53" i="59"/>
  <c r="E52" i="59"/>
  <c r="T58" i="59"/>
  <c r="D58" i="59"/>
  <c r="T66" i="59"/>
  <c r="D66" i="59"/>
  <c r="B14" i="59"/>
  <c r="X11" i="59"/>
  <c r="X13" i="59"/>
  <c r="E14" i="59"/>
  <c r="AA3" i="59"/>
  <c r="AA12" i="59"/>
  <c r="AA14" i="59"/>
  <c r="Y24" i="59"/>
  <c r="Z24" i="59" s="1"/>
  <c r="AB22" i="59"/>
  <c r="AA19" i="59"/>
  <c r="X18" i="59"/>
  <c r="X15" i="59"/>
  <c r="AA16" i="59"/>
  <c r="X17" i="59"/>
  <c r="AA18" i="59"/>
  <c r="AB19" i="59"/>
  <c r="Y20" i="59"/>
  <c r="Z20" i="59" s="1"/>
  <c r="AB21" i="59"/>
  <c r="Y22" i="59"/>
  <c r="Z22" i="59" s="1"/>
  <c r="X23" i="59"/>
  <c r="X24" i="59"/>
  <c r="AA24" i="59"/>
  <c r="AB10" i="59"/>
  <c r="C9" i="59"/>
  <c r="T10" i="59"/>
  <c r="X10" i="59"/>
  <c r="AA10" i="59"/>
  <c r="AA8" i="59"/>
  <c r="F14" i="59"/>
  <c r="Y10" i="59"/>
  <c r="Z10" i="59" s="1"/>
  <c r="X9" i="59"/>
  <c r="J51" i="15"/>
  <c r="X8" i="59"/>
  <c r="X7" i="59"/>
  <c r="X6" i="59"/>
  <c r="AA7" i="59"/>
  <c r="AA6" i="59"/>
  <c r="AA5" i="59"/>
  <c r="AB5" i="59"/>
  <c r="E10" i="59"/>
  <c r="L76" i="9"/>
  <c r="AA9" i="59"/>
  <c r="Y8" i="59"/>
  <c r="Z8" i="59" s="1"/>
  <c r="AB8" i="59"/>
  <c r="Y6" i="59"/>
  <c r="Z6" i="59" s="1"/>
  <c r="AB6" i="59"/>
  <c r="X5" i="59"/>
  <c r="Y5" i="59"/>
  <c r="Z5" i="59" s="1"/>
  <c r="D23" i="15"/>
  <c r="BC5" i="3"/>
  <c r="BA13" i="3"/>
  <c r="BA5" i="3" s="1"/>
  <c r="E53" i="40"/>
  <c r="G3" i="46"/>
  <c r="Y11" i="46" s="1"/>
  <c r="Y13" i="46" s="1"/>
  <c r="C13" i="39"/>
  <c r="F13" i="39" s="1"/>
  <c r="S13" i="39" s="1"/>
  <c r="F70" i="35"/>
  <c r="G70" i="35" s="1"/>
  <c r="F20" i="35"/>
  <c r="S20" i="35" s="1"/>
  <c r="J20" i="35"/>
  <c r="AC20" i="35" s="1"/>
  <c r="H20" i="35"/>
  <c r="AB20" i="35" s="1"/>
  <c r="F66" i="35"/>
  <c r="F16" i="35" s="1"/>
  <c r="F64" i="35"/>
  <c r="G64" i="35" s="1"/>
  <c r="F14" i="35"/>
  <c r="J14" i="35"/>
  <c r="H14" i="35"/>
  <c r="U20" i="35"/>
  <c r="U33" i="35"/>
  <c r="S30" i="35"/>
  <c r="U28" i="35"/>
  <c r="S32" i="35"/>
  <c r="W32" i="35"/>
  <c r="U31" i="35"/>
  <c r="S18" i="35"/>
  <c r="S10" i="35"/>
  <c r="J26" i="35"/>
  <c r="H26" i="35"/>
  <c r="F26" i="35"/>
  <c r="AB9" i="35"/>
  <c r="U9" i="35"/>
  <c r="F9" i="35"/>
  <c r="J9" i="35"/>
  <c r="S31" i="35"/>
  <c r="F23" i="39"/>
  <c r="AA23" i="39" s="1"/>
  <c r="F97" i="39"/>
  <c r="J23" i="39" s="1"/>
  <c r="AC23" i="39" s="1"/>
  <c r="O40" i="9"/>
  <c r="R7" i="54" s="1"/>
  <c r="B52" i="63" s="1"/>
  <c r="G126" i="39"/>
  <c r="H43" i="39"/>
  <c r="U43" i="39" s="1"/>
  <c r="J41" i="39"/>
  <c r="AC41" i="39" s="1"/>
  <c r="F41" i="39"/>
  <c r="G109" i="39"/>
  <c r="H33" i="39"/>
  <c r="G107" i="39"/>
  <c r="H107" i="39" s="1"/>
  <c r="I107" i="39" s="1"/>
  <c r="J107" i="39" s="1"/>
  <c r="K107" i="39" s="1"/>
  <c r="L107" i="39" s="1"/>
  <c r="M107" i="39" s="1"/>
  <c r="F33" i="39"/>
  <c r="J33" i="39"/>
  <c r="F29" i="39"/>
  <c r="AA29" i="39" s="1"/>
  <c r="H29" i="39"/>
  <c r="U29" i="39" s="1"/>
  <c r="G103" i="39"/>
  <c r="J29" i="39"/>
  <c r="AC29" i="39" s="1"/>
  <c r="F27" i="39"/>
  <c r="J27" i="39"/>
  <c r="AC27" i="39" s="1"/>
  <c r="F101" i="39"/>
  <c r="G101" i="39" s="1"/>
  <c r="H27" i="39"/>
  <c r="AB27" i="39" s="1"/>
  <c r="G97" i="39"/>
  <c r="H23" i="39"/>
  <c r="F17" i="39"/>
  <c r="AA17" i="39" s="1"/>
  <c r="F91" i="39"/>
  <c r="H17" i="39"/>
  <c r="U17" i="39" s="1"/>
  <c r="S11" i="39"/>
  <c r="J13" i="39"/>
  <c r="AC13" i="39" s="1"/>
  <c r="F83" i="39"/>
  <c r="G83" i="39" s="1"/>
  <c r="H83" i="39" s="1"/>
  <c r="I83" i="39" s="1"/>
  <c r="J83" i="39" s="1"/>
  <c r="K83" i="39" s="1"/>
  <c r="L83" i="39" s="1"/>
  <c r="M83" i="39" s="1"/>
  <c r="H13" i="39"/>
  <c r="AB29" i="39"/>
  <c r="S29" i="39"/>
  <c r="W23" i="39"/>
  <c r="S23" i="39"/>
  <c r="S31" i="39"/>
  <c r="AB43" i="39"/>
  <c r="W10" i="39"/>
  <c r="W31" i="39"/>
  <c r="W27" i="39"/>
  <c r="S25" i="39"/>
  <c r="AB25" i="39"/>
  <c r="AA13" i="39"/>
  <c r="AA44" i="39"/>
  <c r="AC44" i="39"/>
  <c r="AB44" i="39"/>
  <c r="U41" i="39"/>
  <c r="W16" i="39"/>
  <c r="AB15" i="39"/>
  <c r="S16" i="39"/>
  <c r="W15" i="39"/>
  <c r="AB16" i="39"/>
  <c r="W14" i="39"/>
  <c r="S14" i="39"/>
  <c r="U14" i="39"/>
  <c r="W11" i="39"/>
  <c r="U11" i="39"/>
  <c r="D96" i="9"/>
  <c r="F72" i="9"/>
  <c r="F28" i="15"/>
  <c r="C28" i="15" s="1"/>
  <c r="F30" i="44"/>
  <c r="C30" i="44" s="1"/>
  <c r="F70" i="9"/>
  <c r="F27" i="43"/>
  <c r="M18" i="15"/>
  <c r="F31" i="43"/>
  <c r="C31" i="43" s="1"/>
  <c r="D86" i="9"/>
  <c r="F29" i="12"/>
  <c r="F32" i="15"/>
  <c r="F59" i="15" s="1"/>
  <c r="F71" i="9"/>
  <c r="F66" i="9"/>
  <c r="P72" i="9" s="1"/>
  <c r="G27" i="12"/>
  <c r="D24" i="44"/>
  <c r="G23" i="43"/>
  <c r="G26" i="12"/>
  <c r="G28" i="12"/>
  <c r="G1" i="44"/>
  <c r="F27" i="6"/>
  <c r="L27" i="6"/>
  <c r="F30" i="6"/>
  <c r="D12" i="11"/>
  <c r="C12" i="11" s="1"/>
  <c r="H16" i="1"/>
  <c r="AZ13" i="3"/>
  <c r="BL5" i="3"/>
  <c r="H13" i="48"/>
  <c r="H5" i="48"/>
  <c r="H6" i="48"/>
  <c r="M5" i="46"/>
  <c r="M8" i="46"/>
  <c r="M4" i="46"/>
  <c r="N11" i="46"/>
  <c r="M9" i="46"/>
  <c r="N4" i="46"/>
  <c r="H53" i="46"/>
  <c r="N10" i="46"/>
  <c r="F69" i="46" s="1"/>
  <c r="H71" i="46" s="1"/>
  <c r="N3" i="46"/>
  <c r="M7" i="46"/>
  <c r="C6" i="46" s="1"/>
  <c r="N7" i="46"/>
  <c r="N2" i="46"/>
  <c r="M6" i="46"/>
  <c r="H9" i="48"/>
  <c r="A18" i="64"/>
  <c r="B74" i="63" s="1"/>
  <c r="C53" i="10"/>
  <c r="A25" i="64" s="1"/>
  <c r="L5" i="54"/>
  <c r="B39" i="63" s="1"/>
  <c r="T41" i="4"/>
  <c r="A17" i="51" s="1"/>
  <c r="B13" i="63" s="1"/>
  <c r="A18" i="51"/>
  <c r="B14" i="63" s="1"/>
  <c r="K5" i="54"/>
  <c r="B38" i="63" s="1"/>
  <c r="K17" i="4"/>
  <c r="A22" i="51" s="1"/>
  <c r="B16" i="63" s="1"/>
  <c r="O41" i="9"/>
  <c r="R8" i="54" s="1"/>
  <c r="B54" i="63" s="1"/>
  <c r="I14" i="66"/>
  <c r="B8" i="66" s="1"/>
  <c r="K76" i="9"/>
  <c r="K77" i="9" s="1"/>
  <c r="K79" i="9" s="1"/>
  <c r="K81" i="9" s="1"/>
  <c r="U7" i="21"/>
  <c r="J7" i="21"/>
  <c r="AC7" i="21" s="1"/>
  <c r="V48" i="21" s="1"/>
  <c r="I48" i="21" s="1"/>
  <c r="I52" i="21" s="1"/>
  <c r="J52" i="21" s="1"/>
  <c r="D67" i="40"/>
  <c r="D72" i="39"/>
  <c r="C72" i="39"/>
  <c r="J7" i="33"/>
  <c r="G9" i="1"/>
  <c r="G12" i="1"/>
  <c r="E14" i="52"/>
  <c r="C25" i="12"/>
  <c r="C15" i="43"/>
  <c r="C27" i="43"/>
  <c r="C15" i="12"/>
  <c r="H1" i="65"/>
  <c r="Q16" i="1"/>
  <c r="F33" i="12" s="1"/>
  <c r="C34" i="12" s="1"/>
  <c r="D33" i="12" s="1"/>
  <c r="H51" i="46"/>
  <c r="X7" i="46"/>
  <c r="E17" i="46"/>
  <c r="N17" i="46"/>
  <c r="O17" i="46"/>
  <c r="M17" i="46"/>
  <c r="L17" i="46"/>
  <c r="H22" i="46"/>
  <c r="O11" i="1"/>
  <c r="P11" i="1" s="1"/>
  <c r="O13" i="1"/>
  <c r="P13" i="1" s="1"/>
  <c r="O9" i="1"/>
  <c r="P9" i="1" s="1"/>
  <c r="E14" i="6"/>
  <c r="E15" i="6"/>
  <c r="E13" i="6"/>
  <c r="E12" i="6"/>
  <c r="E10" i="6"/>
  <c r="E11" i="6"/>
  <c r="O12" i="1"/>
  <c r="P12" i="1" s="1"/>
  <c r="AP7" i="1"/>
  <c r="G13" i="1"/>
  <c r="G52" i="21"/>
  <c r="H52" i="21" s="1"/>
  <c r="G53" i="21"/>
  <c r="H53" i="21" s="1"/>
  <c r="E52" i="37"/>
  <c r="D46" i="36"/>
  <c r="AP16" i="1"/>
  <c r="F22" i="11" s="1"/>
  <c r="E48" i="35"/>
  <c r="D59" i="34"/>
  <c r="G6" i="1"/>
  <c r="H7" i="33"/>
  <c r="F7" i="33"/>
  <c r="H50" i="46"/>
  <c r="H48" i="46"/>
  <c r="F35" i="46"/>
  <c r="I17" i="46"/>
  <c r="H63" i="46"/>
  <c r="AC11" i="46"/>
  <c r="AC13" i="46" s="1"/>
  <c r="H64" i="46"/>
  <c r="H66" i="46"/>
  <c r="D100" i="46"/>
  <c r="H62" i="46"/>
  <c r="AF12" i="46"/>
  <c r="K100" i="46"/>
  <c r="AB12" i="46"/>
  <c r="AJ12" i="46"/>
  <c r="N104" i="45"/>
  <c r="Z11" i="46"/>
  <c r="Z13" i="46" s="1"/>
  <c r="H60" i="46"/>
  <c r="H59" i="46"/>
  <c r="H74" i="46"/>
  <c r="H65" i="46"/>
  <c r="E10" i="46"/>
  <c r="E9" i="46"/>
  <c r="E11" i="46"/>
  <c r="E8" i="46"/>
  <c r="H77"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C27" i="15"/>
  <c r="F50" i="15"/>
  <c r="L59" i="15"/>
  <c r="L58" i="15"/>
  <c r="F49" i="15"/>
  <c r="M7"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F58" i="15"/>
  <c r="F31" i="15"/>
  <c r="M19" i="44"/>
  <c r="F33" i="44"/>
  <c r="F9" i="15"/>
  <c r="M31" i="44"/>
  <c r="M10" i="44"/>
  <c r="F10" i="44"/>
  <c r="M8" i="44"/>
  <c r="M29" i="44"/>
  <c r="M28" i="44"/>
  <c r="J6" i="65"/>
  <c r="F38" i="44"/>
  <c r="M24" i="44"/>
  <c r="I5" i="65"/>
  <c r="M9" i="15"/>
  <c r="F37" i="15"/>
  <c r="F38" i="15"/>
  <c r="J3" i="65"/>
  <c r="C16" i="15"/>
  <c r="F39" i="44"/>
  <c r="F46" i="44"/>
  <c r="F43" i="44"/>
  <c r="F40" i="44"/>
  <c r="M26" i="44"/>
  <c r="I6" i="65"/>
  <c r="M30" i="44"/>
  <c r="F8" i="44"/>
  <c r="F6" i="15"/>
  <c r="F43" i="15"/>
  <c r="F45" i="44"/>
  <c r="L48" i="44"/>
  <c r="M23" i="44"/>
  <c r="F28" i="44"/>
  <c r="J4" i="65"/>
  <c r="J7" i="65"/>
  <c r="J5" i="65"/>
  <c r="J17" i="44"/>
  <c r="M11" i="44"/>
  <c r="M25" i="44"/>
  <c r="J36" i="15"/>
  <c r="I7" i="65"/>
  <c r="F15" i="44"/>
  <c r="F18" i="44"/>
  <c r="L49" i="44"/>
  <c r="F11" i="44"/>
  <c r="F37" i="44"/>
  <c r="J15" i="15"/>
  <c r="M28" i="15"/>
  <c r="F9" i="44"/>
  <c r="C19" i="44"/>
  <c r="I3" i="65"/>
  <c r="I4" i="65"/>
  <c r="F70" i="15" l="1"/>
  <c r="C6" i="15"/>
  <c r="F65" i="15"/>
  <c r="Q72" i="15"/>
  <c r="F64" i="15"/>
  <c r="G30" i="6"/>
  <c r="G31" i="6" s="1"/>
  <c r="E28" i="6"/>
  <c r="F52" i="59"/>
  <c r="Q53" i="59"/>
  <c r="D16" i="59"/>
  <c r="C17" i="59"/>
  <c r="AB23" i="36"/>
  <c r="U23" i="36"/>
  <c r="AA7" i="21"/>
  <c r="R48" i="21" s="1"/>
  <c r="S7" i="21"/>
  <c r="J6" i="15"/>
  <c r="AZ5" i="3"/>
  <c r="E3" i="6" s="1"/>
  <c r="D10" i="11" s="1"/>
  <c r="D13" i="59"/>
  <c r="C12" i="59"/>
  <c r="D12" i="59" s="1"/>
  <c r="C68" i="59"/>
  <c r="D68" i="59" s="1"/>
  <c r="D69" i="59"/>
  <c r="D37" i="59"/>
  <c r="C38" i="59"/>
  <c r="M43" i="9"/>
  <c r="D18" i="9"/>
  <c r="M44" i="9" s="1"/>
  <c r="AC36" i="35"/>
  <c r="W36" i="35"/>
  <c r="AA25" i="37"/>
  <c r="S25" i="37"/>
  <c r="AA23" i="36"/>
  <c r="S23" i="36"/>
  <c r="E67" i="40"/>
  <c r="F65" i="40"/>
  <c r="W20" i="35"/>
  <c r="S29" i="35"/>
  <c r="AA29" i="35"/>
  <c r="AC29" i="35"/>
  <c r="W29" i="35"/>
  <c r="AF11" i="46"/>
  <c r="AF13" i="46" s="1"/>
  <c r="Z7" i="46"/>
  <c r="C101" i="46"/>
  <c r="C109" i="46" s="1"/>
  <c r="J22" i="46"/>
  <c r="E27" i="6"/>
  <c r="U46" i="39"/>
  <c r="AB46" i="39"/>
  <c r="W39" i="39"/>
  <c r="AC39" i="39"/>
  <c r="U38" i="39"/>
  <c r="AB38" i="39"/>
  <c r="F72" i="39"/>
  <c r="G70" i="39"/>
  <c r="AC46" i="39"/>
  <c r="W46" i="39"/>
  <c r="AB11" i="46"/>
  <c r="AB13" i="46" s="1"/>
  <c r="AA11" i="46"/>
  <c r="AA13" i="46" s="1"/>
  <c r="E22" i="46"/>
  <c r="D22" i="46" s="1"/>
  <c r="F22" i="46"/>
  <c r="J101" i="46"/>
  <c r="J106" i="46" s="1"/>
  <c r="AJ11" i="46"/>
  <c r="M101" i="46"/>
  <c r="M106" i="46" s="1"/>
  <c r="D101" i="46"/>
  <c r="D106" i="46" s="1"/>
  <c r="H101" i="46"/>
  <c r="H102" i="46" s="1"/>
  <c r="AE11" i="46"/>
  <c r="AE13" i="46" s="1"/>
  <c r="AI11" i="46"/>
  <c r="AI13" i="46" s="1"/>
  <c r="AH11" i="46"/>
  <c r="AH13" i="46" s="1"/>
  <c r="AG11" i="46"/>
  <c r="AG13" i="46" s="1"/>
  <c r="K101" i="46"/>
  <c r="K103" i="46" s="1"/>
  <c r="E101" i="46"/>
  <c r="E104" i="46" s="1"/>
  <c r="L101" i="46"/>
  <c r="L105" i="46" s="1"/>
  <c r="B113" i="46"/>
  <c r="I116" i="46" s="1"/>
  <c r="J116" i="46" s="1"/>
  <c r="K116" i="46" s="1"/>
  <c r="L116" i="46" s="1"/>
  <c r="M116" i="46" s="1"/>
  <c r="G101" i="46"/>
  <c r="G106" i="46" s="1"/>
  <c r="AD11" i="46"/>
  <c r="AD13" i="46" s="1"/>
  <c r="N101" i="46"/>
  <c r="N105" i="46" s="1"/>
  <c r="I101" i="46"/>
  <c r="I109" i="46" s="1"/>
  <c r="F101" i="46"/>
  <c r="G22" i="46"/>
  <c r="W7" i="21"/>
  <c r="S17" i="39"/>
  <c r="W13" i="39"/>
  <c r="H126" i="39"/>
  <c r="I126" i="39" s="1"/>
  <c r="J126" i="39" s="1"/>
  <c r="K126" i="39" s="1"/>
  <c r="L126" i="39" s="1"/>
  <c r="M126" i="39" s="1"/>
  <c r="F43" i="39"/>
  <c r="J43" i="39"/>
  <c r="U10" i="59"/>
  <c r="E9" i="59"/>
  <c r="E8" i="59" s="1"/>
  <c r="E7" i="59" s="1"/>
  <c r="E6" i="59" s="1"/>
  <c r="C8" i="59"/>
  <c r="D9" i="59"/>
  <c r="U14" i="59"/>
  <c r="E13" i="59"/>
  <c r="E12" i="59" s="1"/>
  <c r="P52" i="59"/>
  <c r="P51" i="59"/>
  <c r="D50" i="59"/>
  <c r="T50" i="59"/>
  <c r="D30" i="59"/>
  <c r="T30" i="59"/>
  <c r="AB9" i="36"/>
  <c r="U9" i="36"/>
  <c r="AC12" i="35"/>
  <c r="W12" i="35"/>
  <c r="AA9" i="33"/>
  <c r="S9" i="33"/>
  <c r="F13" i="59"/>
  <c r="F12" i="59" s="1"/>
  <c r="V14" i="59"/>
  <c r="S14" i="59"/>
  <c r="B13" i="59"/>
  <c r="B12" i="59" s="1"/>
  <c r="C21" i="59"/>
  <c r="D20" i="59"/>
  <c r="D25" i="59"/>
  <c r="C26" i="59"/>
  <c r="C52" i="59"/>
  <c r="D53" i="59"/>
  <c r="O53" i="59"/>
  <c r="D42" i="59"/>
  <c r="T42" i="59"/>
  <c r="U24" i="36"/>
  <c r="AB24" i="36"/>
  <c r="AA9" i="36"/>
  <c r="S9" i="36"/>
  <c r="AA12" i="35"/>
  <c r="S12" i="35"/>
  <c r="G5" i="3"/>
  <c r="B3" i="3" s="1"/>
  <c r="AT6" i="3" s="1"/>
  <c r="AB9" i="33"/>
  <c r="U9" i="33"/>
  <c r="AB29" i="35"/>
  <c r="U29" i="35"/>
  <c r="AA16" i="35"/>
  <c r="S16" i="35"/>
  <c r="AA20" i="35"/>
  <c r="G66" i="35"/>
  <c r="H16" i="35"/>
  <c r="J16" i="35"/>
  <c r="U14" i="35"/>
  <c r="AB14" i="35"/>
  <c r="S14" i="35"/>
  <c r="AA14" i="35"/>
  <c r="AC14" i="35"/>
  <c r="W14" i="35"/>
  <c r="U26" i="35"/>
  <c r="AB26" i="35"/>
  <c r="AA26" i="35"/>
  <c r="S26" i="35"/>
  <c r="W26" i="35"/>
  <c r="AC26" i="35"/>
  <c r="AC9" i="35"/>
  <c r="W9" i="35"/>
  <c r="AA9" i="35"/>
  <c r="S9" i="35"/>
  <c r="AB17" i="39"/>
  <c r="W41" i="39"/>
  <c r="AA41" i="39"/>
  <c r="S41" i="39"/>
  <c r="H109" i="39"/>
  <c r="J34" i="39" s="1"/>
  <c r="W33" i="39"/>
  <c r="AC33" i="39"/>
  <c r="S33" i="39"/>
  <c r="AA33" i="39"/>
  <c r="U33" i="39"/>
  <c r="AB33" i="39"/>
  <c r="W29" i="39"/>
  <c r="U27" i="39"/>
  <c r="AA27" i="39"/>
  <c r="S27" i="39"/>
  <c r="U23" i="39"/>
  <c r="AB23" i="39"/>
  <c r="G91" i="39"/>
  <c r="J17" i="39"/>
  <c r="AB13" i="39"/>
  <c r="U13" i="39"/>
  <c r="C36" i="44"/>
  <c r="C8" i="44"/>
  <c r="L59" i="44"/>
  <c r="Q62" i="44" s="1"/>
  <c r="L60" i="44"/>
  <c r="Q63" i="44" s="1"/>
  <c r="Q73" i="44"/>
  <c r="J60" i="44"/>
  <c r="I55" i="44"/>
  <c r="L57" i="44"/>
  <c r="J54" i="44"/>
  <c r="F1" i="44" s="1"/>
  <c r="J58" i="44"/>
  <c r="J56" i="44" s="1"/>
  <c r="J59" i="44" s="1"/>
  <c r="Q52" i="44" s="1"/>
  <c r="J61" i="44"/>
  <c r="Q50" i="44" s="1"/>
  <c r="J22" i="44"/>
  <c r="C29" i="44"/>
  <c r="M9" i="44"/>
  <c r="J8" i="44" s="1"/>
  <c r="F31" i="6"/>
  <c r="D16" i="43"/>
  <c r="C16" i="43" s="1"/>
  <c r="D16" i="12"/>
  <c r="L38" i="9"/>
  <c r="B14" i="66" s="1"/>
  <c r="B1" i="66" s="1"/>
  <c r="E6" i="6"/>
  <c r="D45" i="9"/>
  <c r="C21" i="4"/>
  <c r="O5" i="54" s="1"/>
  <c r="B45" i="63" s="1"/>
  <c r="D46" i="9"/>
  <c r="H72" i="46"/>
  <c r="H76" i="46"/>
  <c r="H69" i="46"/>
  <c r="H75" i="46"/>
  <c r="G17" i="46"/>
  <c r="C16" i="46" s="1"/>
  <c r="C5" i="46" s="1"/>
  <c r="H73" i="46"/>
  <c r="H70" i="46"/>
  <c r="A3" i="55"/>
  <c r="B56" i="63" s="1"/>
  <c r="A17" i="64"/>
  <c r="A25" i="51"/>
  <c r="B18" i="63" s="1"/>
  <c r="G16" i="1"/>
  <c r="J12" i="40" s="1"/>
  <c r="AC7" i="33"/>
  <c r="V48" i="33" s="1"/>
  <c r="I48" i="33" s="1"/>
  <c r="I52" i="33" s="1"/>
  <c r="J52" i="33" s="1"/>
  <c r="W7" i="33"/>
  <c r="B5" i="59"/>
  <c r="D107" i="46"/>
  <c r="J1" i="65"/>
  <c r="I1" i="65"/>
  <c r="E20" i="46"/>
  <c r="P28" i="46" s="1"/>
  <c r="H105" i="46"/>
  <c r="D103" i="46"/>
  <c r="D102" i="46"/>
  <c r="F18" i="11"/>
  <c r="C18" i="11" s="1"/>
  <c r="F24" i="43"/>
  <c r="C26" i="43" s="1"/>
  <c r="D24" i="43" s="1"/>
  <c r="D105" i="46"/>
  <c r="D109" i="46"/>
  <c r="D104" i="46"/>
  <c r="AJ13"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F35" i="6" s="1"/>
  <c r="K23" i="6"/>
  <c r="M23" i="6" s="1"/>
  <c r="I23" i="6" s="1"/>
  <c r="S23" i="6" s="1"/>
  <c r="K25" i="6"/>
  <c r="M25" i="6" s="1"/>
  <c r="I25" i="6" s="1"/>
  <c r="S25" i="6" s="1"/>
  <c r="K21" i="6"/>
  <c r="AB7" i="33"/>
  <c r="T48" i="33" s="1"/>
  <c r="G48" i="33" s="1"/>
  <c r="U7" i="33"/>
  <c r="F48" i="35"/>
  <c r="E46" i="36"/>
  <c r="AA7" i="33"/>
  <c r="R48" i="33" s="1"/>
  <c r="S7" i="33"/>
  <c r="E59" i="34"/>
  <c r="F59" i="34" s="1"/>
  <c r="G59" i="34" s="1"/>
  <c r="H59" i="34" s="1"/>
  <c r="I59" i="34" s="1"/>
  <c r="J59" i="34" s="1"/>
  <c r="K59" i="34" s="1"/>
  <c r="L59" i="34" s="1"/>
  <c r="M59" i="34" s="1"/>
  <c r="N59" i="34" s="1"/>
  <c r="O59" i="34" s="1"/>
  <c r="F52" i="37"/>
  <c r="N107" i="46"/>
  <c r="I103" i="46"/>
  <c r="N106" i="46"/>
  <c r="N102" i="46"/>
  <c r="K107" i="46"/>
  <c r="K102" i="46"/>
  <c r="K104" i="46"/>
  <c r="E103" i="46"/>
  <c r="L102" i="46"/>
  <c r="L104" i="46"/>
  <c r="L109" i="46"/>
  <c r="C23" i="46" s="1"/>
  <c r="C21" i="46" s="1"/>
  <c r="L103" i="46"/>
  <c r="I115" i="46"/>
  <c r="J115" i="46" s="1"/>
  <c r="K115" i="46" s="1"/>
  <c r="L115" i="46" s="1"/>
  <c r="M115" i="46" s="1"/>
  <c r="B116" i="46"/>
  <c r="C116" i="46" s="1"/>
  <c r="I117" i="46"/>
  <c r="J117" i="46" s="1"/>
  <c r="K117" i="46" s="1"/>
  <c r="L117" i="46" s="1"/>
  <c r="M117" i="46" s="1"/>
  <c r="G103" i="46"/>
  <c r="G102" i="46"/>
  <c r="G105" i="46"/>
  <c r="G109" i="46"/>
  <c r="J107" i="46"/>
  <c r="J103" i="46"/>
  <c r="C104" i="46"/>
  <c r="C107" i="46"/>
  <c r="C103" i="46"/>
  <c r="C102" i="46"/>
  <c r="C106" i="46"/>
  <c r="C105" i="46"/>
  <c r="C7" i="46"/>
  <c r="C48" i="15"/>
  <c r="Q61" i="15"/>
  <c r="Q74" i="15"/>
  <c r="F13" i="44"/>
  <c r="C12" i="44" s="1"/>
  <c r="M11" i="15"/>
  <c r="J10" i="15" s="1"/>
  <c r="F11" i="15"/>
  <c r="M13" i="44"/>
  <c r="J12" i="44" s="1"/>
  <c r="F1" i="15"/>
  <c r="Q53" i="15"/>
  <c r="Q75" i="15"/>
  <c r="Q62" i="15"/>
  <c r="AE7" i="1"/>
  <c r="C18" i="44"/>
  <c r="AE8" i="1"/>
  <c r="E2" i="65"/>
  <c r="E3" i="65"/>
  <c r="J5" i="15" l="1"/>
  <c r="E109" i="46"/>
  <c r="J102" i="46"/>
  <c r="B117" i="46"/>
  <c r="C117" i="46" s="1"/>
  <c r="D118" i="46"/>
  <c r="E118" i="46" s="1"/>
  <c r="F118" i="46" s="1"/>
  <c r="B115" i="46"/>
  <c r="E107" i="46"/>
  <c r="E106" i="46"/>
  <c r="I107" i="46"/>
  <c r="E48" i="21"/>
  <c r="R49" i="21"/>
  <c r="Q51" i="59"/>
  <c r="Q52" i="59"/>
  <c r="F67" i="40"/>
  <c r="G65" i="40"/>
  <c r="D38" i="59"/>
  <c r="T38" i="59"/>
  <c r="D17" i="59"/>
  <c r="C18" i="59"/>
  <c r="M21" i="6"/>
  <c r="I21" i="6" s="1"/>
  <c r="S21" i="6" s="1"/>
  <c r="S8" i="1"/>
  <c r="H104" i="46"/>
  <c r="H107" i="46"/>
  <c r="H103" i="46"/>
  <c r="H70" i="39"/>
  <c r="G72" i="39"/>
  <c r="H34" i="39"/>
  <c r="U34" i="39" s="1"/>
  <c r="M107" i="46"/>
  <c r="M103" i="46"/>
  <c r="M109" i="4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H106" i="46"/>
  <c r="H109" i="46"/>
  <c r="M105" i="46"/>
  <c r="M102" i="46"/>
  <c r="M104" i="46"/>
  <c r="F106" i="46"/>
  <c r="F107" i="46"/>
  <c r="F109" i="46"/>
  <c r="F102" i="46"/>
  <c r="F103" i="46"/>
  <c r="F104" i="46"/>
  <c r="F105" i="46"/>
  <c r="K109" i="46"/>
  <c r="G107" i="46"/>
  <c r="G104" i="46"/>
  <c r="L107" i="46"/>
  <c r="L106" i="46"/>
  <c r="K105" i="46"/>
  <c r="K106" i="46"/>
  <c r="N103" i="46"/>
  <c r="N109" i="46"/>
  <c r="N104" i="46"/>
  <c r="I102" i="46"/>
  <c r="I106" i="46"/>
  <c r="E395" i="3"/>
  <c r="E209" i="3"/>
  <c r="E295" i="3"/>
  <c r="E201" i="3"/>
  <c r="E274" i="3"/>
  <c r="E547" i="3"/>
  <c r="E478" i="3"/>
  <c r="E317" i="3"/>
  <c r="E357" i="3"/>
  <c r="E179" i="3"/>
  <c r="AS6" i="3"/>
  <c r="E444" i="3"/>
  <c r="E383" i="3"/>
  <c r="E247" i="3"/>
  <c r="E568" i="3"/>
  <c r="E539" i="3"/>
  <c r="E245" i="3"/>
  <c r="E166" i="3"/>
  <c r="O6" i="3"/>
  <c r="E204" i="3"/>
  <c r="E207" i="3"/>
  <c r="E527" i="3"/>
  <c r="E73" i="3"/>
  <c r="E365" i="3"/>
  <c r="E126" i="3"/>
  <c r="E248" i="3"/>
  <c r="E211" i="3"/>
  <c r="E336" i="3"/>
  <c r="Y6" i="3"/>
  <c r="AR6" i="3"/>
  <c r="E466" i="3"/>
  <c r="E65" i="3"/>
  <c r="E51" i="3"/>
  <c r="E513" i="3"/>
  <c r="E198" i="3"/>
  <c r="E345" i="3"/>
  <c r="E281" i="3"/>
  <c r="E72" i="3"/>
  <c r="E290" i="3"/>
  <c r="E440" i="3"/>
  <c r="AF6" i="3"/>
  <c r="E331" i="3"/>
  <c r="E76" i="3"/>
  <c r="E191" i="3"/>
  <c r="E287" i="3"/>
  <c r="E300" i="3"/>
  <c r="E24" i="3"/>
  <c r="E555" i="3"/>
  <c r="E188" i="3"/>
  <c r="E379" i="3"/>
  <c r="E271" i="3"/>
  <c r="E355" i="3"/>
  <c r="E306" i="3"/>
  <c r="E530" i="3"/>
  <c r="E508" i="3"/>
  <c r="E499" i="3"/>
  <c r="E180" i="3"/>
  <c r="E538" i="3"/>
  <c r="E493" i="3"/>
  <c r="E558"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03" i="3"/>
  <c r="E436" i="3"/>
  <c r="E277" i="3"/>
  <c r="E385" i="3"/>
  <c r="E307" i="3"/>
  <c r="E95" i="3"/>
  <c r="E19" i="3"/>
  <c r="E498" i="3"/>
  <c r="E212" i="3"/>
  <c r="E298" i="3"/>
  <c r="E35" i="3"/>
  <c r="E361" i="3"/>
  <c r="E182" i="3"/>
  <c r="E315" i="3"/>
  <c r="E267" i="3"/>
  <c r="E323" i="3"/>
  <c r="E312" i="3"/>
  <c r="E364" i="3"/>
  <c r="E351" i="3"/>
  <c r="E342" i="3"/>
  <c r="AL6" i="3"/>
  <c r="E384" i="3"/>
  <c r="E371" i="3"/>
  <c r="E310" i="3"/>
  <c r="E567" i="3"/>
  <c r="E487" i="3"/>
  <c r="E504" i="3"/>
  <c r="E227" i="3"/>
  <c r="E26" i="3"/>
  <c r="S6" i="3"/>
  <c r="E244" i="3"/>
  <c r="E71" i="3"/>
  <c r="E137" i="3"/>
  <c r="E240" i="3"/>
  <c r="E301" i="3"/>
  <c r="E382" i="3"/>
  <c r="E484" i="3"/>
  <c r="E326" i="3"/>
  <c r="E20" i="3"/>
  <c r="E270" i="3"/>
  <c r="E450" i="3"/>
  <c r="E492" i="3"/>
  <c r="E89" i="3"/>
  <c r="E170" i="3"/>
  <c r="E32" i="3"/>
  <c r="E415" i="3"/>
  <c r="E80" i="3"/>
  <c r="E28" i="3"/>
  <c r="E141" i="3"/>
  <c r="E168" i="3"/>
  <c r="E34" i="3"/>
  <c r="E407" i="3"/>
  <c r="E550" i="3"/>
  <c r="E136" i="3"/>
  <c r="E85" i="3"/>
  <c r="E332" i="3"/>
  <c r="E102" i="3"/>
  <c r="E25" i="3"/>
  <c r="E258" i="3"/>
  <c r="E479" i="3"/>
  <c r="E449" i="3"/>
  <c r="E43" i="3"/>
  <c r="E196" i="3"/>
  <c r="E276" i="3"/>
  <c r="E259" i="3"/>
  <c r="E370" i="3"/>
  <c r="E308" i="3"/>
  <c r="E526" i="3"/>
  <c r="E416" i="3"/>
  <c r="E477" i="3"/>
  <c r="E96" i="3"/>
  <c r="E540" i="3"/>
  <c r="E160" i="3"/>
  <c r="E134" i="3"/>
  <c r="E242" i="3"/>
  <c r="AI6" i="3"/>
  <c r="E133" i="3"/>
  <c r="E239" i="3"/>
  <c r="E87" i="3"/>
  <c r="E234" i="3"/>
  <c r="E458" i="3"/>
  <c r="E40" i="3"/>
  <c r="E128" i="3"/>
  <c r="E362" i="3"/>
  <c r="E29" i="3"/>
  <c r="E559" i="3"/>
  <c r="E176" i="3"/>
  <c r="E150" i="3"/>
  <c r="E256" i="3"/>
  <c r="E228" i="3"/>
  <c r="E554" i="3"/>
  <c r="E314" i="3"/>
  <c r="E491" i="3"/>
  <c r="E324" i="3"/>
  <c r="E525" i="3"/>
  <c r="E502" i="3"/>
  <c r="E319" i="3"/>
  <c r="E334" i="3"/>
  <c r="E551" i="3"/>
  <c r="E108" i="3"/>
  <c r="E173" i="3"/>
  <c r="E246" i="3"/>
  <c r="E217" i="3"/>
  <c r="E81" i="3"/>
  <c r="E16" i="3"/>
  <c r="E177" i="3"/>
  <c r="E260" i="3"/>
  <c r="E432" i="3"/>
  <c r="E90" i="3"/>
  <c r="E153" i="3"/>
  <c r="E210" i="3"/>
  <c r="E339" i="3"/>
  <c r="E106" i="3"/>
  <c r="E14" i="3"/>
  <c r="E169" i="3"/>
  <c r="E118" i="3"/>
  <c r="E226" i="3"/>
  <c r="E378" i="3"/>
  <c r="E163" i="3"/>
  <c r="E159" i="3"/>
  <c r="E514" i="3"/>
  <c r="E501" i="3"/>
  <c r="E522" i="3"/>
  <c r="E368" i="3"/>
  <c r="E572" i="3"/>
  <c r="E510" i="3"/>
  <c r="E516" i="3"/>
  <c r="E329" i="3"/>
  <c r="AB6" i="3"/>
  <c r="E406" i="3"/>
  <c r="E488" i="3"/>
  <c r="E322" i="3"/>
  <c r="E511" i="3"/>
  <c r="E17" i="3"/>
  <c r="E377" i="3"/>
  <c r="E18" i="3"/>
  <c r="E358" i="3"/>
  <c r="E509" i="3"/>
  <c r="E356" i="3"/>
  <c r="E564" i="3"/>
  <c r="E157" i="3"/>
  <c r="E149" i="3"/>
  <c r="E549" i="3"/>
  <c r="I3" i="6"/>
  <c r="E292" i="3"/>
  <c r="E447" i="3"/>
  <c r="E33" i="3"/>
  <c r="Q6" i="3"/>
  <c r="E119" i="3"/>
  <c r="E500" i="3"/>
  <c r="E97" i="3"/>
  <c r="AE6" i="3"/>
  <c r="E289" i="3"/>
  <c r="E113" i="3"/>
  <c r="E425" i="3"/>
  <c r="E257" i="3"/>
  <c r="E139" i="3"/>
  <c r="E445" i="3"/>
  <c r="E556" i="3"/>
  <c r="E291" i="3"/>
  <c r="E486" i="3"/>
  <c r="E465" i="3"/>
  <c r="E543" i="3"/>
  <c r="E154" i="3"/>
  <c r="E264" i="3"/>
  <c r="E243" i="3"/>
  <c r="E369" i="3"/>
  <c r="E309" i="3"/>
  <c r="V6" i="3"/>
  <c r="E448" i="3"/>
  <c r="E105" i="3"/>
  <c r="E74" i="3"/>
  <c r="AG6" i="3"/>
  <c r="E121" i="3"/>
  <c r="E505" i="3"/>
  <c r="E224" i="3"/>
  <c r="E419" i="3"/>
  <c r="E123" i="3"/>
  <c r="E302" i="3"/>
  <c r="E66" i="3"/>
  <c r="E386" i="3"/>
  <c r="K6" i="3"/>
  <c r="E561" i="3"/>
  <c r="AN6" i="3"/>
  <c r="E464" i="3"/>
  <c r="E414" i="3"/>
  <c r="E202" i="3"/>
  <c r="E131" i="3"/>
  <c r="E304" i="3"/>
  <c r="E165" i="3"/>
  <c r="E404" i="3"/>
  <c r="E30" i="3"/>
  <c r="E441" i="3"/>
  <c r="E36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0" i="3"/>
  <c r="AP6" i="3"/>
  <c r="E142" i="3"/>
  <c r="E84" i="3"/>
  <c r="E343" i="3"/>
  <c r="P6" i="3"/>
  <c r="E140" i="3"/>
  <c r="AH6" i="3"/>
  <c r="E64" i="3"/>
  <c r="E125" i="3"/>
  <c r="E21" i="3"/>
  <c r="R6" i="3"/>
  <c r="E294" i="3"/>
  <c r="E387" i="3"/>
  <c r="E376" i="3"/>
  <c r="E534" i="3"/>
  <c r="E94" i="3"/>
  <c r="E104" i="3"/>
  <c r="E278" i="3"/>
  <c r="E92" i="3"/>
  <c r="E418" i="3"/>
  <c r="E41" i="3"/>
  <c r="E411" i="3"/>
  <c r="E193" i="3"/>
  <c r="E427" i="3"/>
  <c r="E49" i="3"/>
  <c r="E381" i="3"/>
  <c r="E156" i="3"/>
  <c r="E535" i="3"/>
  <c r="E28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0" i="3"/>
  <c r="E161" i="3"/>
  <c r="E249" i="3"/>
  <c r="E460" i="3"/>
  <c r="E463" i="3"/>
  <c r="E426" i="3"/>
  <c r="E60" i="3"/>
  <c r="E75" i="3"/>
  <c r="E178" i="3"/>
  <c r="J6" i="3"/>
  <c r="E48" i="3"/>
  <c r="E438" i="3"/>
  <c r="E455" i="3"/>
  <c r="E363" i="3"/>
  <c r="E79" i="3"/>
  <c r="E401" i="3"/>
  <c r="E272" i="3"/>
  <c r="E52" i="3"/>
  <c r="E451" i="3"/>
  <c r="U6" i="3"/>
  <c r="E305" i="3"/>
  <c r="E417" i="3"/>
  <c r="E88" i="3"/>
  <c r="E145" i="3"/>
  <c r="E480" i="3"/>
  <c r="E279" i="3"/>
  <c r="E220" i="3"/>
  <c r="E347" i="3"/>
  <c r="E517" i="3"/>
  <c r="E400" i="3"/>
  <c r="E453" i="3"/>
  <c r="E58" i="3"/>
  <c r="AQ6" i="3"/>
  <c r="E197" i="3"/>
  <c r="E162" i="3"/>
  <c r="E285" i="3"/>
  <c r="E235" i="3"/>
  <c r="E61" i="3"/>
  <c r="E229" i="3"/>
  <c r="E433" i="3"/>
  <c r="E120" i="3"/>
  <c r="E529" i="3"/>
  <c r="E297" i="3"/>
  <c r="E59" i="3"/>
  <c r="E238" i="3"/>
  <c r="E44" i="3"/>
  <c r="E36" i="3"/>
  <c r="E237" i="3"/>
  <c r="E428" i="3"/>
  <c r="E100" i="3"/>
  <c r="E374" i="3"/>
  <c r="E223" i="3"/>
  <c r="E205" i="3"/>
  <c r="E399"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397" i="3"/>
  <c r="E218" i="3"/>
  <c r="E536" i="3"/>
  <c r="E490" i="3"/>
  <c r="E213" i="3"/>
  <c r="E435" i="3"/>
  <c r="E452" i="3"/>
  <c r="E423" i="3"/>
  <c r="E54" i="3"/>
  <c r="E199" i="3"/>
  <c r="E537" i="3"/>
  <c r="E225" i="3"/>
  <c r="E253" i="3"/>
  <c r="E187" i="3"/>
  <c r="E472" i="3"/>
  <c r="E296" i="3"/>
  <c r="E158" i="3"/>
  <c r="E390" i="3"/>
  <c r="E337" i="3"/>
  <c r="E408" i="3"/>
  <c r="E471" i="3"/>
  <c r="E250" i="3"/>
  <c r="E78" i="3"/>
  <c r="AM6" i="3"/>
  <c r="E194" i="3"/>
  <c r="E265" i="3"/>
  <c r="E443" i="3"/>
  <c r="E2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AY6" i="3"/>
  <c r="E489" i="3"/>
  <c r="D26" i="59"/>
  <c r="T26" i="59"/>
  <c r="E512" i="3"/>
  <c r="E5" i="59"/>
  <c r="U6" i="59"/>
  <c r="W43" i="39"/>
  <c r="AC43" i="39"/>
  <c r="E524" i="3"/>
  <c r="D52" i="59"/>
  <c r="O52" i="59"/>
  <c r="O51" i="59"/>
  <c r="D21" i="59"/>
  <c r="C22" i="59"/>
  <c r="E481" i="3"/>
  <c r="D8" i="59"/>
  <c r="C7" i="59"/>
  <c r="AA43" i="39"/>
  <c r="S43" i="39"/>
  <c r="U16" i="35"/>
  <c r="AB16" i="35"/>
  <c r="W16" i="35"/>
  <c r="AC16" i="35"/>
  <c r="AC34" i="39"/>
  <c r="W34" i="39"/>
  <c r="AB34" i="39"/>
  <c r="I109" i="39"/>
  <c r="J109" i="39" s="1"/>
  <c r="K109" i="39" s="1"/>
  <c r="L109" i="39" s="1"/>
  <c r="M109" i="39" s="1"/>
  <c r="F34" i="39"/>
  <c r="AC17" i="39"/>
  <c r="W17" i="39"/>
  <c r="Q76" i="44"/>
  <c r="C7" i="44"/>
  <c r="C40" i="44" s="1"/>
  <c r="J7" i="44"/>
  <c r="J26" i="44" s="1"/>
  <c r="Q75" i="44"/>
  <c r="Q54" i="44"/>
  <c r="M20" i="6"/>
  <c r="I20" i="6" s="1"/>
  <c r="S20" i="6" s="1"/>
  <c r="S7" i="1"/>
  <c r="H12" i="40"/>
  <c r="AB12" i="40" s="1"/>
  <c r="J12" i="39"/>
  <c r="W12" i="39" s="1"/>
  <c r="H12" i="39"/>
  <c r="U12" i="39" s="1"/>
  <c r="D22" i="12"/>
  <c r="C22" i="12" s="1"/>
  <c r="C20" i="12" s="1"/>
  <c r="D13" i="11"/>
  <c r="C13" i="11" s="1"/>
  <c r="D19" i="12"/>
  <c r="C19" i="12" s="1"/>
  <c r="C16" i="12"/>
  <c r="C7" i="66"/>
  <c r="C8" i="66"/>
  <c r="D5" i="46"/>
  <c r="O28" i="46"/>
  <c r="G20" i="46" s="1"/>
  <c r="E41" i="46" s="1"/>
  <c r="C41" i="46" s="1"/>
  <c r="F12" i="40"/>
  <c r="S12" i="40" s="1"/>
  <c r="F12" i="39"/>
  <c r="S12" i="39" s="1"/>
  <c r="M28" i="46"/>
  <c r="N28" i="46"/>
  <c r="B40" i="1"/>
  <c r="F24" i="15" s="1"/>
  <c r="C24" i="15" s="1"/>
  <c r="F17" i="11"/>
  <c r="C17" i="11" s="1"/>
  <c r="C19" i="11" s="1"/>
  <c r="C20" i="11" s="1"/>
  <c r="C21" i="11" s="1"/>
  <c r="C22" i="11" s="1"/>
  <c r="C23" i="11" s="1"/>
  <c r="B2" i="11" s="1"/>
  <c r="C20" i="46"/>
  <c r="S5" i="46"/>
  <c r="S2" i="46"/>
  <c r="S3" i="46"/>
  <c r="S7" i="46"/>
  <c r="S6" i="46"/>
  <c r="S4" i="46"/>
  <c r="K16" i="1"/>
  <c r="M14" i="1"/>
  <c r="M19" i="6"/>
  <c r="K27" i="6"/>
  <c r="E68" i="39"/>
  <c r="G52" i="37"/>
  <c r="H7" i="34"/>
  <c r="J7" i="34"/>
  <c r="AA12" i="39"/>
  <c r="W12" i="40"/>
  <c r="AC12" i="40"/>
  <c r="R49" i="33"/>
  <c r="E48" i="33"/>
  <c r="G48" i="35"/>
  <c r="G52" i="33"/>
  <c r="H52" i="33" s="1"/>
  <c r="G53" i="33"/>
  <c r="H53" i="33" s="1"/>
  <c r="AB12" i="39"/>
  <c r="F46" i="36"/>
  <c r="G46" i="36" s="1"/>
  <c r="H46" i="36" s="1"/>
  <c r="I46" i="36" s="1"/>
  <c r="J46" i="36" s="1"/>
  <c r="K46" i="36" s="1"/>
  <c r="L46" i="36" s="1"/>
  <c r="M46" i="36" s="1"/>
  <c r="N46" i="36" s="1"/>
  <c r="O46" i="36" s="1"/>
  <c r="F7" i="36"/>
  <c r="F7" i="34"/>
  <c r="C115" i="46"/>
  <c r="D113" i="46" s="1"/>
  <c r="C52" i="15"/>
  <c r="C47" i="15" s="1"/>
  <c r="C10" i="15"/>
  <c r="C5" i="15" s="1"/>
  <c r="J26" i="15"/>
  <c r="J24" i="15"/>
  <c r="J18" i="15"/>
  <c r="F41" i="15"/>
  <c r="L52" i="44"/>
  <c r="C17" i="15"/>
  <c r="AA12" i="40" l="1"/>
  <c r="T18" i="59"/>
  <c r="D18" i="59"/>
  <c r="G67" i="40"/>
  <c r="H65" i="40"/>
  <c r="C49" i="21"/>
  <c r="B3" i="21" s="1"/>
  <c r="B2" i="21" s="1"/>
  <c r="C48" i="21"/>
  <c r="E53" i="21"/>
  <c r="F53" i="21" s="1"/>
  <c r="I53" i="21"/>
  <c r="J53" i="21" s="1"/>
  <c r="E52" i="21"/>
  <c r="F52" i="21" s="1"/>
  <c r="H6" i="3"/>
  <c r="E6" i="3" s="1"/>
  <c r="H72" i="39"/>
  <c r="I70" i="39"/>
  <c r="C34" i="44"/>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6" i="59"/>
  <c r="D7" i="59"/>
  <c r="S16" i="1"/>
  <c r="T11" i="1" s="1"/>
  <c r="F68" i="15"/>
  <c r="J29" i="15"/>
  <c r="AA34" i="39"/>
  <c r="S34" i="39"/>
  <c r="J28" i="44"/>
  <c r="J31" i="44" s="1"/>
  <c r="Q67" i="44" s="1"/>
  <c r="AC12" i="39"/>
  <c r="J20" i="44"/>
  <c r="U12" i="40"/>
  <c r="F21" i="43"/>
  <c r="C23" i="43" s="1"/>
  <c r="D21" i="43" s="1"/>
  <c r="F26" i="12"/>
  <c r="C27" i="12" s="1"/>
  <c r="D26" i="12" s="1"/>
  <c r="C32" i="12" s="1"/>
  <c r="D30" i="12" s="1"/>
  <c r="F26" i="44"/>
  <c r="C26" i="44" s="1"/>
  <c r="I19" i="6"/>
  <c r="M27" i="6"/>
  <c r="T13" i="1"/>
  <c r="M16" i="1"/>
  <c r="T9" i="1"/>
  <c r="O14" i="1"/>
  <c r="O16" i="1" s="1"/>
  <c r="T10"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3" i="11"/>
  <c r="C59" i="15"/>
  <c r="C65" i="15"/>
  <c r="C16" i="44"/>
  <c r="C14" i="15"/>
  <c r="T6" i="1" l="1"/>
  <c r="T7" i="1"/>
  <c r="T16" i="1" s="1"/>
  <c r="T12" i="1"/>
  <c r="I65" i="40"/>
  <c r="H67" i="40"/>
  <c r="B4" i="11"/>
  <c r="I72" i="39"/>
  <c r="J70" i="39"/>
  <c r="T6" i="59"/>
  <c r="D6" i="59"/>
  <c r="M20" i="46" s="1"/>
  <c r="C19" i="46" s="1"/>
  <c r="C5" i="59"/>
  <c r="D5" i="59" s="1"/>
  <c r="C40" i="39"/>
  <c r="E63" i="40"/>
  <c r="D19" i="6"/>
  <c r="D25" i="6"/>
  <c r="D13" i="6"/>
  <c r="H24" i="6"/>
  <c r="D23" i="6"/>
  <c r="D28" i="6"/>
  <c r="D8" i="6"/>
  <c r="E45" i="9"/>
  <c r="D24" i="6"/>
  <c r="D22" i="6"/>
  <c r="D12" i="6"/>
  <c r="H25" i="6"/>
  <c r="D5" i="6"/>
  <c r="H22" i="6"/>
  <c r="H26" i="6"/>
  <c r="E46" i="9"/>
  <c r="C22" i="4"/>
  <c r="D21" i="6"/>
  <c r="D10" i="6"/>
  <c r="H21" i="6"/>
  <c r="D6" i="6"/>
  <c r="D14" i="6"/>
  <c r="D20" i="6"/>
  <c r="H23" i="6"/>
  <c r="F45" i="9"/>
  <c r="K38" i="9"/>
  <c r="C14" i="66" s="1"/>
  <c r="B2" i="66" s="1"/>
  <c r="D26" i="6"/>
  <c r="R26" i="6" s="1"/>
  <c r="D11" i="6"/>
  <c r="H20" i="6"/>
  <c r="D9" i="6"/>
  <c r="D29" i="6"/>
  <c r="D15" i="6"/>
  <c r="F46" i="9"/>
  <c r="Q49" i="44"/>
  <c r="Q55" i="44" s="1"/>
  <c r="Q58" i="44"/>
  <c r="P14" i="1"/>
  <c r="P16" i="1" s="1"/>
  <c r="C13" i="12" s="1"/>
  <c r="C14" i="12"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I67" i="40" l="1"/>
  <c r="J65" i="40"/>
  <c r="J72" i="39"/>
  <c r="K70" i="39"/>
  <c r="R24" i="6"/>
  <c r="R23" i="6"/>
  <c r="R20" i="6"/>
  <c r="R7" i="1" s="1"/>
  <c r="A6" i="64"/>
  <c r="A20" i="51"/>
  <c r="B15" i="63" s="1"/>
  <c r="A6" i="51"/>
  <c r="B7" i="63" s="1"/>
  <c r="A20" i="64"/>
  <c r="N5" i="54"/>
  <c r="B43" i="63" s="1"/>
  <c r="D16" i="6"/>
  <c r="D27" i="6"/>
  <c r="J40" i="39"/>
  <c r="H40" i="39"/>
  <c r="F40" i="39"/>
  <c r="C37" i="46"/>
  <c r="T4" i="46"/>
  <c r="V4" i="46" s="1"/>
  <c r="T2" i="46"/>
  <c r="V2" i="46" s="1"/>
  <c r="C36" i="46"/>
  <c r="C34" i="46"/>
  <c r="T6" i="46"/>
  <c r="V6" i="46" s="1"/>
  <c r="T5" i="46"/>
  <c r="V5" i="46" s="1"/>
  <c r="C38" i="46"/>
  <c r="T9" i="46"/>
  <c r="V9" i="46" s="1"/>
  <c r="T15" i="46"/>
  <c r="V15" i="46" s="1"/>
  <c r="C29" i="46"/>
  <c r="T8" i="46"/>
  <c r="V8" i="46" s="1"/>
  <c r="T11" i="46"/>
  <c r="V11" i="46" s="1"/>
  <c r="T7" i="46"/>
  <c r="V7" i="46" s="1"/>
  <c r="C33" i="46"/>
  <c r="C39" i="46"/>
  <c r="T3" i="46"/>
  <c r="V3" i="46" s="1"/>
  <c r="C35" i="46"/>
  <c r="T16" i="46"/>
  <c r="V16" i="46" s="1"/>
  <c r="T14" i="46"/>
  <c r="V14" i="46" s="1"/>
  <c r="T12" i="46"/>
  <c r="V12" i="46" s="1"/>
  <c r="T13" i="46"/>
  <c r="V13" i="46" s="1"/>
  <c r="T10" i="46"/>
  <c r="V10" i="46" s="1"/>
  <c r="D8" i="66"/>
  <c r="D7" i="66"/>
  <c r="R21" i="6"/>
  <c r="R8" i="1" s="1"/>
  <c r="R22" i="6"/>
  <c r="D30" i="6"/>
  <c r="R25" i="6"/>
  <c r="Q64" i="44"/>
  <c r="C17" i="12"/>
  <c r="C18" i="12" s="1"/>
  <c r="C23" i="12" s="1"/>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35" i="15"/>
  <c r="M21" i="15"/>
  <c r="K65" i="40" l="1"/>
  <c r="J67" i="40"/>
  <c r="L70" i="39"/>
  <c r="K72" i="39"/>
  <c r="J20" i="15"/>
  <c r="C34" i="15"/>
  <c r="F62" i="15"/>
  <c r="C61" i="15" s="1"/>
  <c r="G33" i="46"/>
  <c r="I33" i="46" s="1"/>
  <c r="E33" i="46"/>
  <c r="E29" i="46"/>
  <c r="C30" i="46"/>
  <c r="E30" i="46" s="1"/>
  <c r="E34" i="46"/>
  <c r="G34" i="46"/>
  <c r="I34" i="46" s="1"/>
  <c r="G37" i="46"/>
  <c r="I37" i="46" s="1"/>
  <c r="E37" i="46"/>
  <c r="AB40" i="39"/>
  <c r="U40" i="39"/>
  <c r="D31" i="6"/>
  <c r="E35" i="46"/>
  <c r="G35" i="46"/>
  <c r="I35" i="46" s="1"/>
  <c r="G39" i="46"/>
  <c r="I39" i="46" s="1"/>
  <c r="E39" i="46"/>
  <c r="E38" i="46"/>
  <c r="G38" i="46"/>
  <c r="I38" i="46" s="1"/>
  <c r="G36" i="46"/>
  <c r="I36" i="46" s="1"/>
  <c r="E36" i="46"/>
  <c r="AA40" i="39"/>
  <c r="S40" i="39"/>
  <c r="AC40" i="39"/>
  <c r="W40" i="39"/>
  <c r="R27" i="6"/>
  <c r="R6" i="1"/>
  <c r="R16" i="1" s="1"/>
  <c r="C18" i="43"/>
  <c r="C19" i="43" s="1"/>
  <c r="C25" i="43" s="1"/>
  <c r="C24" i="43" s="1"/>
  <c r="C28" i="44"/>
  <c r="C31" i="44" s="1"/>
  <c r="C23" i="15"/>
  <c r="C29" i="15" s="1"/>
  <c r="C36" i="15" s="1"/>
  <c r="K48" i="35"/>
  <c r="L48" i="35" s="1"/>
  <c r="M48" i="35" s="1"/>
  <c r="N48" i="35" s="1"/>
  <c r="O48" i="35" s="1"/>
  <c r="K52" i="37"/>
  <c r="F7" i="67"/>
  <c r="C27" i="46" l="1"/>
  <c r="K67" i="40"/>
  <c r="L65" i="40"/>
  <c r="L72" i="39"/>
  <c r="M70" i="39"/>
  <c r="E4" i="67"/>
  <c r="I6" i="6"/>
  <c r="I5" i="6"/>
  <c r="C26" i="46"/>
  <c r="J7" i="35"/>
  <c r="AC7" i="35" s="1"/>
  <c r="V38" i="35" s="1"/>
  <c r="I38" i="35"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L52" i="37"/>
  <c r="F7" i="35"/>
  <c r="H7" i="35"/>
  <c r="E7" i="67"/>
  <c r="M65" i="40" l="1"/>
  <c r="L67" i="40"/>
  <c r="M72" i="39"/>
  <c r="N70" i="39"/>
  <c r="N72" i="39" s="1"/>
  <c r="H9" i="39"/>
  <c r="E3" i="67"/>
  <c r="B2" i="46"/>
  <c r="W7" i="35"/>
  <c r="J22" i="15"/>
  <c r="J16" i="15" s="1"/>
  <c r="J25" i="15" s="1"/>
  <c r="C55" i="15"/>
  <c r="C64" i="15" s="1"/>
  <c r="C63" i="15"/>
  <c r="C37" i="15"/>
  <c r="C30" i="15" s="1"/>
  <c r="C39" i="15" s="1"/>
  <c r="C40" i="15" s="1"/>
  <c r="E10" i="12" s="1"/>
  <c r="Q71" i="15"/>
  <c r="B4" i="43"/>
  <c r="B5" i="43"/>
  <c r="B3" i="43"/>
  <c r="Q72" i="44"/>
  <c r="C39" i="44"/>
  <c r="C32" i="44" s="1"/>
  <c r="C42" i="44" s="1"/>
  <c r="C43" i="44"/>
  <c r="J24" i="44"/>
  <c r="J15" i="44"/>
  <c r="J25" i="44" s="1"/>
  <c r="AB7" i="35"/>
  <c r="T38" i="35" s="1"/>
  <c r="G38" i="35" s="1"/>
  <c r="U7" i="35"/>
  <c r="AA7" i="35"/>
  <c r="R38" i="35" s="1"/>
  <c r="S7" i="35"/>
  <c r="M52" i="37"/>
  <c r="I42" i="35"/>
  <c r="J42" i="35" s="1"/>
  <c r="B7" i="67"/>
  <c r="L51" i="15"/>
  <c r="N65" i="40" l="1"/>
  <c r="N67" i="40" s="1"/>
  <c r="M67" i="40"/>
  <c r="AB9" i="39"/>
  <c r="T49" i="39" s="1"/>
  <c r="G49" i="39" s="1"/>
  <c r="U9" i="39"/>
  <c r="F9" i="39"/>
  <c r="J9" i="39"/>
  <c r="B2" i="67"/>
  <c r="D4" i="46"/>
  <c r="B3" i="46"/>
  <c r="B4" i="46"/>
  <c r="C57" i="15"/>
  <c r="C66" i="15" s="1"/>
  <c r="C67" i="15" s="1"/>
  <c r="C70" i="15" s="1"/>
  <c r="J39" i="15"/>
  <c r="J40" i="15" s="1"/>
  <c r="Q70" i="15"/>
  <c r="Q69" i="15" s="1"/>
  <c r="L57" i="15"/>
  <c r="L60" i="15" s="1"/>
  <c r="Q58" i="15" s="1"/>
  <c r="Q68" i="15"/>
  <c r="Q71" i="44"/>
  <c r="Q70" i="44" s="1"/>
  <c r="C44" i="44"/>
  <c r="C45" i="44" s="1"/>
  <c r="B2" i="44" s="1"/>
  <c r="C43" i="15"/>
  <c r="E8" i="12" s="1"/>
  <c r="Q48" i="15"/>
  <c r="Q54" i="15" s="1"/>
  <c r="Q57" i="15"/>
  <c r="Q66" i="15"/>
  <c r="J42" i="15"/>
  <c r="J43" i="15" s="1"/>
  <c r="J18" i="44"/>
  <c r="J27" i="44" s="1"/>
  <c r="N52" i="37"/>
  <c r="O52" i="37" s="1"/>
  <c r="R39" i="35"/>
  <c r="E38" i="35"/>
  <c r="G42" i="35"/>
  <c r="H42" i="35" s="1"/>
  <c r="G43" i="35"/>
  <c r="H43" i="35" s="1"/>
  <c r="J9" i="40" l="1"/>
  <c r="F9" i="40"/>
  <c r="H9" i="40"/>
  <c r="AA9" i="39"/>
  <c r="R49" i="39" s="1"/>
  <c r="S9" i="39"/>
  <c r="G53" i="39"/>
  <c r="H53" i="39" s="1"/>
  <c r="W9" i="39"/>
  <c r="AC9" i="39"/>
  <c r="V49" i="39" s="1"/>
  <c r="I49" i="39" s="1"/>
  <c r="G54" i="39" s="1"/>
  <c r="H54" i="39" s="1"/>
  <c r="B4" i="67"/>
  <c r="B3" i="67"/>
  <c r="F7" i="37"/>
  <c r="AA7" i="37" s="1"/>
  <c r="R42" i="37" s="1"/>
  <c r="C46" i="15"/>
  <c r="Q63" i="15"/>
  <c r="Q67" i="15"/>
  <c r="Q76" i="15" s="1"/>
  <c r="L46" i="15"/>
  <c r="B2" i="15" s="1"/>
  <c r="B3" i="15" s="1"/>
  <c r="B3" i="44"/>
  <c r="B5" i="44"/>
  <c r="B4" i="44"/>
  <c r="E43" i="35"/>
  <c r="F43" i="35" s="1"/>
  <c r="E42" i="35"/>
  <c r="F42" i="35" s="1"/>
  <c r="I43" i="35"/>
  <c r="J43" i="35" s="1"/>
  <c r="C39" i="35"/>
  <c r="C38" i="35"/>
  <c r="H7" i="37"/>
  <c r="J7" i="37"/>
  <c r="S9" i="40" l="1"/>
  <c r="AA9" i="40"/>
  <c r="R44" i="40" s="1"/>
  <c r="S7" i="37"/>
  <c r="AB9" i="40"/>
  <c r="T44" i="40" s="1"/>
  <c r="G44" i="40" s="1"/>
  <c r="U9" i="40"/>
  <c r="W9" i="40"/>
  <c r="AC9" i="40"/>
  <c r="V44" i="40" s="1"/>
  <c r="I44" i="40" s="1"/>
  <c r="I48" i="40" s="1"/>
  <c r="J48" i="40" s="1"/>
  <c r="E49" i="39"/>
  <c r="R50" i="39"/>
  <c r="I53" i="39"/>
  <c r="J53" i="39" s="1"/>
  <c r="D8" i="12"/>
  <c r="W7" i="37"/>
  <c r="AC7" i="37"/>
  <c r="V42" i="37" s="1"/>
  <c r="I42" i="37" s="1"/>
  <c r="AB7" i="37"/>
  <c r="T42" i="37" s="1"/>
  <c r="G42" i="37" s="1"/>
  <c r="U7" i="37"/>
  <c r="E42" i="37"/>
  <c r="R43" i="37"/>
  <c r="G48" i="40" l="1"/>
  <c r="H48" i="40" s="1"/>
  <c r="G49" i="40"/>
  <c r="H49" i="40" s="1"/>
  <c r="E44" i="40"/>
  <c r="R45" i="40"/>
  <c r="E53" i="39"/>
  <c r="F53" i="39" s="1"/>
  <c r="E54" i="39"/>
  <c r="F54" i="39" s="1"/>
  <c r="I54" i="39"/>
  <c r="J54" i="39" s="1"/>
  <c r="C50" i="39"/>
  <c r="C49" i="39"/>
  <c r="C43" i="37"/>
  <c r="B3" i="37" s="1"/>
  <c r="B2" i="37" s="1"/>
  <c r="C42" i="37"/>
  <c r="I46" i="37"/>
  <c r="J46" i="37" s="1"/>
  <c r="I47" i="37"/>
  <c r="J47" i="37" s="1"/>
  <c r="E47" i="37"/>
  <c r="F47" i="37" s="1"/>
  <c r="E46" i="37"/>
  <c r="F46" i="37" s="1"/>
  <c r="G46" i="37"/>
  <c r="H46" i="37" s="1"/>
  <c r="G47" i="37"/>
  <c r="H47" i="37" s="1"/>
  <c r="C44" i="40" l="1"/>
  <c r="C45" i="40"/>
  <c r="I49" i="40"/>
  <c r="J49" i="40" s="1"/>
  <c r="E48" i="40"/>
  <c r="F48" i="40" s="1"/>
  <c r="E49" i="40"/>
  <c r="F49" i="40" s="1"/>
  <c r="B62" i="39"/>
  <c r="F62" i="39" s="1"/>
  <c r="B64" i="39"/>
  <c r="F64" i="39" s="1"/>
  <c r="B65" i="39"/>
  <c r="F65" i="39" s="1"/>
  <c r="B60" i="39"/>
  <c r="F60" i="39" s="1"/>
  <c r="B63" i="39"/>
  <c r="F63" i="39" s="1"/>
  <c r="B61" i="39"/>
  <c r="F61" i="39" s="1"/>
  <c r="B59" i="39"/>
  <c r="F59" i="39" s="1"/>
  <c r="B67" i="39"/>
  <c r="F67" i="39" s="1"/>
  <c r="B66" i="39"/>
  <c r="F66" i="39" s="1"/>
  <c r="B58" i="39"/>
  <c r="F58" i="39" s="1"/>
  <c r="B53" i="40" l="1"/>
  <c r="F53" i="40" s="1"/>
  <c r="B57" i="40"/>
  <c r="F57" i="40" s="1"/>
  <c r="F63" i="40"/>
  <c r="B2" i="40" s="1"/>
  <c r="B61" i="40"/>
  <c r="F61" i="40" s="1"/>
  <c r="B58" i="40"/>
  <c r="F58" i="40" s="1"/>
  <c r="B59" i="40"/>
  <c r="F59" i="40" s="1"/>
  <c r="B54" i="40"/>
  <c r="F54" i="40" s="1"/>
  <c r="B55" i="40"/>
  <c r="F55" i="40" s="1"/>
  <c r="B62" i="40"/>
  <c r="F62" i="40" s="1"/>
  <c r="B56" i="40"/>
  <c r="F56" i="40" s="1"/>
  <c r="B60" i="40"/>
  <c r="F60" i="40" s="1"/>
  <c r="F68" i="39"/>
  <c r="B2" i="39" s="1"/>
  <c r="D19" i="9"/>
  <c r="B5" i="40" l="1"/>
  <c r="B3" i="40"/>
  <c r="B4" i="40"/>
  <c r="L44" i="9"/>
  <c r="B3" i="39"/>
  <c r="B4" i="39"/>
  <c r="B5" i="39"/>
  <c r="D21" i="9"/>
  <c r="D20" i="9"/>
  <c r="B2" i="35" l="1"/>
  <c r="B3" i="35" l="1"/>
  <c r="D10" i="12"/>
  <c r="C6" i="12" s="1"/>
  <c r="C29" i="12" l="1"/>
  <c r="C24" i="12"/>
  <c r="C28" i="12" l="1"/>
  <c r="C26" i="12" s="1"/>
  <c r="C31" i="12" s="1"/>
  <c r="C30" i="12" s="1"/>
  <c r="C35" i="12"/>
  <c r="C33" i="12" s="1"/>
  <c r="C36" i="12" l="1"/>
  <c r="B2" i="12" s="1"/>
  <c r="C19" i="9"/>
  <c r="D22" i="9" l="1"/>
  <c r="L43" i="9"/>
  <c r="G19" i="9"/>
  <c r="B5" i="12"/>
  <c r="B3" i="12"/>
  <c r="B4" i="12"/>
  <c r="C21" i="9"/>
  <c r="C20" i="9"/>
  <c r="G21" i="9" l="1"/>
  <c r="G20" i="9"/>
  <c r="G22" i="9"/>
  <c r="N43" i="9"/>
  <c r="C32" i="9"/>
  <c r="C42" i="9" l="1"/>
  <c r="O38" i="9"/>
  <c r="C35" i="9"/>
  <c r="F42" i="9" s="1"/>
  <c r="C33" i="9"/>
  <c r="C34" i="9"/>
  <c r="O43" i="9"/>
  <c r="M38" i="9" l="1"/>
  <c r="K27" i="9" s="1"/>
  <c r="E42" i="9"/>
  <c r="P5" i="54" s="1"/>
  <c r="B46" i="63" s="1"/>
  <c r="D42" i="9"/>
  <c r="Q5" i="54" s="1"/>
  <c r="B47" i="63" s="1"/>
  <c r="N38" i="9"/>
  <c r="K28" i="9" s="1"/>
  <c r="K25" i="9"/>
  <c r="K26" i="9"/>
  <c r="N68" i="9"/>
  <c r="C44" i="9"/>
  <c r="D14" i="66"/>
  <c r="D63" i="9"/>
  <c r="R5" i="54"/>
  <c r="B48" i="63" s="1"/>
  <c r="D71" i="9" l="1"/>
  <c r="D66" i="9" s="1"/>
  <c r="N72" i="9" s="1"/>
  <c r="C111" i="9"/>
  <c r="C104" i="9" s="1"/>
  <c r="C90" i="9"/>
  <c r="C96" i="9"/>
  <c r="C91" i="9" s="1"/>
  <c r="D77" i="9"/>
  <c r="N75" i="9" s="1"/>
  <c r="D70" i="9"/>
  <c r="C82" i="9"/>
  <c r="C81" i="9" s="1"/>
  <c r="C85" i="9" s="1"/>
  <c r="C86" i="9" s="1"/>
  <c r="D72" i="9" s="1"/>
  <c r="C103" i="9"/>
  <c r="C113" i="9" s="1"/>
  <c r="G14" i="66"/>
  <c r="B6" i="66" s="1"/>
  <c r="D44" i="9"/>
  <c r="F44" i="9"/>
  <c r="O39" i="9"/>
  <c r="E44" i="9"/>
  <c r="N69" i="9"/>
  <c r="B5" i="66"/>
  <c r="F14" i="66"/>
  <c r="E14" i="66"/>
  <c r="C97" i="9" l="1"/>
  <c r="M83" i="9"/>
  <c r="N83" i="9" s="1"/>
  <c r="M86" i="9"/>
  <c r="N86" i="9" s="1"/>
  <c r="M84" i="9"/>
  <c r="N84" i="9" s="1"/>
  <c r="M88" i="9"/>
  <c r="N88" i="9" s="1"/>
  <c r="M85" i="9"/>
  <c r="N85" i="9" s="1"/>
  <c r="M87" i="9"/>
  <c r="N87" i="9" s="1"/>
  <c r="K29" i="9"/>
  <c r="K30" i="9" s="1"/>
  <c r="R6" i="54"/>
  <c r="B50" i="63" s="1"/>
  <c r="C114" i="9"/>
  <c r="E114" i="9" s="1"/>
  <c r="E115" i="9" s="1"/>
  <c r="C5" i="66"/>
  <c r="D5" i="66"/>
  <c r="D6" i="66"/>
  <c r="C6" i="66"/>
  <c r="C98" i="9"/>
  <c r="E98" i="9" s="1"/>
  <c r="E99" i="9" s="1"/>
  <c r="C99" i="9" l="1"/>
  <c r="C115" i="9"/>
  <c r="D76" i="9" s="1"/>
  <c r="D74" i="9" s="1"/>
  <c r="N74" i="9" s="1"/>
  <c r="O77" i="9" s="1"/>
  <c r="N89" i="9"/>
  <c r="O89"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<sst xmlns="http://schemas.openxmlformats.org/spreadsheetml/2006/main" count="7273" uniqueCount="3221">
  <si>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</si>
  <si>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</si>
  <si>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</si>
  <si>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</si>
  <si>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</si>
  <si>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</si>
  <si>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</si>
  <si>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</si>
  <si>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</si>
  <si>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</si>
  <si>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</si>
  <si>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</si>
  <si>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</si>
  <si>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</si>
  <si>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</si>
  <si>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</si>
  <si>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</si>
  <si>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</si>
  <si>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</si>
  <si>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</si>
  <si>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</si>
  <si>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</si>
  <si>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</si>
  <si>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</si>
  <si>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</si>
  <si>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</si>
  <si>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</si>
  <si>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</si>
  <si>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</si>
  <si>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</si>
  <si>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</si>
  <si>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</si>
  <si>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</si>
  <si>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</si>
  <si>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</si>
  <si>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</si>
  <si>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</si>
  <si>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</si>
  <si>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</si>
  <si>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</si>
  <si>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</si>
  <si>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</si>
  <si>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</si>
  <si>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</si>
  <si>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</si>
  <si>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</si>
  <si>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</si>
  <si>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</si>
  <si>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</si>
  <si>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</si>
  <si>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</si>
  <si>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</si>
  <si>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</si>
  <si>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</si>
  <si>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</si>
  <si>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</si>
  <si>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</si>
  <si>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</si>
  <si>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</si>
  <si>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</si>
  <si>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</si>
  <si>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</si>
  <si>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</si>
  <si>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</si>
  <si>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</si>
  <si>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</si>
  <si>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</si>
  <si>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</si>
  <si>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</si>
  <si>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</si>
  <si>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</si>
  <si>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</si>
  <si>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</si>
  <si>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</si>
  <si>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</si>
  <si>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</si>
  <si>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</si>
  <si>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</si>
  <si>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</si>
  <si>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</si>
  <si>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</si>
  <si>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</si>
  <si>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</si>
  <si>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</si>
  <si>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</si>
  <si>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</si>
  <si>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</si>
  <si>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</si>
  <si>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</si>
  <si>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</si>
  <si>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</si>
  <si>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</si>
  <si>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</si>
  <si>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</si>
  <si>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</si>
  <si>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</si>
  <si>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</si>
  <si>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</si>
  <si>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</si>
  <si>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</si>
  <si>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</si>
  <si>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</si>
  <si>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</si>
  <si>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</si>
  <si>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</si>
  <si>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</si>
  <si>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</si>
  <si>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</si>
  <si>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</si>
  <si>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</si>
  <si>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</si>
  <si>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</si>
  <si>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</si>
  <si>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</si>
  <si>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</si>
  <si>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</si>
  <si>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</si>
  <si>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</si>
  <si>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</si>
  <si>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</si>
  <si>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</si>
  <si>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</si>
  <si>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</si>
  <si>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</si>
  <si>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</si>
  <si>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</si>
  <si>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</si>
  <si>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</si>
  <si>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</si>
  <si>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</si>
  <si>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</si>
  <si>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</si>
  <si>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</si>
  <si>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</si>
  <si>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</si>
  <si>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</si>
  <si>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</si>
  <si>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</si>
  <si>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</si>
  <si>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</si>
  <si>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</si>
  <si>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</si>
  <si>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</si>
  <si>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</si>
  <si>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</si>
  <si>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</si>
  <si>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</si>
  <si>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</si>
  <si>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</si>
  <si>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</si>
  <si>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</si>
  <si>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</si>
  <si>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</si>
  <si>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</si>
  <si>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</si>
  <si>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</si>
  <si>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</si>
  <si>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</si>
  <si>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</si>
  <si>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</si>
  <si>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</si>
  <si>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</si>
  <si>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</si>
  <si>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</si>
  <si>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</si>
  <si>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</si>
  <si>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</si>
  <si>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</si>
  <si>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</si>
  <si>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</si>
  <si>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</si>
  <si>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</si>
  <si>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</si>
  <si>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</si>
  <si>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</si>
  <si>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</si>
  <si>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</si>
  <si>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</si>
  <si>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</si>
  <si>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</si>
  <si>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</si>
  <si>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</si>
  <si>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</si>
  <si>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</si>
  <si>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</si>
  <si>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</si>
  <si>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</si>
  <si>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</si>
  <si>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</si>
  <si>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</si>
  <si>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</si>
  <si>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</si>
  <si>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</si>
  <si>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</si>
  <si>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</si>
  <si>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</si>
  <si>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</si>
  <si>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</si>
  <si>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</si>
  <si>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</si>
  <si>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</si>
  <si>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</si>
  <si>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</si>
  <si>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</si>
  <si>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</si>
  <si>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</si>
  <si>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</si>
  <si>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</si>
  <si>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</si>
  <si>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</si>
  <si>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</si>
  <si>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</si>
  <si>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</si>
  <si>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</si>
  <si>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</si>
  <si>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</si>
  <si>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</si>
  <si>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</si>
  <si>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</si>
  <si>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</si>
  <si>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</si>
  <si>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</si>
  <si>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</si>
  <si>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</si>
  <si>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</si>
  <si>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</si>
  <si>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</si>
  <si>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</si>
  <si>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</si>
  <si>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</si>
  <si>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</si>
  <si>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</si>
  <si>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</si>
  <si>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</si>
  <si>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</si>
  <si>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</si>
  <si>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</si>
  <si>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</si>
  <si>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</si>
  <si>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</si>
  <si>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</si>
  <si>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</si>
  <si>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</si>
  <si>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</si>
  <si>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</si>
  <si>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</si>
  <si>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</si>
  <si>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</si>
  <si>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</si>
  <si>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</si>
  <si>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</si>
  <si>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</si>
  <si>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</si>
  <si>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</si>
  <si>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</si>
  <si>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</si>
  <si>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</si>
  <si>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</si>
  <si>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</si>
  <si>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</si>
  <si>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</si>
  <si>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</si>
  <si>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</si>
  <si>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</si>
  <si>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</si>
  <si>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</si>
  <si>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</si>
  <si>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</si>
  <si>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</si>
  <si>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</si>
  <si>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</si>
  <si>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</si>
  <si>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</si>
  <si>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</si>
  <si>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</si>
  <si>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</si>
  <si>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</si>
  <si>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</si>
  <si>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</si>
  <si>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</si>
  <si>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</si>
  <si>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</si>
  <si>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</si>
  <si>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</si>
  <si>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</si>
  <si>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</si>
  <si>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</si>
  <si>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</si>
  <si>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</si>
  <si>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</si>
  <si>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</si>
  <si>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</si>
  <si>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</si>
  <si>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</si>
  <si>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</si>
  <si>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</si>
  <si>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</si>
  <si>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</si>
  <si>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</si>
  <si>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</si>
  <si>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</si>
  <si>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</si>
  <si>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</si>
  <si>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</si>
  <si>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</si>
  <si>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</si>
  <si>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</si>
  <si>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</si>
  <si>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</si>
  <si>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</si>
  <si>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</si>
  <si>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</si>
  <si>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</si>
  <si>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</si>
  <si>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</si>
  <si>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</si>
  <si>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</si>
  <si>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</si>
  <si>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</si>
  <si>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</si>
  <si>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</si>
  <si>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</si>
  <si>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</si>
  <si>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</si>
  <si>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</si>
  <si>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</si>
  <si>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</si>
  <si>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</si>
  <si>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</si>
  <si>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</si>
  <si>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</si>
  <si>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</si>
  <si>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</si>
  <si>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</si>
  <si>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</si>
  <si>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</si>
  <si>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</si>
  <si>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</si>
  <si>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</si>
  <si>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</si>
  <si>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</si>
  <si>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</si>
  <si>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</si>
  <si>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</si>
  <si>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</si>
  <si>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</si>
  <si>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</si>
  <si>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</si>
  <si>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</si>
  <si>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</si>
  <si>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</si>
  <si>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</si>
  <si>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</si>
  <si>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</si>
  <si>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</si>
  <si>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</si>
  <si>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</si>
  <si>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</si>
  <si>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</si>
  <si>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</si>
  <si>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</si>
  <si>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</si>
  <si>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</si>
  <si>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</si>
  <si>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</si>
  <si>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</si>
  <si>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</si>
  <si>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</si>
  <si>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</si>
  <si>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</si>
  <si>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</si>
  <si>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</si>
  <si>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</si>
  <si>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</si>
  <si>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</si>
  <si>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</si>
  <si>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</si>
  <si>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</si>
  <si>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</si>
  <si>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</si>
  <si>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</si>
  <si>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</si>
  <si>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</si>
  <si>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</si>
  <si>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</si>
  <si>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</si>
  <si>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</si>
  <si>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</si>
  <si>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</si>
  <si>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</si>
  <si>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</si>
  <si>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</si>
  <si>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</si>
  <si>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</si>
  <si>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</si>
  <si>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</si>
  <si>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</si>
  <si>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</si>
  <si>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</si>
  <si>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</si>
  <si>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</si>
  <si>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</si>
  <si>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</si>
  <si>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</si>
  <si>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</si>
  <si>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</si>
  <si>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</si>
  <si>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</si>
  <si>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</si>
  <si>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</si>
  <si>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</si>
  <si>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</si>
  <si>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</si>
  <si>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</si>
  <si>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</si>
  <si>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</si>
  <si>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</si>
  <si>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</si>
  <si>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</si>
  <si>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</si>
  <si>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</si>
  <si>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</si>
  <si>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</si>
  <si>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</si>
  <si>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</si>
  <si>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</si>
  <si>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</si>
  <si>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</si>
  <si>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</si>
  <si>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</si>
  <si>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</si>
  <si>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</si>
  <si>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</si>
  <si>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</si>
  <si>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</si>
  <si>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</si>
  <si>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</si>
  <si>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</si>
  <si>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</si>
  <si>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</si>
  <si>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</si>
  <si>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</si>
  <si>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</si>
  <si>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</si>
  <si>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</si>
  <si>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</si>
  <si>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</si>
  <si>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</si>
  <si>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</si>
  <si>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</si>
  <si>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</si>
  <si>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</si>
  <si>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</si>
  <si>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</si>
  <si>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</si>
  <si>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</si>
  <si>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</si>
  <si>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</si>
  <si>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</si>
  <si>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</si>
  <si>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</si>
  <si>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</si>
  <si>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</si>
  <si>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</si>
  <si>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</si>
  <si>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</si>
  <si>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</si>
  <si>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</si>
  <si>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</si>
  <si>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</si>
  <si>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</si>
  <si>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</si>
  <si>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</si>
  <si>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</si>
  <si>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</si>
  <si>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</si>
  <si>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</si>
  <si>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</si>
  <si>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</si>
  <si>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</si>
  <si>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</si>
  <si>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</si>
  <si>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</si>
  <si>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</si>
  <si>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</si>
  <si>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</si>
  <si>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</si>
  <si>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</si>
  <si>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</si>
  <si>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</si>
  <si>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</si>
  <si>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</si>
  <si>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</si>
  <si>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</si>
  <si>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</si>
  <si>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</si>
  <si>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</si>
  <si>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</si>
  <si>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</si>
  <si>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</si>
  <si>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</si>
  <si>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</si>
  <si>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</si>
  <si>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</si>
  <si>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</si>
  <si>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</si>
  <si>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</si>
  <si>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</si>
  <si>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</si>
  <si>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</si>
  <si>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</si>
  <si>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</si>
  <si>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</si>
  <si>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</si>
  <si>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</si>
  <si>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</si>
  <si>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</si>
  <si>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</si>
  <si>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</si>
  <si>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</si>
  <si>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</si>
  <si>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</si>
  <si>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</si>
  <si>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</si>
  <si>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</si>
  <si>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</si>
  <si>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</si>
  <si>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</si>
  <si>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</si>
  <si>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</si>
  <si>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</si>
  <si>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</si>
  <si>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</si>
  <si>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</si>
  <si>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</si>
  <si>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</si>
  <si>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</si>
  <si>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</si>
  <si>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</si>
  <si>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</si>
  <si>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</si>
  <si>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</si>
  <si>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</si>
  <si>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</si>
  <si>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</si>
  <si>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</si>
  <si>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</si>
  <si>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</si>
  <si>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</si>
  <si>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</si>
  <si>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</si>
  <si>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</si>
  <si>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</si>
  <si>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</si>
  <si>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</si>
  <si>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</si>
  <si>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</si>
  <si>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</si>
  <si>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</si>
  <si>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</si>
  <si>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</si>
  <si>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</si>
  <si>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</si>
  <si>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</si>
  <si>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</si>
  <si>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</si>
  <si>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</si>
  <si>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</si>
  <si>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</si>
  <si>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</si>
  <si>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</si>
  <si>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</si>
  <si>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</si>
  <si>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</si>
  <si>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</si>
  <si>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</si>
  <si>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</si>
  <si>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</si>
  <si>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</si>
  <si>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</si>
  <si>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</si>
  <si>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</si>
  <si>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</si>
  <si>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</si>
  <si>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</si>
  <si>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</si>
  <si>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</si>
  <si>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</si>
  <si>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</si>
  <si>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</si>
  <si>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</si>
  <si>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</si>
  <si>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</si>
  <si>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</si>
  <si>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</si>
  <si>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</si>
  <si>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</si>
  <si>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</si>
  <si>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</si>
  <si>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</si>
  <si>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</si>
  <si>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</si>
  <si>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</si>
  <si>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</si>
  <si>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</si>
  <si>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</si>
  <si>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</si>
  <si>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</si>
  <si>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</si>
  <si>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</si>
  <si>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</si>
  <si>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</si>
  <si>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</si>
  <si>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</si>
  <si>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</si>
  <si>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</si>
  <si>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</si>
  <si>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</si>
  <si>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</si>
  <si>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</si>
  <si>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</si>
  <si>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</si>
  <si>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</si>
  <si>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</si>
  <si>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</si>
  <si>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</si>
  <si>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</si>
  <si>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</si>
  <si>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</si>
  <si>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</si>
  <si>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</si>
  <si>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</si>
  <si>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</si>
  <si>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</si>
  <si>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</si>
  <si>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</si>
  <si>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</si>
  <si>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</si>
  <si>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</si>
  <si>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</si>
  <si>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</si>
  <si>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</si>
  <si>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</si>
  <si>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</si>
  <si>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</si>
  <si>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</si>
  <si>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</si>
  <si>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</si>
  <si>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</si>
  <si>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</si>
  <si>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</si>
  <si>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</si>
  <si>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</si>
  <si>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</si>
  <si>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</si>
  <si>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</si>
  <si>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</si>
  <si>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</si>
  <si>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</si>
  <si>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</si>
  <si>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</si>
  <si>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</si>
  <si>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</si>
  <si>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</si>
  <si>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</si>
  <si>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</si>
  <si>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</si>
  <si>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</si>
  <si>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</si>
  <si>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</si>
  <si>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</si>
  <si>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</si>
  <si>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</si>
  <si>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</si>
  <si>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</si>
  <si>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</si>
  <si>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</si>
  <si>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</si>
  <si>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</si>
  <si>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</si>
  <si>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</si>
  <si>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</si>
  <si>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</si>
  <si>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</si>
  <si>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</si>
  <si>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</si>
  <si>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</si>
  <si>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</si>
  <si>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</si>
  <si>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</si>
  <si>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</si>
  <si>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</si>
  <si>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</si>
  <si>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</si>
  <si>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</si>
  <si>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</si>
  <si>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</si>
  <si>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</si>
  <si>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</si>
  <si>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</si>
  <si>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</si>
  <si>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</si>
  <si>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</si>
  <si>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</si>
  <si>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</si>
  <si>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</si>
  <si>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</si>
  <si>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</si>
  <si>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</si>
  <si>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</si>
  <si>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</si>
  <si>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</si>
  <si>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</si>
  <si>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</si>
  <si>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</si>
  <si>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</si>
  <si>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</si>
  <si>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</si>
  <si>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</si>
  <si>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</si>
  <si>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</si>
  <si>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</si>
  <si>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</si>
  <si>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</si>
  <si>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</si>
  <si>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</si>
  <si>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</si>
  <si>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</si>
  <si>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</si>
  <si>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</si>
  <si>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</si>
  <si>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</si>
  <si>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</si>
  <si>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</si>
  <si>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</si>
  <si>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</si>
  <si>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</si>
  <si>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</si>
  <si>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</si>
  <si>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</si>
  <si>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</si>
  <si>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</si>
  <si>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</si>
  <si>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</si>
  <si>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</si>
  <si>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</si>
  <si>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</si>
  <si>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</si>
  <si>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</si>
  <si>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</si>
  <si>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</si>
  <si>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</si>
  <si>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</si>
  <si>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</si>
  <si>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</si>
  <si>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</si>
  <si>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</si>
  <si>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</si>
  <si>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</si>
  <si>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</si>
  <si>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</si>
  <si>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</si>
  <si>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</si>
  <si>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</si>
  <si>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</si>
  <si>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</si>
  <si>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</si>
  <si>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</si>
  <si>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</si>
  <si>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</si>
  <si>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</si>
  <si>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</si>
  <si>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</si>
  <si>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</si>
  <si>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</si>
  <si>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</si>
  <si>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</si>
  <si>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</si>
  <si>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</si>
  <si>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</si>
  <si>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</si>
  <si>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</si>
  <si>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</si>
  <si>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</si>
  <si>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</si>
  <si>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</si>
  <si>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</si>
  <si>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</si>
  <si>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</si>
  <si>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</si>
  <si>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</si>
  <si>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</si>
  <si>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</si>
  <si>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</si>
  <si>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</si>
  <si>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</si>
  <si>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</si>
  <si>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</si>
  <si>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</si>
  <si>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</si>
  <si>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</si>
  <si>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</si>
  <si>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</si>
  <si>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</si>
  <si>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</si>
  <si>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</si>
  <si>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</si>
  <si>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</si>
  <si>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</si>
  <si>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</si>
  <si>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</si>
  <si>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</si>
  <si>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</si>
  <si>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</si>
  <si>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</si>
  <si>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</si>
  <si>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</si>
  <si>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</si>
  <si>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</si>
  <si>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</si>
  <si>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</si>
  <si>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</si>
  <si>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</si>
  <si>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</si>
  <si>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</si>
  <si>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</si>
  <si>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</si>
  <si>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</si>
  <si>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</si>
  <si>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</si>
  <si>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</si>
  <si>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</si>
  <si>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</si>
  <si>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</si>
  <si>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</si>
  <si>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</si>
  <si>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</si>
  <si>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</si>
  <si>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</si>
  <si>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</si>
  <si>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</si>
  <si>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</si>
  <si>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</si>
  <si>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</si>
  <si>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</si>
  <si>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</si>
  <si>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</si>
  <si>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</si>
  <si>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</si>
  <si>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</si>
  <si>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</si>
  <si>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</si>
  <si>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</si>
  <si>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</si>
  <si>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</si>
  <si>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</si>
  <si>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</si>
  <si>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</si>
  <si>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</si>
  <si>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</si>
  <si>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</si>
  <si>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</si>
  <si>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</si>
  <si>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</si>
  <si>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</si>
  <si>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</si>
  <si>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</si>
  <si>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</si>
  <si>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</si>
  <si>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</si>
  <si>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</si>
  <si>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</si>
  <si>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</si>
  <si>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</si>
  <si>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</si>
  <si>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</si>
  <si>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</si>
  <si>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</si>
  <si>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</si>
  <si>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</si>
  <si>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</si>
  <si>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</si>
  <si>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</si>
  <si>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</si>
  <si>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</si>
  <si>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</si>
  <si>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</si>
  <si>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</si>
  <si>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</si>
  <si>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</si>
  <si>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</si>
  <si>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</si>
  <si>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</si>
  <si>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</si>
  <si>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</si>
  <si>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</si>
  <si>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</si>
  <si>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</si>
  <si>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</si>
  <si>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</si>
  <si>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</si>
  <si>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</si>
  <si>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</si>
  <si>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</si>
  <si>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</si>
  <si>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</si>
  <si>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</si>
  <si>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</si>
  <si>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</si>
  <si>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</si>
  <si>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</si>
  <si>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</si>
  <si>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</si>
  <si>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</si>
  <si>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</si>
  <si>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</si>
  <si>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</si>
  <si>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</si>
  <si>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</si>
  <si>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</si>
  <si>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</si>
  <si>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</si>
  <si>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</si>
  <si>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</si>
  <si>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</si>
  <si>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</si>
  <si>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</si>
  <si>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</si>
  <si>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</si>
  <si>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</si>
  <si>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</si>
  <si>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</si>
  <si>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</si>
  <si>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</si>
  <si>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</si>
  <si>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</si>
  <si>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</si>
  <si>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</si>
  <si>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</si>
  <si>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</si>
  <si>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</si>
  <si>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</si>
  <si>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</si>
  <si>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</si>
  <si>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</si>
  <si>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</si>
  <si>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</si>
  <si>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</si>
  <si>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</si>
  <si>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</si>
  <si>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</si>
  <si>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</si>
  <si>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</si>
  <si>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</si>
  <si>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</si>
  <si>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</si>
  <si>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</si>
  <si>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</si>
  <si>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</si>
  <si>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</si>
  <si>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</si>
  <si>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</si>
  <si>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</si>
  <si>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</si>
  <si>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</si>
  <si>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</si>
  <si>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</si>
  <si>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</si>
  <si>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</si>
  <si>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</si>
  <si>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</si>
  <si>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</si>
  <si>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</si>
  <si>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</si>
  <si>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</si>
  <si>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</si>
  <si>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</si>
  <si>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</si>
  <si>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</si>
  <si>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</si>
  <si>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</si>
  <si>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</si>
  <si>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</si>
  <si>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</si>
  <si>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</si>
  <si>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</si>
  <si>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</si>
  <si>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</si>
  <si>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</si>
  <si>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</si>
  <si>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</si>
  <si>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</si>
  <si>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</si>
  <si>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</si>
  <si>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</si>
  <si>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</si>
  <si>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</si>
  <si>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</si>
  <si>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</si>
  <si>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</si>
  <si>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</si>
  <si>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</si>
  <si>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</si>
  <si>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</si>
  <si>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</si>
  <si>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</si>
  <si>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</si>
  <si>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</si>
  <si>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</si>
  <si>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</si>
  <si>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</si>
  <si>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</si>
  <si>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</si>
  <si>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</si>
  <si>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</si>
  <si>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</si>
  <si>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</si>
  <si>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</si>
  <si>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</si>
  <si>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</si>
  <si>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</si>
  <si>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</si>
  <si>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</si>
  <si>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</si>
  <si>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</si>
  <si>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</si>
  <si>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</si>
  <si>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</si>
  <si>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</si>
  <si>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</si>
  <si>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</si>
  <si>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</si>
  <si>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</si>
  <si>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</si>
  <si>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</si>
  <si>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</si>
  <si>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</si>
  <si>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</si>
  <si>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</si>
  <si>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</si>
  <si>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</si>
  <si>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</si>
  <si>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</si>
  <si>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</si>
  <si>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</si>
  <si>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</si>
  <si>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</si>
  <si>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</si>
  <si>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</si>
  <si>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</si>
  <si>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</si>
  <si>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</si>
  <si>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</si>
  <si>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</si>
  <si>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</si>
  <si>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</si>
  <si>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</si>
  <si>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</si>
  <si>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</si>
  <si>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</si>
  <si>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</si>
  <si>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</si>
  <si>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</si>
  <si>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</si>
  <si>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</si>
  <si>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</si>
  <si>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</si>
  <si>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</si>
  <si>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</si>
  <si>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</si>
  <si>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</si>
  <si>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</si>
  <si>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</si>
  <si>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</si>
  <si>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</si>
  <si>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</si>
  <si>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</si>
  <si>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</si>
  <si>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</si>
  <si>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</si>
  <si>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</si>
  <si>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</si>
  <si>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</si>
  <si>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</si>
  <si>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</si>
  <si>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</si>
  <si>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</si>
  <si>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</si>
  <si>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</si>
  <si>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</si>
  <si>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</si>
  <si>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</si>
  <si>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</si>
  <si>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</si>
  <si>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</si>
  <si>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</si>
  <si>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</si>
  <si>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</si>
  <si>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</si>
  <si>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</si>
  <si>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</si>
  <si>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</si>
  <si>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</si>
  <si>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</si>
  <si>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</si>
  <si>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</si>
  <si>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</si>
  <si>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</si>
  <si>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</si>
  <si>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</si>
  <si>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</si>
  <si>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</si>
  <si>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</si>
  <si>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</si>
  <si>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</si>
  <si>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</si>
  <si>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</si>
  <si>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</si>
  <si>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</si>
  <si>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</si>
  <si>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</si>
  <si>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</si>
  <si>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</si>
  <si>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</si>
  <si>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</si>
  <si>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</si>
  <si>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</si>
  <si>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</si>
  <si>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</si>
  <si>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</si>
  <si>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</si>
  <si>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</si>
  <si>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</si>
  <si>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</si>
  <si>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</si>
  <si>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</si>
  <si>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</si>
  <si>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</si>
  <si>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</si>
  <si>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</si>
  <si>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</si>
  <si>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</si>
  <si>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</si>
  <si>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</si>
  <si>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</si>
  <si>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</si>
  <si>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</si>
  <si>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</si>
  <si>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</si>
  <si>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</si>
  <si>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</si>
  <si>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</si>
  <si>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</si>
  <si>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</si>
  <si>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</si>
  <si>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</si>
  <si>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</si>
  <si>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</si>
  <si>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</si>
  <si>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</si>
  <si>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</si>
  <si>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</si>
  <si>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</si>
  <si>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</si>
  <si>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</si>
  <si>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</si>
  <si>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</si>
  <si>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</si>
  <si>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</si>
  <si>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</si>
  <si>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</si>
  <si>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</si>
  <si>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</si>
  <si>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</si>
  <si>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</si>
  <si>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</si>
  <si>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</si>
  <si>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</si>
  <si>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</si>
  <si>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</si>
  <si>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</si>
  <si>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</si>
  <si>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</si>
  <si>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</si>
  <si>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</si>
  <si>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</si>
  <si>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</si>
  <si>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</si>
  <si>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</si>
  <si>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</si>
  <si>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</si>
  <si>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</si>
  <si>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</si>
  <si>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</si>
  <si>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</si>
  <si>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</si>
  <si>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</si>
  <si>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</si>
  <si>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</si>
  <si>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</si>
  <si>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</si>
  <si>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</si>
  <si>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</si>
  <si>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</si>
  <si>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</si>
  <si>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</si>
  <si>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</si>
  <si>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</si>
  <si>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</si>
  <si>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</si>
  <si>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</si>
  <si>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</si>
  <si>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</si>
  <si>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</si>
  <si>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</si>
  <si>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</si>
  <si>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</si>
  <si>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</si>
  <si>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</si>
  <si>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</si>
  <si>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</si>
  <si>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</si>
  <si>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</si>
  <si>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</si>
  <si>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</si>
  <si>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</si>
  <si>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</si>
  <si>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</si>
  <si>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</si>
  <si>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</si>
  <si>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</si>
  <si>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</si>
  <si>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</si>
  <si>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</si>
  <si>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</si>
  <si>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</si>
  <si>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</si>
  <si>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</si>
  <si>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</si>
  <si>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</si>
  <si>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</si>
  <si>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</si>
  <si>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</si>
  <si>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</si>
  <si>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</si>
  <si>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</si>
  <si>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</si>
  <si>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</si>
  <si>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</si>
  <si>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</si>
  <si>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</si>
  <si>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</si>
  <si>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</si>
  <si>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</si>
  <si>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</si>
  <si>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</si>
  <si>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</si>
  <si>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</si>
  <si>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</si>
  <si>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</si>
  <si>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</si>
  <si>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</si>
  <si>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</si>
  <si>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</si>
  <si>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</si>
  <si>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</si>
  <si>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</si>
  <si>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</si>
  <si>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</si>
  <si>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</si>
  <si>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</si>
  <si>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</si>
  <si>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</si>
  <si>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</si>
  <si>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</si>
  <si>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</si>
  <si>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</si>
  <si>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</si>
  <si>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</si>
  <si>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</si>
  <si>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</si>
  <si>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</si>
  <si>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</si>
  <si>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</si>
  <si>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</si>
  <si>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</si>
  <si>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</si>
  <si>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</si>
  <si>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</si>
  <si>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</si>
  <si>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</si>
  <si>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</si>
  <si>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</si>
  <si>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</si>
  <si>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</si>
  <si>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</si>
  <si>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</si>
  <si>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</si>
  <si>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</si>
  <si>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</si>
  <si>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</si>
  <si>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</si>
  <si>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</si>
  <si>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</si>
  <si>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</si>
  <si>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</si>
  <si>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</si>
  <si>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</si>
  <si>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</si>
  <si>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</si>
  <si>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</si>
  <si>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</si>
  <si>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</si>
  <si>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</si>
  <si>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</si>
  <si>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</si>
  <si>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</si>
  <si>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</si>
  <si>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</si>
  <si>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</si>
  <si>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</si>
  <si>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</si>
  <si>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</si>
  <si>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</si>
  <si>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</si>
  <si>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</si>
  <si>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</si>
  <si>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</si>
  <si>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</si>
  <si>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</si>
  <si>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</si>
  <si>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</si>
  <si>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</si>
  <si>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</si>
  <si>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</si>
  <si>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</si>
  <si>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</si>
  <si>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</si>
  <si>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</si>
  <si>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</si>
  <si>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</si>
  <si>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</si>
  <si>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</si>
  <si>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</si>
  <si>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</si>
  <si>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</si>
  <si>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</si>
  <si>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</si>
  <si>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</si>
  <si>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</si>
  <si>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</si>
  <si>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</si>
  <si>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</si>
  <si>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</si>
  <si>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</si>
  <si>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</si>
  <si>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</si>
  <si>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</si>
  <si>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</si>
  <si>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</si>
  <si>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</si>
  <si>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</si>
  <si>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</si>
  <si>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</si>
  <si>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</si>
  <si>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</si>
  <si>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</si>
  <si>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</si>
  <si>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</si>
  <si>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</si>
  <si>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</si>
  <si>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</si>
  <si>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</si>
  <si>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</si>
  <si>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</si>
  <si>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</si>
  <si>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</si>
  <si>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</si>
  <si>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</si>
  <si>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</si>
  <si>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</si>
  <si>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</si>
  <si>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</si>
  <si>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</si>
  <si>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</si>
  <si>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</si>
  <si>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</si>
  <si>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</si>
  <si>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</si>
  <si>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</si>
  <si>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</si>
  <si>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</si>
  <si>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</si>
  <si>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</si>
  <si>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</si>
  <si>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</si>
  <si>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</si>
  <si>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</si>
  <si>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</si>
  <si>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</si>
  <si>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</si>
  <si>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</si>
  <si>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</si>
  <si>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</si>
  <si>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</si>
  <si>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</si>
  <si>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</si>
  <si>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</si>
  <si>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</si>
  <si>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</si>
  <si>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</si>
  <si>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</si>
  <si>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</si>
  <si>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</si>
  <si>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</si>
  <si>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</si>
  <si>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</si>
  <si>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</si>
  <si>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</si>
  <si>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</si>
  <si>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</si>
  <si>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</si>
  <si>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</si>
  <si>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</si>
  <si>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</si>
  <si>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</si>
  <si>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</si>
  <si>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</si>
  <si>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</si>
  <si>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</si>
  <si>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</si>
  <si>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</si>
  <si>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</si>
  <si>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</si>
  <si>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</si>
  <si>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</si>
  <si>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</si>
  <si>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</si>
  <si>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</si>
  <si>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</si>
  <si>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</si>
  <si>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</si>
  <si>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</si>
  <si>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</si>
  <si>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</si>
  <si>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</si>
  <si>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</si>
  <si>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</si>
  <si>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</si>
  <si>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</si>
  <si>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</si>
  <si>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</si>
  <si>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</si>
  <si>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</si>
  <si>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</si>
  <si>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</si>
  <si>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</si>
  <si>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</si>
  <si>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</si>
  <si>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</si>
  <si>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</si>
  <si>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</si>
  <si>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</si>
  <si>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</si>
  <si>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</si>
  <si>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</si>
  <si>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</si>
  <si>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</si>
  <si>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</si>
  <si>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</si>
  <si>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</si>
  <si>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</si>
  <si>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</si>
  <si>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</si>
  <si>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</si>
  <si>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</si>
  <si>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</si>
  <si>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</si>
  <si>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</si>
  <si>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</si>
  <si>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</si>
  <si>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</si>
  <si>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</si>
  <si>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</si>
  <si>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</si>
  <si>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</si>
  <si>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</si>
  <si>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</si>
  <si>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</si>
  <si>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</si>
  <si>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</si>
  <si>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</si>
  <si>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</si>
  <si>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</si>
  <si>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</si>
  <si>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</si>
  <si>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</si>
  <si>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</si>
  <si>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</si>
  <si>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</si>
  <si>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</si>
  <si>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</si>
  <si>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</si>
  <si>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</si>
  <si>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</si>
  <si>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</si>
  <si>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</si>
  <si>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</si>
  <si>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</si>
  <si>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</si>
  <si>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</si>
  <si>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</si>
  <si>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</si>
  <si>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</si>
  <si>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</si>
  <si>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</si>
  <si>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</si>
  <si>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</si>
  <si>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</si>
  <si>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</si>
  <si>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</si>
  <si>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</si>
  <si>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</si>
  <si>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</si>
  <si>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</si>
  <si>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</si>
  <si>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</si>
  <si>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</si>
  <si>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</si>
  <si>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</si>
  <si>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</si>
  <si>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</si>
  <si>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</si>
  <si>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</si>
  <si>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</si>
  <si>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</si>
  <si>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</si>
  <si>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</si>
  <si>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</si>
  <si>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</si>
  <si>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</si>
  <si>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</si>
  <si>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</si>
  <si>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</si>
  <si>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</si>
  <si>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</si>
  <si>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</si>
  <si>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</si>
  <si>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</si>
  <si>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</si>
  <si>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</si>
  <si>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</si>
  <si>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</si>
  <si>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</si>
  <si>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</si>
  <si>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</si>
  <si>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</si>
  <si>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</si>
  <si>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</si>
  <si>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</si>
  <si>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</si>
  <si>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</si>
  <si>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</si>
  <si>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</si>
  <si>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</si>
  <si>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</si>
  <si>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</si>
  <si>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</si>
  <si>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</si>
  <si>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</si>
  <si>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</si>
  <si>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</si>
  <si>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</si>
  <si>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</si>
  <si>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</si>
  <si>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</si>
  <si>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</si>
  <si>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</si>
  <si>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</si>
  <si>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</si>
  <si>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</si>
  <si>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</si>
  <si>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</si>
  <si>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</si>
  <si>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</si>
  <si>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</si>
  <si>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</si>
  <si>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</si>
  <si>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</si>
  <si>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</si>
  <si>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</si>
  <si>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</si>
  <si>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</si>
  <si>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</si>
  <si>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</si>
  <si>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</si>
  <si>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</si>
  <si>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</si>
  <si>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</si>
  <si>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</si>
  <si>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</si>
  <si>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</si>
  <si>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</si>
  <si>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</si>
  <si>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</si>
  <si>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</si>
  <si>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</si>
  <si>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</si>
  <si>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</si>
  <si>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</si>
  <si>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</si>
  <si>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</si>
  <si>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</si>
  <si>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</si>
  <si>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</si>
  <si>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</si>
  <si>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</si>
  <si>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</si>
  <si>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</si>
  <si>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</si>
  <si>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</si>
  <si>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</si>
  <si>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</si>
  <si>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</si>
  <si>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</si>
  <si>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</si>
  <si>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</si>
  <si>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</si>
  <si>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</si>
  <si>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</si>
  <si>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</si>
  <si>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</si>
  <si>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</si>
  <si>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</si>
  <si>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</si>
  <si>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</si>
  <si>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</si>
  <si>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</si>
  <si>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</si>
  <si>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</si>
  <si>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</si>
  <si>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</si>
  <si>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</si>
  <si>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</si>
  <si>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</si>
  <si>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</si>
  <si>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</si>
  <si>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</si>
  <si>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</si>
  <si>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</si>
  <si>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</si>
  <si>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</si>
  <si>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</si>
  <si>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</si>
  <si>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</si>
  <si>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</si>
  <si>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</si>
  <si>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</si>
  <si>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</si>
  <si>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</si>
  <si>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</si>
  <si>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</si>
  <si>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</si>
  <si>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</si>
  <si>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</si>
  <si>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</si>
  <si>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</si>
  <si>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</si>
  <si>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</si>
  <si>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</si>
  <si>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</si>
  <si>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</si>
  <si>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</si>
  <si>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</si>
  <si>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</si>
  <si>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</si>
  <si>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</si>
  <si>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</si>
  <si>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</si>
  <si>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</si>
  <si>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</si>
  <si>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</si>
  <si>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</si>
  <si>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</si>
  <si>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</si>
  <si>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</si>
  <si>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</si>
  <si>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</si>
  <si>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</si>
  <si>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</si>
  <si>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</si>
  <si>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</si>
  <si>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</si>
  <si>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</si>
  <si>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</si>
  <si>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</si>
  <si>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</si>
  <si>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</si>
  <si>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</si>
  <si>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</si>
  <si>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</si>
  <si>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</si>
  <si>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</si>
  <si>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</si>
  <si>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</si>
  <si>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</si>
  <si>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</si>
  <si>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</si>
  <si>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</si>
  <si>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</si>
  <si>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</si>
  <si>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</si>
  <si>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</si>
  <si>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</si>
  <si>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</si>
  <si>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</si>
  <si>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</si>
  <si>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</si>
  <si>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</si>
  <si>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</si>
  <si>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</si>
  <si>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</si>
  <si>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</si>
  <si>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</si>
  <si>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</si>
  <si>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</si>
  <si>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</si>
  <si>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</si>
  <si>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</si>
  <si>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</si>
  <si>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</si>
  <si>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</si>
  <si>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</si>
  <si>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</si>
  <si>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</si>
  <si>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</si>
  <si>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</si>
  <si>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</si>
  <si>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</si>
  <si>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</si>
  <si>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</si>
  <si>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</si>
  <si>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</si>
  <si>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</si>
  <si>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</si>
  <si>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</si>
  <si>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</si>
  <si>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</si>
  <si>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</si>
  <si>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</si>
  <si>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</si>
  <si>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</si>
  <si>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</si>
  <si>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</si>
  <si>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</si>
  <si>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</si>
  <si>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</si>
  <si>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</si>
  <si>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</si>
  <si>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</si>
  <si>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</si>
  <si>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</si>
  <si>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</si>
  <si>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</si>
  <si>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</si>
  <si>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</si>
  <si>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</si>
  <si>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</si>
  <si>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</si>
  <si>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</si>
  <si>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</si>
  <si>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</si>
  <si>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</si>
  <si>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</si>
  <si>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</si>
  <si>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</si>
  <si>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</si>
  <si>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</si>
  <si>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</si>
  <si>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</si>
  <si>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</si>
  <si>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</si>
  <si>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</si>
  <si>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</si>
  <si>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</si>
  <si>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</si>
  <si>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</si>
  <si>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</si>
  <si>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</si>
  <si>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</si>
  <si>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</si>
  <si>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</si>
  <si>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</si>
  <si>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</si>
  <si>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</si>
  <si>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</si>
  <si>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</si>
  <si>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</si>
  <si>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</si>
  <si>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</si>
  <si>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</si>
  <si>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</si>
  <si>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</si>
  <si>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</si>
  <si>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</si>
  <si>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</si>
  <si>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</si>
  <si>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</si>
  <si>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</si>
  <si>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</si>
  <si>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</si>
  <si>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</si>
  <si>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</si>
  <si>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</si>
  <si>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</si>
  <si>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</si>
  <si>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</si>
  <si>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</si>
  <si>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</si>
  <si>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</si>
  <si>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</si>
  <si>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</si>
  <si>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</si>
  <si>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</si>
  <si>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</si>
  <si>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</si>
  <si>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</si>
  <si>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</si>
  <si>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</si>
  <si>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</si>
  <si>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</si>
  <si>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</si>
  <si>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</si>
  <si>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</si>
  <si>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</si>
  <si>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</si>
  <si>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</si>
  <si>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</si>
  <si>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</si>
  <si>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</si>
  <si>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</si>
  <si>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</si>
  <si>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</si>
  <si>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</si>
  <si>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</si>
  <si>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</si>
  <si>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</si>
  <si>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</si>
  <si>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</si>
  <si>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</si>
  <si>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</si>
  <si>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</si>
  <si>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</si>
  <si>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</si>
  <si>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</si>
  <si>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</si>
  <si>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</si>
  <si>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</si>
  <si>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</si>
  <si>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</si>
  <si>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</si>
  <si>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</si>
  <si>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</si>
  <si>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</si>
  <si>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</si>
  <si>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</si>
  <si>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</si>
  <si>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</si>
  <si>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</si>
  <si>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</si>
  <si>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</si>
  <si>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</si>
  <si>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</si>
  <si>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</si>
  <si>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</si>
  <si>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</si>
  <si>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</si>
  <si>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</si>
  <si>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</si>
  <si>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</si>
  <si>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</si>
  <si>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</si>
  <si>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</si>
  <si>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</si>
  <si>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</si>
  <si>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</si>
  <si>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</si>
  <si>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</si>
  <si>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</si>
  <si>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</si>
  <si>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</si>
  <si>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</si>
  <si>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</si>
  <si>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</si>
  <si>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</si>
  <si>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</si>
  <si>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</si>
  <si>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</si>
  <si>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</si>
  <si>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</si>
  <si>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</si>
  <si>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</si>
  <si>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</si>
  <si>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</si>
  <si>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</si>
  <si>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</si>
  <si>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</si>
  <si>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</si>
  <si>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</si>
  <si>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</si>
  <si>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</si>
  <si>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</si>
  <si>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</si>
  <si>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</si>
  <si>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</si>
  <si>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</si>
  <si>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</si>
  <si>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</si>
  <si>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</si>
  <si>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</si>
  <si>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</si>
  <si>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</si>
  <si>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</si>
  <si>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</si>
  <si>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</si>
  <si>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</si>
  <si>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</si>
  <si>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</si>
  <si>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</si>
  <si>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</si>
  <si>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</si>
  <si>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</si>
  <si>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</si>
  <si>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</si>
  <si>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</si>
  <si>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</si>
  <si>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</si>
  <si>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</si>
  <si>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</si>
  <si>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</si>
  <si>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</si>
  <si>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</si>
  <si>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</si>
  <si>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</si>
  <si>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</si>
  <si>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</si>
  <si>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</si>
  <si>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</si>
  <si>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</si>
  <si>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</si>
  <si>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</si>
  <si>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</si>
  <si>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</si>
  <si>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</si>
  <si>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</si>
  <si>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</si>
  <si>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</si>
  <si>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</si>
  <si>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</si>
  <si>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</si>
  <si>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</si>
  <si>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</si>
  <si>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</si>
  <si>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</si>
  <si>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</si>
  <si>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</si>
  <si>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</si>
  <si>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</si>
  <si>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</si>
  <si>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</si>
  <si>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</si>
  <si>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</si>
  <si>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</si>
  <si>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</si>
  <si>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</si>
  <si>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</si>
  <si>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</si>
  <si>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</si>
  <si>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</si>
  <si>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</si>
  <si>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</si>
  <si>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</si>
  <si>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</si>
  <si>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</si>
  <si>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</si>
  <si>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</si>
  <si>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</si>
  <si>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</si>
  <si>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</si>
  <si>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</si>
  <si>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</si>
  <si>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</si>
  <si>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</si>
  <si>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</si>
  <si>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</si>
  <si>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</si>
  <si>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</si>
  <si>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</si>
  <si>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</si>
  <si>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</si>
  <si>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</si>
  <si>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</si>
  <si>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</si>
  <si>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</si>
  <si>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</si>
  <si>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</si>
  <si>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</si>
  <si>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</si>
  <si>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</si>
  <si>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</si>
  <si>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</si>
  <si>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</si>
  <si>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</si>
  <si>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</si>
  <si>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</si>
  <si>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</si>
  <si>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</si>
  <si>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</si>
  <si>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</si>
  <si>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</si>
  <si>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</si>
  <si>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</si>
  <si>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</si>
  <si>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</si>
  <si>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</si>
  <si>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</si>
  <si>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</si>
  <si>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</si>
  <si>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</si>
  <si>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</si>
  <si>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</si>
  <si>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</si>
  <si>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</si>
  <si>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</si>
  <si>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</si>
  <si>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</si>
  <si>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</si>
  <si>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</si>
  <si>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</si>
  <si>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</si>
  <si>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</si>
  <si>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</si>
  <si>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</si>
  <si>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</si>
  <si>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</si>
  <si>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</si>
  <si>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</si>
  <si>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</si>
  <si>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</si>
  <si>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</si>
  <si>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</si>
  <si>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</si>
  <si>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</si>
  <si>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</si>
  <si>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</si>
  <si>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</si>
  <si>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</si>
  <si>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</si>
  <si>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</si>
  <si>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</si>
  <si>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</si>
  <si>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</si>
  <si>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</si>
  <si>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</si>
  <si>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</si>
  <si>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</si>
  <si>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</si>
  <si>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</si>
  <si>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</si>
  <si>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</si>
  <si>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</si>
  <si>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</si>
  <si>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</si>
  <si>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</si>
  <si>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</si>
  <si>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</si>
  <si>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</si>
  <si>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</si>
  <si>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</si>
  <si>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</si>
  <si>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</si>
  <si>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</si>
  <si>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</si>
  <si>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</si>
  <si>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</si>
  <si>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</si>
  <si>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</si>
  <si>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</si>
  <si>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</si>
  <si>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</si>
  <si>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</si>
  <si>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</si>
  <si>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</si>
  <si>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</si>
  <si>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</si>
  <si>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</si>
  <si>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</si>
  <si>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</si>
  <si>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</si>
  <si>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</si>
  <si>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</si>
  <si>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</si>
  <si>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</si>
  <si>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</si>
  <si>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</si>
  <si>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</si>
  <si>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</si>
  <si>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</si>
  <si>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</si>
  <si>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</si>
  <si>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</si>
  <si>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</si>
  <si>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</si>
  <si>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</si>
  <si>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</si>
  <si>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</si>
  <si>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</si>
  <si>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</si>
  <si>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</si>
  <si>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</si>
  <si>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</si>
  <si>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</si>
  <si>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</si>
  <si>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</si>
  <si>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</si>
  <si>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</si>
  <si>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</si>
  <si>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</si>
  <si>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</si>
  <si>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</si>
  <si>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</si>
  <si>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</si>
  <si>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</si>
  <si>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</si>
  <si>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</si>
  <si>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</si>
  <si>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</si>
  <si>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</si>
  <si>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</si>
  <si>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</si>
  <si>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</si>
  <si>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</si>
  <si>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</si>
  <si>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</si>
  <si>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</si>
  <si>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</si>
  <si>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</si>
  <si>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</si>
  <si>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</si>
  <si>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</si>
  <si>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</si>
  <si>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</si>
  <si>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</si>
  <si>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</si>
  <si>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</si>
  <si>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</si>
  <si>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</si>
  <si>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</si>
  <si>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</si>
  <si>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</si>
  <si>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</si>
  <si>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</si>
  <si>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</si>
  <si>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</si>
  <si>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</si>
  <si>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</si>
  <si>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</si>
  <si>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</si>
  <si>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</si>
  <si>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</si>
  <si>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</si>
  <si>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</si>
  <si>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</si>
  <si>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</si>
  <si>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</si>
  <si>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</si>
  <si>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</si>
  <si>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</si>
  <si>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</si>
  <si>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</si>
  <si>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</si>
  <si>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</si>
  <si>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</si>
  <si>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</si>
  <si>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</si>
  <si>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</si>
  <si>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</si>
  <si>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</si>
  <si>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</si>
  <si>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</si>
  <si>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</si>
  <si>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</si>
  <si>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</si>
  <si>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</si>
  <si>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</si>
  <si>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</si>
  <si>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</si>
  <si>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</si>
  <si>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</si>
  <si>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</si>
  <si>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</si>
  <si>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</si>
  <si>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</si>
  <si>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</si>
  <si>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</si>
  <si>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</si>
  <si>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</si>
  <si>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</si>
  <si>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</si>
  <si>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</si>
  <si>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</si>
  <si>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</si>
  <si>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</si>
  <si>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</si>
  <si>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</si>
  <si>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</si>
  <si>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</si>
  <si>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</si>
  <si>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</si>
  <si>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</si>
  <si>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</si>
  <si>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</si>
  <si>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</si>
  <si>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</si>
  <si>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</si>
  <si>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</si>
  <si>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</si>
  <si>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</si>
  <si>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</si>
  <si>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</si>
  <si>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</si>
  <si>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</si>
  <si>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</si>
  <si>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</si>
  <si>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</si>
  <si>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</si>
  <si>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</si>
  <si>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</si>
  <si>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</si>
  <si>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</si>
  <si>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</si>
  <si>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</si>
  <si>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</si>
  <si>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</si>
  <si>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</si>
  <si>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</si>
  <si>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</si>
  <si>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</si>
  <si>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</si>
  <si>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</si>
  <si>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</si>
  <si>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</si>
  <si>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</si>
  <si>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</si>
  <si>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</si>
  <si>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</si>
  <si>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</si>
  <si>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</si>
  <si>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</si>
  <si>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</si>
  <si>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</si>
  <si>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</si>
  <si>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</si>
  <si>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</si>
  <si>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</si>
  <si>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</si>
  <si>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</si>
  <si>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</si>
  <si>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</si>
  <si>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</si>
  <si>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</si>
  <si>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</si>
  <si>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</si>
  <si>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</si>
  <si>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</si>
  <si>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</si>
  <si>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</si>
  <si>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</si>
  <si>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</si>
  <si>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</si>
  <si>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</si>
  <si>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</si>
  <si>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</si>
  <si>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</si>
  <si>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</si>
  <si>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</si>
  <si>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</si>
  <si>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</si>
  <si>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</si>
  <si>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</si>
  <si>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</si>
  <si>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</si>
  <si>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</si>
  <si>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</si>
  <si>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</si>
  <si>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</si>
  <si>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</si>
  <si>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</si>
  <si>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</si>
  <si>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</si>
  <si>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</si>
  <si>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</si>
  <si>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</si>
  <si>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</si>
  <si>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</si>
  <si>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</si>
  <si>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</si>
  <si>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</si>
  <si>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</si>
  <si>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</si>
  <si>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</si>
  <si>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</si>
  <si>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</si>
  <si>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</si>
  <si>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</si>
  <si>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</si>
  <si>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</si>
  <si>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</si>
  <si>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</si>
  <si>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</si>
  <si>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</si>
  <si>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</si>
  <si>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</si>
  <si>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</si>
  <si>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</si>
  <si>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</si>
  <si>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</si>
  <si>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</si>
  <si>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</si>
  <si>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</si>
  <si>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</si>
  <si>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</si>
  <si>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</si>
  <si>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</si>
  <si>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</si>
  <si>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</si>
  <si>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</si>
  <si>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</si>
  <si>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</si>
  <si>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</si>
  <si>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</si>
  <si>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</si>
  <si>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</si>
  <si>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</si>
  <si>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</si>
  <si>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</si>
  <si>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</si>
  <si>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</si>
  <si>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</si>
  <si>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</si>
  <si>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</si>
  <si>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</si>
  <si>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</si>
  <si>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</si>
  <si>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</si>
  <si>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</si>
  <si>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</si>
  <si>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</si>
  <si>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</si>
  <si>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</si>
  <si>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</si>
  <si>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</si>
  <si>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</si>
  <si>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</si>
  <si>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</si>
  <si>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</si>
  <si>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</si>
  <si>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</si>
  <si>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</si>
  <si>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</si>
  <si>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</si>
  <si>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</si>
  <si>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</si>
  <si>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</si>
  <si>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</si>
  <si>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</si>
  <si>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</si>
  <si>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</si>
  <si>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</si>
  <si>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</si>
  <si>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</si>
  <si>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</si>
  <si>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</si>
  <si>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</si>
  <si>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</si>
  <si>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</si>
  <si>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</si>
  <si>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</si>
  <si>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</si>
  <si>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</si>
  <si>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</si>
  <si>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</si>
  <si>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</si>
  <si>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</si>
  <si>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</si>
  <si>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</si>
  <si>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</si>
  <si>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</si>
  <si>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</si>
  <si>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</si>
  <si>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</si>
  <si>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</si>
  <si>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</si>
  <si>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</si>
  <si>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</si>
  <si>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</si>
  <si>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</si>
  <si>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</si>
  <si>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</si>
  <si>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</si>
  <si>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</si>
  <si>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</si>
  <si>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</si>
  <si>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</si>
  <si>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</si>
  <si>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</si>
  <si>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</si>
  <si>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</si>
  <si>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</si>
  <si>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</si>
  <si>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</si>
  <si>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</si>
  <si>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</si>
  <si>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</si>
  <si>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</si>
  <si>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</si>
  <si>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</si>
  <si>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</si>
  <si>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</si>
  <si>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</si>
  <si>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</si>
  <si>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</si>
  <si>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</si>
  <si>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</si>
  <si>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</si>
  <si>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</si>
  <si>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</si>
  <si>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</si>
  <si>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</si>
  <si>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</si>
  <si>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</si>
  <si>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</si>
  <si>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</si>
  <si>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</si>
  <si>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</si>
  <si>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</si>
  <si>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</si>
  <si>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</si>
  <si>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</si>
  <si>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</si>
  <si>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</si>
  <si>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</si>
  <si>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</si>
  <si>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</si>
  <si>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</si>
  <si>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</si>
  <si>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</si>
  <si>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</si>
  <si>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</si>
  <si>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</si>
  <si>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</si>
  <si>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</si>
  <si>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</si>
  <si>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</si>
  <si>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</si>
  <si>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</si>
  <si>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</si>
  <si>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</si>
  <si>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</si>
  <si>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</si>
  <si>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</si>
  <si>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</si>
  <si>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</si>
  <si>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</si>
  <si>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</si>
  <si>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</si>
  <si>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</si>
  <si>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</si>
  <si>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</si>
  <si>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</si>
  <si>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</si>
  <si>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</si>
  <si>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</si>
  <si>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</si>
  <si>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</si>
  <si>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</si>
  <si>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</si>
  <si>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</si>
  <si>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</si>
  <si>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</si>
  <si>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</si>
  <si>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</si>
  <si>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</si>
  <si>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</si>
  <si>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</si>
  <si>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</si>
  <si>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</si>
  <si>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</si>
  <si>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</si>
  <si>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</si>
  <si>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</si>
  <si>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</si>
  <si>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</si>
  <si>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</si>
  <si>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</si>
  <si>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</si>
  <si>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</si>
  <si>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</si>
  <si>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</si>
  <si>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</si>
  <si>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</si>
  <si>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</si>
  <si>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</si>
  <si>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</si>
  <si>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</si>
  <si>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</si>
  <si>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</si>
  <si>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</si>
  <si>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</si>
  <si>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</si>
  <si>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</si>
  <si>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</si>
  <si>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</si>
  <si>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</si>
  <si>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</si>
  <si>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</si>
  <si>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</si>
  <si>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</si>
  <si>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</si>
  <si>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</si>
  <si>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</si>
  <si>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</si>
  <si>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</si>
  <si>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</si>
  <si>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</si>
  <si>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</si>
  <si>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</si>
  <si>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</si>
  <si>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</si>
  <si>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</si>
  <si>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</si>
  <si>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</si>
  <si>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</si>
  <si>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</si>
  <si>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</si>
  <si>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</si>
  <si>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</si>
  <si>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</si>
  <si>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</si>
  <si>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</si>
  <si>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</si>
  <si>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</si>
  <si>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</si>
  <si>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</si>
  <si>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</si>
  <si>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</si>
  <si>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</si>
  <si>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</si>
  <si>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</si>
  <si>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</si>
  <si>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</si>
  <si>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</si>
  <si>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</si>
  <si>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</si>
  <si>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</si>
  <si>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</si>
  <si>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</si>
  <si>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</si>
  <si>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</si>
  <si>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</si>
  <si>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</si>
  <si>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</si>
  <si>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</si>
  <si>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</si>
  <si>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</si>
  <si>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</si>
  <si>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</si>
  <si>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</si>
  <si>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</si>
  <si>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</si>
  <si>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</si>
  <si>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</si>
  <si>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</si>
  <si>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</si>
  <si>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</si>
  <si>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</si>
  <si>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</si>
  <si>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</si>
  <si>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</si>
  <si>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</si>
  <si>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</si>
  <si>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</si>
  <si>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</si>
  <si>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</si>
  <si>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</si>
  <si>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</si>
  <si>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</si>
  <si>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</si>
  <si>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</si>
  <si>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</si>
  <si>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</si>
  <si>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</si>
  <si>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</si>
  <si>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</si>
  <si>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</si>
  <si>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</si>
  <si>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</si>
  <si>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</si>
  <si>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</si>
  <si>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</si>
  <si>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</si>
  <si>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</si>
  <si>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</si>
  <si>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</si>
  <si>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</si>
  <si>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</si>
  <si>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</si>
  <si>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</si>
  <si>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</si>
  <si>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</si>
  <si>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</si>
  <si>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</si>
  <si>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</si>
  <si>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</si>
  <si>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</si>
  <si>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</si>
  <si>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</si>
  <si>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</si>
  <si>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</si>
  <si>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</si>
  <si>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</si>
  <si>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</si>
  <si>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</si>
  <si>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</si>
  <si>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</si>
  <si>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</si>
  <si>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</si>
  <si>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</si>
  <si>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</si>
  <si>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</si>
  <si>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</si>
  <si>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</si>
  <si>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</si>
  <si>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</si>
  <si>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</si>
  <si>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</si>
  <si>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</si>
  <si>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</si>
  <si>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</si>
  <si>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</si>
  <si>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</si>
  <si>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</si>
  <si>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</si>
  <si>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</si>
  <si>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</si>
  <si>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</si>
  <si>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</si>
  <si>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</si>
  <si>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</si>
  <si>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</si>
  <si>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</si>
  <si>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</si>
  <si>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</si>
  <si>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</si>
  <si>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</si>
  <si>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</si>
  <si>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</si>
  <si>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</si>
  <si>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</si>
  <si>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</si>
  <si>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</si>
  <si>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</si>
  <si>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</si>
  <si>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</si>
  <si>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</si>
  <si>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</si>
  <si>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</si>
  <si>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</si>
  <si>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</si>
  <si>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</si>
  <si>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</si>
  <si>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</si>
  <si>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</si>
  <si>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</si>
  <si>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</si>
  <si>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</si>
  <si>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</si>
  <si>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</si>
  <si>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</si>
  <si>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</si>
  <si>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</si>
  <si>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</si>
  <si>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</si>
  <si>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</si>
  <si>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</si>
  <si>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</si>
  <si>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</si>
  <si>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</si>
  <si>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</si>
  <si>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</si>
  <si>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</si>
  <si>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</si>
  <si>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</si>
  <si>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</si>
  <si>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</si>
  <si>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</si>
  <si>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</si>
  <si>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</si>
  <si>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</si>
  <si>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</si>
  <si>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</si>
  <si>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</si>
  <si>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</si>
  <si>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</si>
  <si>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</si>
  <si>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</si>
  <si>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</si>
  <si>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</si>
  <si>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</si>
  <si>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</si>
  <si>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</si>
  <si>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</si>
  <si>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</si>
  <si>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</si>
  <si>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</si>
  <si>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</si>
  <si>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</si>
  <si>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</si>
  <si>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</si>
  <si>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</si>
  <si>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</si>
  <si>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</si>
  <si>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</si>
  <si>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</si>
  <si>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</si>
  <si>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</si>
  <si>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</si>
  <si>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</si>
  <si>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</si>
  <si>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</si>
  <si>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</si>
  <si>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</si>
  <si>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</si>
  <si>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</si>
  <si>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</si>
  <si>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</si>
  <si>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</si>
  <si>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</si>
  <si>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</si>
  <si>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</si>
  <si>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</si>
  <si>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</si>
  <si>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</si>
  <si>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</si>
  <si>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</si>
  <si>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</si>
  <si>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</si>
  <si>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</si>
  <si>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</si>
  <si>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</si>
  <si>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</si>
  <si>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</si>
  <si>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</si>
  <si>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</si>
  <si>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</si>
  <si>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</si>
  <si>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</si>
  <si>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</si>
  <si>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</si>
  <si>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</si>
  <si>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</si>
  <si>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</si>
  <si>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</si>
  <si>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</si>
  <si>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</si>
  <si>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</si>
  <si>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</si>
  <si>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</si>
  <si>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</si>
  <si>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</si>
  <si>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</si>
  <si>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</si>
  <si>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</si>
  <si>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</si>
  <si>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</si>
  <si>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</si>
  <si>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</si>
  <si>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</si>
  <si>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</si>
  <si>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</si>
  <si>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</si>
  <si>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</si>
  <si>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</si>
  <si>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</si>
  <si>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</si>
  <si>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</si>
  <si>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</si>
  <si>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</si>
  <si>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</si>
  <si>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</si>
  <si>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</si>
  <si>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</si>
  <si>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</si>
  <si>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</si>
  <si>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</si>
  <si>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</si>
  <si>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</si>
  <si>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</si>
  <si>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</si>
  <si>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</si>
  <si>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</si>
  <si>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</si>
  <si>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</si>
  <si>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</si>
  <si>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</si>
  <si>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</si>
  <si>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</si>
  <si>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</si>
  <si>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</si>
  <si>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</si>
  <si>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</si>
  <si>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</si>
  <si>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</si>
  <si>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</si>
  <si>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</si>
  <si>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</si>
  <si>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</si>
  <si>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</si>
  <si>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</si>
  <si>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</si>
  <si>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</si>
  <si>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</si>
  <si>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</si>
  <si>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</si>
  <si>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</si>
  <si>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</si>
  <si>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</si>
  <si>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</si>
  <si>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</si>
  <si>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</si>
  <si>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</si>
  <si>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</si>
  <si>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</si>
  <si>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</si>
  <si>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</si>
  <si>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</si>
  <si>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</si>
  <si>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</si>
  <si>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</si>
  <si>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</si>
  <si>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</si>
  <si>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</si>
  <si>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</si>
  <si>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</si>
  <si>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</si>
  <si>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</si>
  <si>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</si>
  <si>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</si>
  <si>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</si>
  <si>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</si>
  <si>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</si>
  <si>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</si>
  <si>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</si>
  <si>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</si>
  <si>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</si>
  <si>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</si>
  <si>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</si>
  <si>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</si>
  <si>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</si>
  <si>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</si>
  <si>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</si>
  <si>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</si>
  <si>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</si>
  <si>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</si>
  <si>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</si>
  <si>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</si>
  <si>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</si>
  <si>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</si>
  <si>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</si>
  <si>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</si>
  <si>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</si>
  <si>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</si>
  <si>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</si>
  <si>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</si>
  <si>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</si>
  <si>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</si>
  <si>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</si>
  <si>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</si>
  <si>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</si>
  <si>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</si>
  <si>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</si>
  <si>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</si>
  <si>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</si>
  <si>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</si>
  <si>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</si>
  <si>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</si>
  <si>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</si>
  <si>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</si>
  <si>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</si>
  <si>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</si>
  <si>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</si>
  <si>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</si>
  <si>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</si>
  <si>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</si>
  <si>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</si>
  <si>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</si>
  <si>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</si>
  <si>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</si>
  <si>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</si>
  <si>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</si>
  <si>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</si>
  <si>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</si>
  <si>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</si>
  <si>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</si>
  <si>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</si>
  <si>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</si>
  <si>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</si>
  <si>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</si>
  <si>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</si>
  <si>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</si>
  <si>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</si>
  <si>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</si>
  <si>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</si>
  <si>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</si>
  <si>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</si>
  <si>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</si>
  <si>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</si>
  <si>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</si>
  <si>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</si>
  <si>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</si>
  <si>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</si>
  <si>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</si>
  <si>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</si>
  <si>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</si>
  <si>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</si>
  <si>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</si>
  <si>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</si>
  <si>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</si>
  <si>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</si>
  <si>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</si>
  <si>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</si>
  <si>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</si>
  <si>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</si>
  <si>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</si>
  <si>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</si>
  <si>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</si>
  <si>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</si>
  <si>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</si>
  <si>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</si>
  <si>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</si>
  <si>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</si>
  <si>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</si>
  <si>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</si>
  <si>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</si>
  <si>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</si>
  <si>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</si>
  <si>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</si>
  <si>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</si>
  <si>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</si>
  <si>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</si>
  <si>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</si>
  <si>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</si>
  <si>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</si>
  <si>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</si>
  <si>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</si>
  <si>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</si>
  <si>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</si>
  <si>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</si>
  <si>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</si>
  <si>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</si>
  <si>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</si>
  <si>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</si>
  <si>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</si>
  <si>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</si>
  <si>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</si>
  <si>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</si>
  <si>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</si>
  <si>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</si>
  <si>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</si>
  <si>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</si>
  <si>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</si>
  <si>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</si>
  <si>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</si>
  <si>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</si>
  <si>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</si>
  <si>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</si>
  <si>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</si>
  <si>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</si>
  <si>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</si>
  <si>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</si>
  <si>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</si>
  <si>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</si>
  <si>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</si>
  <si>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赵雯</t>
  </si>
  <si>
    <t>崔锴</t>
  </si>
  <si>
    <t>北京致顺房地产开发有限公司</t>
    <phoneticPr fontId="6" type="noConversion"/>
  </si>
  <si>
    <t>农行宣武支行</t>
    <phoneticPr fontId="6" type="noConversion"/>
  </si>
  <si>
    <t>抵押</t>
  </si>
  <si>
    <t>抵押价格</t>
  </si>
  <si>
    <t>企业</t>
  </si>
  <si>
    <t>北京市顺义区顺义新城第13街区SY00-0013-6010地块</t>
    <phoneticPr fontId="6" type="noConversion"/>
  </si>
  <si>
    <t>城镇住宅用地</t>
    <phoneticPr fontId="6" type="noConversion"/>
  </si>
  <si>
    <t>《不动产权证书》[京（2019）顺不动产权第0005353号]</t>
    <phoneticPr fontId="6" type="noConversion"/>
  </si>
  <si>
    <t>居住项目</t>
  </si>
  <si>
    <t>全部为保障性住房</t>
  </si>
  <si>
    <t>共有产权房</t>
  </si>
  <si>
    <t>共有产权房</t>
    <phoneticPr fontId="6" type="noConversion"/>
  </si>
  <si>
    <t>场地平整</t>
  </si>
  <si>
    <t>平整</t>
  </si>
  <si>
    <t>通路</t>
  </si>
  <si>
    <t>通上水</t>
  </si>
  <si>
    <t>通电</t>
  </si>
  <si>
    <t>Ⅶ-顺1</t>
  </si>
  <si>
    <t>地上</t>
  </si>
  <si>
    <t>共有产权房</t>
    <phoneticPr fontId="14" type="noConversion"/>
  </si>
  <si>
    <t>地下</t>
  </si>
  <si>
    <t>车库</t>
  </si>
  <si>
    <t>共有产权房</t>
    <phoneticPr fontId="7" type="noConversion"/>
  </si>
  <si>
    <t>地下车库</t>
    <phoneticPr fontId="7" type="noConversion"/>
  </si>
  <si>
    <t>不动产收益法</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</si>
  <si>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</si>
  <si>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</si>
  <si>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</si>
  <si>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</si>
  <si>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</si>
  <si>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</si>
  <si>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</si>
  <si>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</si>
  <si>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</si>
  <si>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</si>
  <si>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</si>
  <si>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</si>
  <si>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</si>
  <si>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</si>
  <si>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</si>
  <si>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</si>
  <si>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</si>
  <si>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</si>
  <si>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</si>
  <si>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</si>
  <si>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</si>
  <si>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</si>
  <si>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</si>
  <si>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</si>
  <si>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</si>
  <si>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</si>
  <si>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</si>
  <si>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</si>
  <si>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</si>
  <si>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</si>
  <si>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</si>
  <si>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</si>
  <si>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</si>
  <si>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</si>
  <si>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</si>
  <si>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</si>
  <si>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</si>
  <si>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</si>
  <si>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</si>
  <si>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</si>
  <si>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</si>
  <si>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</si>
  <si>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</si>
  <si>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</si>
  <si>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</si>
  <si>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</si>
  <si>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</si>
  <si>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</si>
  <si>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</si>
  <si>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</si>
  <si>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</si>
  <si>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</si>
  <si>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</si>
  <si>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</si>
  <si>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</si>
  <si>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</si>
  <si>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</si>
  <si>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</si>
  <si>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</si>
  <si>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</si>
  <si>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</si>
  <si>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</si>
  <si>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</si>
  <si>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</si>
  <si>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</si>
  <si>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</si>
  <si>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</si>
  <si>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</si>
  <si>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</si>
  <si>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</si>
  <si>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</si>
  <si>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</si>
  <si>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</si>
  <si>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</si>
  <si>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</si>
  <si>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</si>
  <si>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</si>
  <si>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</si>
  <si>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</si>
  <si>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</si>
  <si>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</si>
  <si>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</si>
  <si>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</si>
  <si>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</si>
  <si>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</si>
  <si>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</si>
  <si>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</si>
  <si>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</si>
  <si>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</si>
  <si>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</si>
  <si>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</si>
  <si>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</si>
  <si>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</si>
  <si>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</si>
  <si>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</si>
  <si>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</si>
  <si>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怀柔区怀柔镇张各长村(东区20号)两限房项目</t>
  </si>
  <si>
    <t>2009-06-29</t>
  </si>
  <si>
    <t>北京市怀东伟业房地产开发有限公司</t>
  </si>
  <si>
    <t>怀柔区龙山路东侧商业居住项目用地</t>
  </si>
  <si>
    <t>2009-04-27</t>
  </si>
  <si>
    <t>北京安宝房地产开发有限公司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</si>
  <si>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</si>
  <si>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</si>
  <si>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</si>
  <si>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</si>
  <si>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</si>
  <si>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</si>
  <si>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</si>
  <si>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</si>
  <si>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</si>
  <si>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</si>
  <si>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</si>
  <si>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</si>
  <si>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</si>
  <si>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</si>
  <si>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</si>
  <si>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</si>
  <si>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</si>
  <si>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</si>
  <si>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</si>
  <si>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</si>
  <si>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</si>
  <si>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</si>
  <si>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</si>
  <si>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</si>
  <si>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</si>
  <si>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</si>
  <si>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</si>
  <si>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</si>
  <si>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</si>
  <si>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</si>
  <si>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</si>
  <si>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</si>
  <si>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</si>
  <si>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</si>
  <si>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</si>
  <si>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</si>
  <si>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</si>
  <si>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</si>
  <si>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按租金收入计税</t>
  </si>
  <si>
    <t>钢混</t>
  </si>
  <si>
    <t>住宅</t>
    <phoneticPr fontId="26" type="noConversion"/>
  </si>
  <si>
    <t>住宅、商业</t>
  </si>
  <si>
    <t>住宅、商业</t>
    <phoneticPr fontId="26" type="noConversion"/>
  </si>
  <si>
    <t>全部共有产权</t>
    <phoneticPr fontId="26" type="noConversion"/>
  </si>
  <si>
    <t>否</t>
  </si>
  <si>
    <t>高速路</t>
    <phoneticPr fontId="26" type="noConversion"/>
  </si>
  <si>
    <t>快速路</t>
    <phoneticPr fontId="26" type="noConversion"/>
  </si>
  <si>
    <t>主干道</t>
    <phoneticPr fontId="26" type="noConversion"/>
  </si>
  <si>
    <t>次干道</t>
  </si>
  <si>
    <t>次干道</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</si>
  <si>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</si>
  <si>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</si>
  <si>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</si>
  <si>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</si>
  <si>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</si>
  <si>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</si>
  <si>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</si>
  <si>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三通</t>
  </si>
  <si>
    <t>六通</t>
  </si>
  <si>
    <t>七通</t>
  </si>
  <si>
    <t>较好</t>
  </si>
  <si>
    <t>较好</t>
    <phoneticPr fontId="26" type="noConversion"/>
  </si>
  <si>
    <t>全部共有产权房</t>
    <phoneticPr fontId="26" type="noConversion"/>
  </si>
  <si>
    <t>较差</t>
  </si>
  <si>
    <t>不临街</t>
  </si>
  <si>
    <t>支路</t>
  </si>
  <si>
    <t>支路</t>
    <phoneticPr fontId="26" type="noConversion"/>
  </si>
  <si>
    <t>不临街</t>
    <phoneticPr fontId="26" type="noConversion"/>
  </si>
  <si>
    <t>双面临街</t>
  </si>
  <si>
    <t>多面临街</t>
  </si>
  <si>
    <t>剩余法-待开发</t>
  </si>
  <si>
    <t>比较法-住宅、综合</t>
  </si>
  <si>
    <t>楼面地价</t>
  </si>
  <si>
    <t>地下车库</t>
    <phoneticPr fontId="27" type="noConversion"/>
  </si>
  <si>
    <t>售价</t>
  </si>
  <si>
    <t>40-50（含）</t>
  </si>
  <si>
    <t>简单装修</t>
  </si>
  <si>
    <t>简单装修</t>
    <phoneticPr fontId="27" type="noConversion"/>
  </si>
  <si>
    <t>专业物业管理</t>
  </si>
  <si>
    <t>专业物业管理</t>
    <phoneticPr fontId="27" type="noConversion"/>
  </si>
  <si>
    <t>平面车位</t>
  </si>
  <si>
    <t>平面车位</t>
    <phoneticPr fontId="27" type="noConversion"/>
  </si>
  <si>
    <t>否</t>
    <phoneticPr fontId="27" type="noConversion"/>
  </si>
  <si>
    <t>红杉一品</t>
    <phoneticPr fontId="3" type="noConversion"/>
  </si>
  <si>
    <t>中国铁建顺鑫汇</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</si>
  <si>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</si>
  <si>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</si>
  <si>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</si>
  <si>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</si>
  <si>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</si>
  <si>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仓储</t>
  </si>
  <si>
    <t>戊类库房</t>
  </si>
  <si>
    <t>地下仓储</t>
  </si>
  <si>
    <t>地下仓储</t>
    <phoneticPr fontId="7" type="noConversion"/>
  </si>
  <si>
    <t>押一</t>
  </si>
  <si>
    <t>土地（套用方法）</t>
  </si>
  <si>
    <t>元/车位</t>
  </si>
  <si>
    <t>办公</t>
    <phoneticPr fontId="27" type="noConversion"/>
  </si>
  <si>
    <t>东港鑫座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</si>
</sst>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0" fillId="6" borderId="0" xfId="0" applyFill="1" applyAlignment="1"/>
    <xf numFmtId="0" fontId="158" fillId="0" borderId="0" xfId="0" applyFont="1" applyAlignment="1"/>
    <xf numFmtId="0" fontId="86"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18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656972</xdr:colOff>
      <xdr:row>5</xdr:row>
      <xdr:rowOff>66560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28572" cy="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xdr:colOff>
      <xdr:row>0</xdr:row>
      <xdr:rowOff>0</xdr:rowOff>
    </xdr:from>
    <xdr:to>
      <xdr:col>22</xdr:col>
      <xdr:colOff>190501</xdr:colOff>
      <xdr:row>29</xdr:row>
      <xdr:rowOff>3650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1" y="0"/>
          <a:ext cx="4991100" cy="494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295275</xdr:colOff>
      <xdr:row>20</xdr:row>
      <xdr:rowOff>52675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3481675"/>
        </a:xfrm>
        <a:prstGeom prst="rect">
          <a:avLst/>
        </a:prstGeom>
      </xdr:spPr>
    </xdr:pic>
    <xdr:clientData/>
  </xdr:twoCellAnchor>
  <xdr:twoCellAnchor editAs="oneCell">
    <xdr:from>
      <xdr:col>0</xdr:col>
      <xdr:colOff>0</xdr:colOff>
      <xdr:row>21</xdr:row>
      <xdr:rowOff>1</xdr:rowOff>
    </xdr:from>
    <xdr:to>
      <xdr:col>12</xdr:col>
      <xdr:colOff>92653</xdr:colOff>
      <xdr:row>43</xdr:row>
      <xdr:rowOff>57151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8322253" cy="3829050"/>
        </a:xfrm>
        <a:prstGeom prst="rect">
          <a:avLst/>
        </a:prstGeom>
      </xdr:spPr>
    </xdr:pic>
    <xdr:clientData/>
  </xdr:twoCellAnchor>
  <xdr:twoCellAnchor editAs="oneCell">
    <xdr:from>
      <xdr:col>0</xdr:col>
      <xdr:colOff>1</xdr:colOff>
      <xdr:row>45</xdr:row>
      <xdr:rowOff>1</xdr:rowOff>
    </xdr:from>
    <xdr:to>
      <xdr:col>11</xdr:col>
      <xdr:colOff>395461</xdr:colOff>
      <xdr:row>67</xdr:row>
      <xdr:rowOff>152401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715251"/>
          <a:ext cx="7939260" cy="3924300"/>
        </a:xfrm>
        <a:prstGeom prst="rect">
          <a:avLst/>
        </a:prstGeom>
      </xdr:spPr>
    </xdr:pic>
    <xdr:clientData/>
  </xdr:twoCellAnchor>
  <xdr:twoCellAnchor editAs="oneCell">
    <xdr:from>
      <xdr:col>14</xdr:col>
      <xdr:colOff>153865</xdr:colOff>
      <xdr:row>22</xdr:row>
      <xdr:rowOff>146539</xdr:rowOff>
    </xdr:from>
    <xdr:to>
      <xdr:col>28</xdr:col>
      <xdr:colOff>299438</xdr:colOff>
      <xdr:row>56</xdr:row>
      <xdr:rowOff>6976</xdr:rowOff>
    </xdr:to>
    <xdr:pic>
      <xdr:nvPicPr>
        <xdr:cNvPr id="5" name="图片 4"/>
        <xdr:cNvPicPr>
          <a:picLocks noChangeAspect="1"/>
        </xdr:cNvPicPr>
      </xdr:nvPicPr>
      <xdr:blipFill>
        <a:blip xmlns:r="http://schemas.openxmlformats.org/officeDocument/2006/relationships" r:embed="rId4"/>
        <a:stretch>
          <a:fillRect/>
        </a:stretch>
      </xdr:blipFill>
      <xdr:spPr>
        <a:xfrm>
          <a:off x="9796096" y="3853962"/>
          <a:ext cx="9787804" cy="55900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北京市北京市顺义区顺义新城第13街区SY00-0013-6010地块出让国有建设用地使用权抵押价格预评估</v>
      </c>
      <c r="AX2" s="2851"/>
      <c r="AZ2" s="2851"/>
      <c r="BA2" s="2852"/>
      <c r="BC2" s="2852"/>
    </row>
    <row r="3" spans="1:55" s="2853" customFormat="1">
      <c r="A3" s="2832" t="s">
        <v>2661</v>
      </c>
      <c r="B3" s="2835" t="str">
        <f>'预评函-封皮'!B40</f>
        <v>北京致顺房地产开发有限公司</v>
      </c>
    </row>
    <row r="4" spans="1:55" s="2834" customFormat="1">
      <c r="A4" s="2832" t="s">
        <v>2662</v>
      </c>
      <c r="B4" s="2833" t="str">
        <f>'预评函-封皮'!B46</f>
        <v>赵雯、崔锴</v>
      </c>
      <c r="N4" s="2834" t="str">
        <f>'预评函-1'!A28</f>
        <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受贵公司委托，我公司对北京市北京市顺义区顺义新城第13街区SY00-0013-6010地块出让国有建设用地使用权抵押价格进行了预评估。</v>
      </c>
      <c r="AM6" s="2857"/>
    </row>
    <row r="7" spans="1:55" s="2831" customFormat="1">
      <c r="A7" s="2832" t="s">
        <v>2657</v>
      </c>
      <c r="B7" s="2833" t="str">
        <f>'预评函-1'!A6</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2019年4月17日（评估专业人员勘察现场之日）</v>
      </c>
    </row>
    <row r="11" spans="1:55" s="2831" customFormat="1">
      <c r="A11" s="2832" t="s">
        <v>2665</v>
      </c>
      <c r="B11" s="2833" t="str">
        <f>'预评函-1'!A14</f>
        <v>根据《不动产权证书》[京（2019）顺不动产权第0005353号]，本次评估估价对象证载（地类）用途为城镇住宅用地。</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根据委托估价方介绍及评估专业人员现场勘查，本次评估估价对象实际土地开发程度为红线外市政基础设施达“七通”（即通路、通上水、通电、、、、）、宗地红线内场地平整。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根据《国有土地使用证》[]，估价对象（分摊）出让国有建设用地使用权面积为41663.44平方米。根据《建设工程规划许可证》[]、《出让合同》[]，估价对象规划建筑面积为104375.848平方米。</v>
      </c>
    </row>
    <row r="16" spans="1:55" s="2831" customFormat="1">
      <c r="A16" s="2832" t="s">
        <v>2669</v>
      </c>
      <c r="B16" s="2833" t="str">
        <f>'预评函-1'!A22</f>
        <v>本次估价对象为出让国有建设用地使用权，依据《不动产权证书》[京（2019）顺不动产权第0005353号]、，土地终止日期为住宅2088年12月9日地下车库2068年12月9日、地下仓储2068年12月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
      </c>
    </row>
    <row r="22" spans="1:48" ht="15"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估价期日：2019年4月17日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t="str">
        <f>'预评函-2'!E5</f>
        <v>城镇住宅用地</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红线外七通、宗地红线内场地平整</v>
      </c>
    </row>
    <row r="39" spans="1:2">
      <c r="A39" s="2832" t="s">
        <v>2719</v>
      </c>
      <c r="B39" s="2833" t="str">
        <f>'预评函-2'!L5</f>
        <v>红线外七通、宗地红线内场地平整</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41663.440000000002</v>
      </c>
    </row>
    <row r="44" spans="1:2">
      <c r="A44" s="2832" t="s">
        <v>2740</v>
      </c>
      <c r="B44" s="2833" t="str">
        <f>'预评函-2'!O3</f>
        <v>规划建筑面积/㎡</v>
      </c>
    </row>
    <row r="45" spans="1:2">
      <c r="A45" s="2832" t="s">
        <v>2722</v>
      </c>
      <c r="B45" s="2833">
        <f>'预评函-2'!O5</f>
        <v>104375.848</v>
      </c>
    </row>
    <row r="46" spans="1:2">
      <c r="A46" s="2832" t="s">
        <v>2723</v>
      </c>
      <c r="B46" s="2833">
        <f ca="1">'预评函-2'!P5</f>
        <v>20154</v>
      </c>
    </row>
    <row r="47" spans="1:2">
      <c r="A47" s="2832" t="s">
        <v>2724</v>
      </c>
      <c r="B47" s="2833">
        <f ca="1">'预评函-2'!Q5</f>
        <v>8045</v>
      </c>
    </row>
    <row r="48" spans="1:2">
      <c r="A48" s="2832" t="s">
        <v>2725</v>
      </c>
      <c r="B48" s="2833">
        <f ca="1">'预评函-2'!R5</f>
        <v>83969</v>
      </c>
    </row>
    <row r="49" spans="1:2">
      <c r="A49" s="2832" t="s">
        <v>2741</v>
      </c>
      <c r="B49" s="2833" t="str">
        <f>'预评函-2'!A6</f>
        <v>抵押价格</v>
      </c>
    </row>
    <row r="50" spans="1:2">
      <c r="A50" s="2832" t="s">
        <v>2726</v>
      </c>
      <c r="B50" s="2833">
        <f ca="1">'预评函-2'!R6</f>
        <v>82387</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2.基础设施条件：估价对象实际开发程度为红线外七通、宗地红线内场地平整；本次评估设定开发程度为红线外七通、宗地红线内场地平整。</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综上，本次评估估价师知悉的法定优先受偿款为人民币1582万元整。</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赵雯</v>
      </c>
    </row>
    <row r="70" spans="1:2">
      <c r="A70" s="2832" t="s">
        <v>2690</v>
      </c>
      <c r="B70" s="2839">
        <f ca="1">'预评函-3'!B20</f>
        <v>2011110090</v>
      </c>
    </row>
    <row r="71" spans="1:2">
      <c r="A71" s="2832" t="s">
        <v>2691</v>
      </c>
      <c r="B71" s="2833" t="str">
        <f>'预评函-3'!A21</f>
        <v>崔锴</v>
      </c>
    </row>
    <row r="72" spans="1:2" s="2847" customFormat="1" ht="15" thickBot="1">
      <c r="A72" s="2854" t="s">
        <v>2691</v>
      </c>
      <c r="B72" s="2860">
        <f ca="1">'预评函-3'!B21</f>
        <v>2010110070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4" width="12.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41" t="str">
        <f>IF(B10="北京市","北京市",C10)&amp;F10&amp;B16&amp;"国有建设用地使用权"&amp;B9&amp;"预评估"</f>
        <v>北京市北京市顺义区顺义新城第13街区SY00-0013-6010地块出让国有建设用地使用权抵押价格预评估</v>
      </c>
      <c r="C1" s="3242"/>
      <c r="D1" s="3242"/>
      <c r="E1" s="3242"/>
      <c r="F1" s="3242"/>
      <c r="G1" s="3242"/>
      <c r="H1" s="3242"/>
      <c r="I1" s="3243"/>
      <c r="J1" s="1677"/>
      <c r="K1" s="2418" t="str">
        <f>IF(B10="北京市","北京市",C10)&amp;F10&amp;B16&amp;"国有建设用地使用权"&amp;B9</f>
        <v>北京市北京市顺义区顺义新城第13街区SY00-0013-6010地块出让国有建设用地使用权抵押价格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北京市北京市顺义区顺义新城第13街区SY00-0013-6010地块出让国有建设用地使用权</v>
      </c>
      <c r="L2" s="1706"/>
      <c r="M2" s="1706"/>
      <c r="N2" s="1677"/>
      <c r="O2" s="1678"/>
      <c r="P2" s="1677"/>
      <c r="Q2" s="1677"/>
      <c r="R2" s="1677"/>
      <c r="S2" s="1677"/>
      <c r="T2" s="1677"/>
      <c r="U2" s="1677"/>
    </row>
    <row r="3" spans="1:21">
      <c r="A3" s="1644" t="s">
        <v>1939</v>
      </c>
      <c r="B3" s="1645">
        <v>43572</v>
      </c>
      <c r="C3" s="1646" t="s">
        <v>1995</v>
      </c>
      <c r="D3" s="1645">
        <v>43572</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2993</v>
      </c>
      <c r="C4" s="1829">
        <f ca="1">SUMIF(土地估价师,B4,估价师及机构信息!E3:E24)</f>
        <v>2011110090</v>
      </c>
      <c r="D4" s="1826" t="s">
        <v>2994</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赵雯、崔锴</v>
      </c>
      <c r="L4" s="1706"/>
      <c r="M4" s="1706"/>
      <c r="N4" s="1677"/>
      <c r="O4" s="1678"/>
      <c r="P4" s="1677"/>
      <c r="Q4" s="1677"/>
      <c r="R4" s="1677"/>
      <c r="S4" s="1677"/>
      <c r="T4" s="1677"/>
      <c r="U4" s="1677"/>
    </row>
    <row r="5" spans="1:21" ht="15"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t="s">
        <v>2996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t="str">
        <f>B5</f>
        <v>北京致顺房地产开发有限公司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2997</v>
      </c>
      <c r="C8" s="1654"/>
      <c r="D8" s="3247"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48"/>
      <c r="E9" s="1657" t="s">
        <v>952</v>
      </c>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59"/>
      <c r="D10" s="1650"/>
      <c r="E10" s="1660" t="s">
        <v>1946</v>
      </c>
      <c r="F10" s="1661" t="s">
        <v>3000</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44" t="s">
        <v>3001</v>
      </c>
      <c r="C12" s="3245"/>
      <c r="D12" s="3246"/>
      <c r="E12" s="1682" t="s">
        <v>2061</v>
      </c>
      <c r="F12" s="3262" t="s">
        <v>3002</v>
      </c>
      <c r="G12" s="3263"/>
      <c r="H12" s="3263"/>
      <c r="I12" s="3264"/>
      <c r="J12" s="1677"/>
      <c r="K12" s="1757"/>
      <c r="L12" s="1706"/>
      <c r="M12" s="1706"/>
      <c r="N12" s="1677"/>
      <c r="O12" s="1678"/>
      <c r="P12" s="1677"/>
      <c r="Q12" s="1677"/>
      <c r="R12" s="1677"/>
      <c r="S12" s="1677"/>
      <c r="T12" s="1677"/>
      <c r="U12" s="1677"/>
    </row>
    <row r="13" spans="1:21">
      <c r="A13" s="1670" t="s">
        <v>2059</v>
      </c>
      <c r="B13" s="3244"/>
      <c r="C13" s="3245"/>
      <c r="D13" s="3246"/>
      <c r="E13" s="1682" t="s">
        <v>2061</v>
      </c>
      <c r="F13" s="3262"/>
      <c r="G13" s="3263"/>
      <c r="H13" s="3263"/>
      <c r="I13" s="3264"/>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2989</v>
      </c>
      <c r="C16" s="1682" t="s">
        <v>1948</v>
      </c>
      <c r="D16" s="2609" t="s">
        <v>1949</v>
      </c>
      <c r="E16" s="1705"/>
      <c r="F16" s="1705"/>
      <c r="G16" s="1705" t="s">
        <v>35</v>
      </c>
      <c r="H16" s="1705" t="s">
        <v>3214</v>
      </c>
      <c r="I16" s="1669" t="s">
        <v>1954</v>
      </c>
      <c r="J16" s="1677"/>
      <c r="K16" s="2419" t="str">
        <f>IF(D17="","",D16&amp;TEXT(D17,"yyyy年m月d日;;"))</f>
        <v>住宅2088年12月9日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地下车库2068年12月9日</v>
      </c>
      <c r="R16" s="1682" t="str">
        <f>IF(OR(Q16="",S16=""),"","、")</f>
        <v>、</v>
      </c>
      <c r="S16" s="2419" t="str">
        <f>IF(H17="","",H16&amp;TEXT(H17,"yyyy年m月d日;;"))</f>
        <v>地下仓储2068年12月9日</v>
      </c>
      <c r="T16" s="1682" t="str">
        <f>IF(OR(S16="",U16=""),"","、")</f>
        <v/>
      </c>
      <c r="U16" s="2419" t="str">
        <f>IF(I17="","",I16&amp;TEXT(I17,"yyyy年m月d日;;"))</f>
        <v/>
      </c>
    </row>
    <row r="17" spans="1:21">
      <c r="A17" s="1746"/>
      <c r="B17" s="1665"/>
      <c r="C17" s="1666" t="s">
        <v>1955</v>
      </c>
      <c r="D17" s="1683">
        <v>69011</v>
      </c>
      <c r="E17" s="1683"/>
      <c r="F17" s="1683"/>
      <c r="G17" s="1683">
        <v>61706</v>
      </c>
      <c r="H17" s="1683">
        <f>G17</f>
        <v>61706</v>
      </c>
      <c r="I17" s="1683"/>
      <c r="J17" s="1677"/>
      <c r="K17" s="2418" t="str">
        <f>CONCATENATE(K16,L16,M16,N16,O16,P16,Q16,R16,S16,T16,,U16)</f>
        <v>住宅2088年12月9日地下车库2068年12月9日、地下仓储2068年12月9日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v>50</v>
      </c>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69.69</v>
      </c>
      <c r="E19" s="1668" t="str">
        <f>IF(B16="出让",IF(E17="","",ROUNDDOWN(MIN((E17-$D$3)/365,E18),2)),E18)</f>
        <v/>
      </c>
      <c r="F19" s="1668" t="str">
        <f>IF(B16="出让",IF(F17="","",ROUNDDOWN(MIN((F17-$D$3)/365,F18),2)),F18)</f>
        <v/>
      </c>
      <c r="G19" s="1668">
        <f>IF(B16="出让",IF(G17="","",ROUNDDOWN(MIN((G17-$D$3)/365,G18),2)),G18)</f>
        <v>49.68</v>
      </c>
      <c r="H19" s="1668">
        <f>IF(B16="出让",IF(H17="","",ROUNDDOWN(MIN((H17-$D$3)/365,H18),2)),H18)</f>
        <v>49.68</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9"/>
      <c r="E20" s="3260"/>
      <c r="F20" s="3260"/>
      <c r="G20" s="3260"/>
      <c r="H20" s="3260"/>
      <c r="I20" s="3261"/>
      <c r="J20" s="1677"/>
      <c r="K20" s="1757"/>
      <c r="L20" s="1706"/>
      <c r="M20" s="1706"/>
      <c r="N20" s="1677"/>
      <c r="O20" s="1678"/>
      <c r="P20" s="1677"/>
      <c r="Q20" s="1677"/>
      <c r="R20" s="1677"/>
      <c r="S20" s="1677"/>
      <c r="T20" s="1677"/>
      <c r="U20" s="1677"/>
    </row>
    <row r="21" spans="1:21">
      <c r="A21" s="1746" t="s">
        <v>1958</v>
      </c>
      <c r="B21" s="1747" t="s">
        <v>1959</v>
      </c>
      <c r="C21" s="1742">
        <f>'数据-汇总表'!E3</f>
        <v>104375.848</v>
      </c>
      <c r="D21" s="1743" t="s">
        <v>1960</v>
      </c>
      <c r="E21" s="3249" t="s">
        <v>1998</v>
      </c>
      <c r="F21" s="3250"/>
      <c r="G21" s="3250"/>
      <c r="H21" s="3250"/>
      <c r="I21" s="3251"/>
      <c r="J21" s="1677"/>
      <c r="K21" s="1757"/>
      <c r="L21" s="1706"/>
      <c r="M21" s="1706"/>
      <c r="N21" s="1677"/>
      <c r="O21" s="1678"/>
      <c r="P21" s="1677"/>
      <c r="Q21" s="1677"/>
      <c r="R21" s="1677"/>
      <c r="S21" s="1677"/>
      <c r="T21" s="1677"/>
      <c r="U21" s="1677"/>
    </row>
    <row r="22" spans="1:21">
      <c r="A22" s="3096" t="s">
        <v>952</v>
      </c>
      <c r="B22" s="1644" t="s">
        <v>1961</v>
      </c>
      <c r="C22" s="1669">
        <f>'数据-汇总表'!D3</f>
        <v>41663.440000000002</v>
      </c>
      <c r="D22" s="1670" t="s">
        <v>1960</v>
      </c>
      <c r="E22" s="3249" t="s">
        <v>2889</v>
      </c>
      <c r="F22" s="3250"/>
      <c r="G22" s="3250"/>
      <c r="H22" s="3250"/>
      <c r="I22" s="3251"/>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2" t="s">
        <v>1966</v>
      </c>
      <c r="C24" s="3253"/>
      <c r="D24" s="3254" t="s">
        <v>1967</v>
      </c>
      <c r="E24" s="3255"/>
      <c r="F24" s="1691" t="s">
        <v>1968</v>
      </c>
      <c r="G24" s="1677"/>
      <c r="H24" s="1677"/>
      <c r="I24" s="1690"/>
      <c r="J24" s="1677"/>
      <c r="K24" s="3240"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4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4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26" t="s">
        <v>2001</v>
      </c>
      <c r="B31" s="1747" t="s">
        <v>2002</v>
      </c>
      <c r="C31" s="3265" t="s">
        <v>3003</v>
      </c>
      <c r="D31" s="3266"/>
      <c r="E31" s="1677"/>
      <c r="F31" s="1677"/>
      <c r="G31" s="1677"/>
      <c r="H31" s="1677"/>
      <c r="I31" s="1690"/>
      <c r="J31" s="1677"/>
      <c r="K31" s="2421"/>
      <c r="L31" s="1677"/>
      <c r="M31" s="1677"/>
      <c r="N31" s="1677"/>
      <c r="O31" s="1677"/>
      <c r="P31" s="1677"/>
      <c r="Q31" s="1677"/>
      <c r="R31" s="1677"/>
      <c r="S31" s="1677"/>
      <c r="T31" s="1677"/>
      <c r="U31" s="1677"/>
    </row>
    <row r="32" spans="1:21">
      <c r="A32" s="3226"/>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6"/>
      <c r="B33" s="1644" t="s">
        <v>2004</v>
      </c>
      <c r="C33" s="1704" t="s">
        <v>3004</v>
      </c>
      <c r="D33" s="1821"/>
      <c r="E33" s="1677"/>
      <c r="F33" s="1677"/>
      <c r="G33" s="1677"/>
      <c r="H33" s="1677"/>
      <c r="I33" s="1690"/>
      <c r="J33" s="1677"/>
      <c r="K33" s="2421"/>
      <c r="L33" s="1677"/>
      <c r="M33" s="1677"/>
      <c r="N33" s="1677"/>
      <c r="O33" s="1677"/>
      <c r="P33" s="1677"/>
      <c r="Q33" s="1677"/>
      <c r="R33" s="1677"/>
      <c r="S33" s="1677"/>
      <c r="T33" s="1677"/>
      <c r="U33" s="1677"/>
    </row>
    <row r="34" spans="1:21">
      <c r="A34" s="3227"/>
      <c r="B34" s="1644" t="s">
        <v>2005</v>
      </c>
      <c r="C34" s="3228" t="s">
        <v>3006</v>
      </c>
      <c r="D34" s="3229"/>
      <c r="E34" s="1677"/>
      <c r="F34" s="1677"/>
      <c r="G34" s="1677"/>
      <c r="H34" s="1677"/>
      <c r="I34" s="1690"/>
      <c r="J34" s="1677"/>
      <c r="K34" s="2421"/>
      <c r="L34" s="1677"/>
      <c r="M34" s="1677"/>
      <c r="N34" s="1677"/>
      <c r="O34" s="1677"/>
      <c r="P34" s="1677"/>
      <c r="Q34" s="1677"/>
      <c r="R34" s="1677"/>
      <c r="S34" s="1677"/>
      <c r="T34" s="1677"/>
      <c r="U34" s="1677"/>
    </row>
    <row r="35" spans="1:21">
      <c r="A35" s="3230" t="s">
        <v>847</v>
      </c>
      <c r="B35" s="1705" t="s">
        <v>3007</v>
      </c>
      <c r="C35" s="1759" t="str">
        <f>IF(B35="场地平整","——","具体情况：")</f>
        <v>——</v>
      </c>
      <c r="D35" s="3232"/>
      <c r="E35" s="3233"/>
      <c r="F35" s="3233"/>
      <c r="G35" s="3233"/>
      <c r="H35" s="3233"/>
      <c r="I35" s="3234"/>
      <c r="J35" s="1677"/>
      <c r="K35" s="1758"/>
      <c r="L35" s="1706"/>
      <c r="M35" s="1706"/>
      <c r="N35" s="1677"/>
      <c r="O35" s="1678"/>
      <c r="P35" s="1677"/>
      <c r="Q35" s="1677"/>
      <c r="R35" s="1677"/>
      <c r="S35" s="1677"/>
      <c r="T35" s="1677"/>
      <c r="U35" s="1677"/>
    </row>
    <row r="36" spans="1:21">
      <c r="A36" s="3226"/>
      <c r="B36" s="3235" t="s">
        <v>2054</v>
      </c>
      <c r="C36" s="3236"/>
      <c r="D36" s="1775" t="s">
        <v>3008</v>
      </c>
      <c r="E36" s="3237"/>
      <c r="F36" s="3237"/>
      <c r="G36" s="1670" t="str">
        <f>IF(B35="场地未平整","估价结果处理","")</f>
        <v/>
      </c>
      <c r="H36" s="3238"/>
      <c r="I36" s="3238"/>
      <c r="J36" s="1677"/>
      <c r="K36" s="1758"/>
      <c r="L36" s="1706"/>
      <c r="M36" s="1706"/>
      <c r="N36" s="1677"/>
      <c r="O36" s="1678"/>
      <c r="P36" s="1677"/>
      <c r="Q36" s="1677"/>
      <c r="R36" s="1677"/>
      <c r="S36" s="1677"/>
      <c r="T36" s="1677"/>
      <c r="U36" s="1677"/>
    </row>
    <row r="37" spans="1:21" ht="28.5">
      <c r="A37" s="3226"/>
      <c r="B37" s="325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6"/>
      <c r="B38" s="3257"/>
      <c r="C38" s="1652" t="s">
        <v>850</v>
      </c>
      <c r="D38" s="1774">
        <f>ROUNDDOWN(MIN(('数据-取费表'!$B$2-D37)/365,D34),1)</f>
        <v>119.3</v>
      </c>
      <c r="E38" s="1710" t="s">
        <v>851</v>
      </c>
      <c r="F38" s="1677"/>
      <c r="G38" s="1677"/>
      <c r="H38" s="1677"/>
      <c r="I38" s="1690"/>
      <c r="J38" s="1677"/>
      <c r="K38" s="1758"/>
      <c r="L38" s="1677"/>
      <c r="M38" s="1677"/>
      <c r="N38" s="1677"/>
      <c r="O38" s="1677"/>
      <c r="P38" s="1677"/>
      <c r="Q38" s="1677"/>
      <c r="R38" s="1677"/>
      <c r="S38" s="1677"/>
      <c r="T38" s="1677"/>
      <c r="U38" s="1677"/>
    </row>
    <row r="39" spans="1:21">
      <c r="A39" s="3227"/>
      <c r="B39" s="325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3009</v>
      </c>
      <c r="C40" s="1673" t="s">
        <v>3010</v>
      </c>
      <c r="D40" s="1673" t="s">
        <v>3011</v>
      </c>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9" t="s">
        <v>1985</v>
      </c>
      <c r="T40" s="1714" t="str">
        <f>NUMBERSTRING(7-K40,1)&amp;"通"</f>
        <v>七通</v>
      </c>
      <c r="U40" s="1677"/>
    </row>
    <row r="41" spans="1:21">
      <c r="A41" s="1646"/>
      <c r="B41" s="3231" t="s">
        <v>1721</v>
      </c>
      <c r="C41" s="3231"/>
      <c r="D41" s="3231"/>
      <c r="E41" s="3231"/>
      <c r="F41" s="1715">
        <f>C10</f>
        <v>0</v>
      </c>
      <c r="G41" s="1677"/>
      <c r="H41" s="1677"/>
      <c r="I41" s="1690"/>
      <c r="J41" s="1677"/>
      <c r="K41" s="1682"/>
      <c r="L41" s="1679" t="str">
        <f>B40</f>
        <v>通路</v>
      </c>
      <c r="M41" s="1716" t="str">
        <f>B40&amp;"、"&amp;C40</f>
        <v>通路、通上水</v>
      </c>
      <c r="N41" s="1717" t="str">
        <f>B40&amp;"、"&amp;C40&amp;"、"&amp;D40</f>
        <v>通路、通上水、通电</v>
      </c>
      <c r="O41" s="1717" t="str">
        <f>B40&amp;"、"&amp;C40&amp;"、"&amp;D40&amp;"、"&amp;E40</f>
        <v>通路、通上水、通电、</v>
      </c>
      <c r="P41" s="1717" t="str">
        <f>B40&amp;"、"&amp;C40&amp;"、"&amp;D40&amp;"、"&amp;E40&amp;"、"&amp;F40</f>
        <v>通路、通上水、通电、、</v>
      </c>
      <c r="Q41" s="1717" t="str">
        <f>B40&amp;"、"&amp;C40&amp;"、"&amp;D40&amp;"、"&amp;E40&amp;"、"&amp;F40&amp;"、"&amp;G40</f>
        <v>通路、通上水、通电、、、</v>
      </c>
      <c r="R41" s="1717" t="str">
        <f>B40&amp;"、"&amp;C40&amp;"、"&amp;D40&amp;"、"&amp;E40&amp;"、"&amp;F40&amp;"、"&amp;G40&amp;"、"&amp;H40</f>
        <v>通路、通上水、通电、、、、</v>
      </c>
      <c r="S41" s="3239"/>
      <c r="T41" s="1716" t="str">
        <f>IF(T40="一通",L41,IF(T40="二通",M41,IF(T40="三通",N41,IF(T40="四通",O41,IF(T40="五通",P41,IF(T40="六通",Q41,R41))))))</f>
        <v>通路、通上水、通电、、、、</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1411</v>
      </c>
      <c r="C43" s="1721" t="s">
        <v>1411</v>
      </c>
      <c r="D43" s="1721" t="s">
        <v>1411</v>
      </c>
      <c r="E43" s="1721" t="s">
        <v>1411</v>
      </c>
      <c r="F43" s="1722"/>
      <c r="G43" s="1677"/>
      <c r="H43" s="1677"/>
      <c r="I43" s="1690"/>
      <c r="J43" s="1677"/>
      <c r="K43" s="1757"/>
      <c r="L43" s="1706"/>
      <c r="M43" s="1706"/>
      <c r="N43" s="1677"/>
      <c r="O43" s="1678"/>
      <c r="P43" s="1677"/>
      <c r="Q43" s="1677"/>
      <c r="R43" s="1677"/>
      <c r="S43" s="1677"/>
      <c r="T43" s="1677"/>
      <c r="U43" s="1677"/>
    </row>
    <row r="44" spans="1:21">
      <c r="A44" s="1720" t="s">
        <v>1707</v>
      </c>
      <c r="B44" s="1721" t="s">
        <v>3012</v>
      </c>
      <c r="C44" s="1721" t="s">
        <v>3012</v>
      </c>
      <c r="D44" s="1721" t="s">
        <v>3012</v>
      </c>
      <c r="E44" s="1721" t="s">
        <v>3012</v>
      </c>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3.125" style="15" customWidth="1"/>
    <col min="3" max="3" width="10.375" style="15" customWidth="1"/>
    <col min="4" max="4" width="9.125" style="15" customWidth="1"/>
    <col min="5" max="6" width="10" style="16" customWidth="1"/>
    <col min="7" max="8" width="10" style="15" customWidth="1"/>
    <col min="9" max="9" width="11.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9" width="9.5" style="15" hidden="1" customWidth="1"/>
    <col min="40" max="40" width="11.6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41663.440000000002</v>
      </c>
      <c r="B3" s="22">
        <f>IF(C3="否",G5-AT5,G5)</f>
        <v>104375.848</v>
      </c>
      <c r="C3" s="23" t="s">
        <v>3166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110675.848</v>
      </c>
      <c r="H5" s="27">
        <f t="shared" ref="H5:AT5" si="0">SUM(H13:H641)</f>
        <v>96227.297999999995</v>
      </c>
      <c r="I5" s="27">
        <f t="shared" si="0"/>
        <v>70037.847999999998</v>
      </c>
      <c r="J5" s="27">
        <f t="shared" si="0"/>
        <v>0</v>
      </c>
      <c r="K5" s="27">
        <f t="shared" si="0"/>
        <v>19258.47</v>
      </c>
      <c r="L5" s="27">
        <f t="shared" si="0"/>
        <v>0</v>
      </c>
      <c r="M5" s="27">
        <f t="shared" si="0"/>
        <v>6930.98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8148.5499999999993</v>
      </c>
      <c r="AD5" s="27">
        <f t="shared" si="0"/>
        <v>790</v>
      </c>
      <c r="AE5" s="27">
        <f t="shared" si="0"/>
        <v>0</v>
      </c>
      <c r="AF5" s="27">
        <f t="shared" si="0"/>
        <v>886.57</v>
      </c>
      <c r="AG5" s="27">
        <f t="shared" si="0"/>
        <v>0</v>
      </c>
      <c r="AH5" s="27">
        <f t="shared" si="0"/>
        <v>0</v>
      </c>
      <c r="AI5" s="27">
        <f t="shared" si="0"/>
        <v>0</v>
      </c>
      <c r="AJ5" s="27">
        <f t="shared" si="0"/>
        <v>0</v>
      </c>
      <c r="AK5" s="27">
        <f t="shared" si="0"/>
        <v>0</v>
      </c>
      <c r="AL5" s="27">
        <f t="shared" si="0"/>
        <v>0</v>
      </c>
      <c r="AM5" s="27">
        <f t="shared" si="0"/>
        <v>0</v>
      </c>
      <c r="AN5" s="27">
        <f t="shared" si="0"/>
        <v>6471.98</v>
      </c>
      <c r="AO5" s="27">
        <f t="shared" si="0"/>
        <v>0</v>
      </c>
      <c r="AP5" s="27">
        <f t="shared" si="0"/>
        <v>0</v>
      </c>
      <c r="AQ5" s="27">
        <f t="shared" si="0"/>
        <v>0</v>
      </c>
      <c r="AR5" s="27">
        <f t="shared" si="0"/>
        <v>0</v>
      </c>
      <c r="AS5" s="27">
        <f t="shared" si="0"/>
        <v>0</v>
      </c>
      <c r="AT5" s="27">
        <f t="shared" si="0"/>
        <v>6300</v>
      </c>
      <c r="AU5" s="988"/>
      <c r="AV5" s="26" t="s">
        <v>168</v>
      </c>
      <c r="AW5" s="989"/>
      <c r="AX5" s="989"/>
      <c r="AY5" s="28" t="s">
        <v>3</v>
      </c>
      <c r="AZ5" s="29">
        <f t="shared" ref="AZ5:BT5" si="1">SUM(AZ13:AZ641)</f>
        <v>104375.848</v>
      </c>
      <c r="BA5" s="29">
        <f t="shared" si="1"/>
        <v>96227.297999999995</v>
      </c>
      <c r="BB5" s="29">
        <f t="shared" si="1"/>
        <v>70037.847999999998</v>
      </c>
      <c r="BC5" s="29">
        <f t="shared" si="1"/>
        <v>19258.47</v>
      </c>
      <c r="BD5" s="29">
        <f t="shared" si="1"/>
        <v>6930.98</v>
      </c>
      <c r="BE5" s="29">
        <f t="shared" si="1"/>
        <v>0</v>
      </c>
      <c r="BF5" s="29">
        <f t="shared" si="1"/>
        <v>0</v>
      </c>
      <c r="BG5" s="29">
        <f t="shared" si="1"/>
        <v>0</v>
      </c>
      <c r="BH5" s="29">
        <f t="shared" si="1"/>
        <v>0</v>
      </c>
      <c r="BI5" s="29">
        <f t="shared" si="1"/>
        <v>0</v>
      </c>
      <c r="BJ5" s="29">
        <f t="shared" si="1"/>
        <v>0</v>
      </c>
      <c r="BK5" s="29">
        <f t="shared" si="1"/>
        <v>0</v>
      </c>
      <c r="BL5" s="29">
        <f t="shared" si="1"/>
        <v>8148.5499999999993</v>
      </c>
      <c r="BM5" s="29">
        <f t="shared" si="1"/>
        <v>790</v>
      </c>
      <c r="BN5" s="29">
        <f t="shared" si="1"/>
        <v>886.57</v>
      </c>
      <c r="BO5" s="29">
        <f t="shared" si="1"/>
        <v>0</v>
      </c>
      <c r="BP5" s="29">
        <f t="shared" si="1"/>
        <v>0</v>
      </c>
      <c r="BQ5" s="29">
        <f t="shared" si="1"/>
        <v>0</v>
      </c>
      <c r="BR5" s="29">
        <f t="shared" si="1"/>
        <v>6471.98</v>
      </c>
      <c r="BS5" s="29">
        <f t="shared" si="1"/>
        <v>0</v>
      </c>
      <c r="BT5" s="30">
        <f t="shared" si="1"/>
        <v>0</v>
      </c>
    </row>
    <row r="6" spans="1:72" s="37" customFormat="1" ht="12.75">
      <c r="A6" s="26" t="s">
        <v>169</v>
      </c>
      <c r="B6" s="31"/>
      <c r="C6" s="31"/>
      <c r="D6" s="32"/>
      <c r="E6" s="27">
        <f>H6+AC6+AT6</f>
        <v>41663.43</v>
      </c>
      <c r="F6" s="27" t="s">
        <v>1</v>
      </c>
      <c r="G6" s="27" t="s">
        <v>2</v>
      </c>
      <c r="H6" s="33">
        <f>SUMIF(I$12:AB$12,"总值",I6:AB6)</f>
        <v>38410.800000000003</v>
      </c>
      <c r="I6" s="27">
        <f t="shared" ref="I6:AB6" si="2">ROUND($A$3*I5/$B$3,2)</f>
        <v>27956.83</v>
      </c>
      <c r="J6" s="27">
        <f t="shared" si="2"/>
        <v>0</v>
      </c>
      <c r="K6" s="27">
        <f t="shared" si="2"/>
        <v>7687.35</v>
      </c>
      <c r="L6" s="27">
        <f t="shared" si="2"/>
        <v>0</v>
      </c>
      <c r="M6" s="27">
        <f t="shared" si="2"/>
        <v>2766.62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3252.63</v>
      </c>
      <c r="AD6" s="27">
        <f t="shared" ref="AD6:AS6" si="3">ROUND($A$3*AD5/$B$3,2)</f>
        <v>315.33999999999997</v>
      </c>
      <c r="AE6" s="27">
        <f t="shared" si="3"/>
        <v>0</v>
      </c>
      <c r="AF6" s="27">
        <f t="shared" si="3"/>
        <v>353.89</v>
      </c>
      <c r="AG6" s="27">
        <f t="shared" si="3"/>
        <v>0</v>
      </c>
      <c r="AH6" s="27">
        <f t="shared" si="3"/>
        <v>0</v>
      </c>
      <c r="AI6" s="27">
        <f t="shared" si="3"/>
        <v>0</v>
      </c>
      <c r="AJ6" s="27">
        <f t="shared" si="3"/>
        <v>0</v>
      </c>
      <c r="AK6" s="27">
        <f t="shared" si="3"/>
        <v>0</v>
      </c>
      <c r="AL6" s="27">
        <f t="shared" si="3"/>
        <v>0</v>
      </c>
      <c r="AM6" s="27">
        <f t="shared" si="3"/>
        <v>0</v>
      </c>
      <c r="AN6" s="27">
        <f t="shared" si="3"/>
        <v>2583.4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41663.440000000002</v>
      </c>
      <c r="AZ6" s="27" t="s">
        <v>3</v>
      </c>
      <c r="BA6" s="27">
        <f>ROUND($AY$6*BA5/$AZ$5,2)</f>
        <v>38410.800000000003</v>
      </c>
      <c r="BB6" s="27">
        <f>ROUND($AY$6*BB5/$AZ$5,2)</f>
        <v>27956.83</v>
      </c>
      <c r="BC6" s="27">
        <f t="shared" ref="BC6:BH6" si="4">ROUND($AY$6*BC5/$AZ$5,2)</f>
        <v>7687.35</v>
      </c>
      <c r="BD6" s="27">
        <f t="shared" si="4"/>
        <v>2766.62</v>
      </c>
      <c r="BE6" s="27">
        <f t="shared" si="4"/>
        <v>0</v>
      </c>
      <c r="BF6" s="27">
        <f t="shared" si="4"/>
        <v>0</v>
      </c>
      <c r="BG6" s="27">
        <f t="shared" si="4"/>
        <v>0</v>
      </c>
      <c r="BH6" s="27">
        <f t="shared" si="4"/>
        <v>0</v>
      </c>
      <c r="BI6" s="27">
        <f t="shared" ref="BI6:BT6" si="5">ROUND($AY$6*BI5/$AZ$5,2)</f>
        <v>0</v>
      </c>
      <c r="BJ6" s="27">
        <f t="shared" si="5"/>
        <v>0</v>
      </c>
      <c r="BK6" s="27">
        <f t="shared" si="5"/>
        <v>0</v>
      </c>
      <c r="BL6" s="27">
        <f t="shared" si="5"/>
        <v>3252.64</v>
      </c>
      <c r="BM6" s="27">
        <f t="shared" si="5"/>
        <v>315.33999999999997</v>
      </c>
      <c r="BN6" s="27">
        <f t="shared" si="5"/>
        <v>353.89</v>
      </c>
      <c r="BO6" s="27">
        <f t="shared" si="5"/>
        <v>0</v>
      </c>
      <c r="BP6" s="27">
        <f t="shared" si="5"/>
        <v>0</v>
      </c>
      <c r="BQ6" s="27">
        <f t="shared" si="5"/>
        <v>0</v>
      </c>
      <c r="BR6" s="27">
        <f t="shared" si="5"/>
        <v>2583.4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3013</v>
      </c>
      <c r="J9" s="51"/>
      <c r="K9" s="2970" t="s">
        <v>3015</v>
      </c>
      <c r="L9" s="51"/>
      <c r="M9" s="2970"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3016</v>
      </c>
      <c r="L10" s="51"/>
      <c r="M10" s="2972" t="s">
        <v>3212</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3005</v>
      </c>
      <c r="J11" s="71"/>
      <c r="K11" s="2971" t="s">
        <v>3016</v>
      </c>
      <c r="L11" s="71"/>
      <c r="M11" s="70" t="s">
        <v>3213</v>
      </c>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共有产权房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41663.440000000002</v>
      </c>
      <c r="F13" s="81"/>
      <c r="G13" s="82">
        <f t="shared" ref="G13:G20" si="7">H13+AC13+AT13</f>
        <v>110675.848</v>
      </c>
      <c r="H13" s="33">
        <f t="shared" ref="H13:H20" si="8">SUMIF(I$12:AB$12,"总值",I13:AB13)</f>
        <v>96227.297999999995</v>
      </c>
      <c r="I13" s="3184">
        <v>70037.847999999998</v>
      </c>
      <c r="J13" s="2969"/>
      <c r="K13" s="2969">
        <f>25558.47-AT13</f>
        <v>19258.47</v>
      </c>
      <c r="L13" s="2969"/>
      <c r="M13" s="2969">
        <v>6930.98</v>
      </c>
      <c r="N13" s="83"/>
      <c r="O13" s="83"/>
      <c r="P13" s="83"/>
      <c r="Q13" s="83"/>
      <c r="R13" s="83"/>
      <c r="S13" s="83"/>
      <c r="T13" s="83"/>
      <c r="U13" s="83"/>
      <c r="V13" s="83"/>
      <c r="W13" s="83"/>
      <c r="X13" s="83"/>
      <c r="Y13" s="83"/>
      <c r="Z13" s="83"/>
      <c r="AA13" s="83"/>
      <c r="AB13" s="83"/>
      <c r="AC13" s="27">
        <f t="shared" ref="AC13:AC20" si="9">SUMIF(AD$12:AS$12,"总值",AD13:AS13)</f>
        <v>8148.5499999999993</v>
      </c>
      <c r="AD13" s="2973">
        <v>790</v>
      </c>
      <c r="AE13" s="2973"/>
      <c r="AF13" s="2973">
        <v>886.57</v>
      </c>
      <c r="AG13" s="2973"/>
      <c r="AH13" s="2973"/>
      <c r="AI13" s="2973"/>
      <c r="AJ13" s="2973"/>
      <c r="AK13" s="2973"/>
      <c r="AL13" s="2973"/>
      <c r="AM13" s="2973"/>
      <c r="AN13" s="2973">
        <v>6471.98</v>
      </c>
      <c r="AO13" s="2973"/>
      <c r="AP13" s="2973"/>
      <c r="AQ13" s="2973"/>
      <c r="AR13" s="2973"/>
      <c r="AS13" s="2973"/>
      <c r="AT13" s="2974">
        <v>6300</v>
      </c>
      <c r="AU13" s="2975"/>
      <c r="AV13" s="17">
        <f t="shared" ref="AV13:AX20" si="10">A13</f>
        <v>0</v>
      </c>
      <c r="AW13" s="17">
        <f t="shared" si="10"/>
        <v>0</v>
      </c>
      <c r="AX13" s="17">
        <f t="shared" si="10"/>
        <v>0</v>
      </c>
      <c r="AY13" s="996">
        <f t="shared" ref="AY13:AY20" si="11">ROUND($AY$6*AZ13/$AZ$5,2)</f>
        <v>41663.440000000002</v>
      </c>
      <c r="AZ13" s="27">
        <f t="shared" ref="AZ13:AZ20" si="12">BA13+BL13</f>
        <v>104375.848</v>
      </c>
      <c r="BA13" s="27">
        <f t="shared" ref="BA13:BA20" si="13">SUM(BB13:BK13)</f>
        <v>96227.297999999995</v>
      </c>
      <c r="BB13" s="27">
        <f t="shared" ref="BB13:BB20" si="14">IF($D13="是",I13-J13,0)</f>
        <v>70037.847999999998</v>
      </c>
      <c r="BC13" s="27">
        <f t="shared" ref="BC13:BC20" si="15">IF($D13="是",K13-L13,0)</f>
        <v>19258.47</v>
      </c>
      <c r="BD13" s="27">
        <f t="shared" ref="BD13:BD20" si="16">IF($D13="是",M13-N13,0)</f>
        <v>6930.98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8148.5499999999993</v>
      </c>
      <c r="BM13" s="27">
        <f t="shared" ref="BM13:BM20" si="25">IF($D13="是",AD13-AE13,0)</f>
        <v>790</v>
      </c>
      <c r="BN13" s="27">
        <f t="shared" ref="BN13:BN20" si="26">IF($D13="是",AF13-AG13,0)</f>
        <v>886.57</v>
      </c>
      <c r="BO13" s="27">
        <f t="shared" ref="BO13:BO20" si="27">IF($D13="是",AH13-AI13,0)</f>
        <v>0</v>
      </c>
      <c r="BP13" s="27">
        <f t="shared" ref="BP13:BP20" si="28">IF($D13="是",AJ13-AK13,0)</f>
        <v>0</v>
      </c>
      <c r="BQ13" s="27">
        <f t="shared" ref="BQ13:BQ20" si="29">IF($D13="是",AL13-AM13,0)</f>
        <v>0</v>
      </c>
      <c r="BR13" s="27">
        <f t="shared" ref="BR13:BR20" si="30">IF($D13="是",AN13-AO13,0)</f>
        <v>6471.98</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C13" zoomScaleNormal="100" zoomScaleSheetLayoutView="90" workbookViewId="0">
      <selection activeCell="F22" sqref="F2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4.12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8" t="s">
        <v>203</v>
      </c>
      <c r="B2" s="3278"/>
      <c r="C2" s="3278"/>
      <c r="D2" s="1959" t="s">
        <v>204</v>
      </c>
      <c r="E2" s="106" t="s">
        <v>205</v>
      </c>
      <c r="F2" s="1968"/>
      <c r="G2" s="1194"/>
      <c r="H2" s="1195"/>
      <c r="I2" s="1196" t="s">
        <v>857</v>
      </c>
      <c r="J2" s="1968"/>
      <c r="K2" s="1968"/>
      <c r="L2" s="1968"/>
    </row>
    <row r="3" spans="1:16" ht="15.75" thickBot="1">
      <c r="A3" s="3279" t="s">
        <v>206</v>
      </c>
      <c r="B3" s="3279"/>
      <c r="C3" s="3279"/>
      <c r="D3" s="107">
        <f>'数据-基础表'!AY6</f>
        <v>41663.440000000002</v>
      </c>
      <c r="E3" s="107">
        <f>'数据-基础表'!AZ5</f>
        <v>104375.848</v>
      </c>
      <c r="F3" s="1968"/>
      <c r="G3" s="280" t="s">
        <v>858</v>
      </c>
      <c r="H3" s="275" t="s">
        <v>859</v>
      </c>
      <c r="I3" s="1960">
        <f>ROUND('数据-基础表'!B3/'数据-基础表'!A3,2)</f>
        <v>2.5099999999999998</v>
      </c>
      <c r="J3" s="1968"/>
      <c r="K3" s="1968"/>
      <c r="L3" s="1968"/>
    </row>
    <row r="4" spans="1:16" ht="15">
      <c r="A4" s="3280"/>
      <c r="B4" s="3281"/>
      <c r="C4" s="3282"/>
      <c r="D4" s="108" t="s">
        <v>204</v>
      </c>
      <c r="E4" s="109" t="s">
        <v>205</v>
      </c>
      <c r="F4" s="1968"/>
      <c r="G4" s="1197"/>
      <c r="H4" s="275" t="s">
        <v>860</v>
      </c>
      <c r="I4" s="1960">
        <f>ROUND(SUMIF('数据-基础表'!I9:AS9,"地上",'数据-基础表'!I5:AS5)/'数据-基础表'!A3,2)</f>
        <v>1.7</v>
      </c>
      <c r="J4" s="1968"/>
      <c r="K4" s="1968"/>
      <c r="L4" s="1968"/>
    </row>
    <row r="5" spans="1:16">
      <c r="A5" s="110" t="s">
        <v>207</v>
      </c>
      <c r="B5" s="3283" t="s">
        <v>230</v>
      </c>
      <c r="C5" s="3283"/>
      <c r="D5" s="111">
        <f>ROUND($D$3*E5/$E$3,2)</f>
        <v>27956.83</v>
      </c>
      <c r="E5" s="112">
        <f>SUMIF('数据-基础表'!$11:$11,"住宅",'数据-基础表'!$5:$5)</f>
        <v>70037.847999999998</v>
      </c>
      <c r="F5" s="1968"/>
      <c r="G5" s="280" t="s">
        <v>861</v>
      </c>
      <c r="H5" s="275" t="s">
        <v>859</v>
      </c>
      <c r="I5" s="1960">
        <f>ROUND(E31/D31,2)</f>
        <v>2.5099999999999998</v>
      </c>
      <c r="J5" s="1968"/>
      <c r="K5" s="1968"/>
      <c r="L5" s="1968"/>
    </row>
    <row r="6" spans="1:16" ht="15" thickBot="1">
      <c r="A6" s="113"/>
      <c r="B6" s="3283" t="s">
        <v>208</v>
      </c>
      <c r="C6" s="3283"/>
      <c r="D6" s="111">
        <f>ROUND($D$3*E6/$E$3,2)</f>
        <v>13706.61</v>
      </c>
      <c r="E6" s="112">
        <f>E3-E5</f>
        <v>34338</v>
      </c>
      <c r="F6" s="1968"/>
      <c r="G6" s="1197"/>
      <c r="H6" s="275" t="s">
        <v>860</v>
      </c>
      <c r="I6" s="1960">
        <f>ROUND(F31/D31,2)</f>
        <v>1.7</v>
      </c>
      <c r="J6" s="1968"/>
      <c r="K6" s="1968"/>
      <c r="L6" s="1968"/>
    </row>
    <row r="7" spans="1:16" ht="15">
      <c r="A7" s="3275"/>
      <c r="B7" s="3276"/>
      <c r="C7" s="3277"/>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27956.83</v>
      </c>
      <c r="E8" s="116">
        <f>SUMIF('数据-基础表'!BB10:BK10,"地上",'数据-基础表'!BB5:BK5)</f>
        <v>70037.847999999998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2766.62</v>
      </c>
      <c r="E12" s="116">
        <f>SUMPRODUCT(('数据-基础表'!BB10:BK10="地下")*('数据-基础表'!BB11:BK11="仓储")*('数据-基础表'!BB5:BK5))</f>
        <v>6930.98</v>
      </c>
      <c r="F12" s="1968"/>
      <c r="G12" s="1970"/>
      <c r="H12" s="1970"/>
      <c r="I12" s="1968"/>
      <c r="J12" s="1968"/>
      <c r="K12" s="1968"/>
      <c r="L12" s="1968"/>
    </row>
    <row r="13" spans="1:16">
      <c r="A13" s="117"/>
      <c r="B13" s="118"/>
      <c r="C13" s="2315" t="s">
        <v>2334</v>
      </c>
      <c r="D13" s="111">
        <f t="shared" si="0"/>
        <v>7687.35</v>
      </c>
      <c r="E13" s="116">
        <f>SUMPRODUCT(('数据-基础表'!BB10:BK10="地下")*('数据-基础表'!BB11:BK11="车库")*('数据-基础表'!BB5:BK5))</f>
        <v>19258.47</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38410.800000000003</v>
      </c>
      <c r="E16" s="120">
        <f>SUM(E8:E15)</f>
        <v>96227.297999999995</v>
      </c>
      <c r="F16" s="1968"/>
      <c r="G16" s="1970"/>
      <c r="H16" s="968" t="s">
        <v>219</v>
      </c>
      <c r="I16" s="969"/>
      <c r="J16" s="1968"/>
      <c r="K16" s="3269" t="s">
        <v>2566</v>
      </c>
      <c r="L16" s="3270"/>
      <c r="M16" s="3270"/>
      <c r="N16" s="3270"/>
      <c r="O16" s="3270"/>
      <c r="P16" s="3271"/>
    </row>
    <row r="17" spans="1:19" ht="15">
      <c r="A17" s="121" t="s">
        <v>216</v>
      </c>
      <c r="B17" s="122" t="s">
        <v>217</v>
      </c>
      <c r="C17" s="2282" t="s">
        <v>2313</v>
      </c>
      <c r="D17" s="108" t="s">
        <v>204</v>
      </c>
      <c r="E17" s="124" t="s">
        <v>205</v>
      </c>
      <c r="F17" s="125"/>
      <c r="G17" s="1362"/>
      <c r="H17" s="970" t="s">
        <v>218</v>
      </c>
      <c r="I17" s="971" t="s">
        <v>2312</v>
      </c>
      <c r="J17" s="1968"/>
      <c r="K17" s="3272" t="s">
        <v>2567</v>
      </c>
      <c r="L17" s="3273"/>
      <c r="M17" s="3274"/>
      <c r="N17" s="3272" t="s">
        <v>2568</v>
      </c>
      <c r="O17" s="3273"/>
      <c r="P17" s="3274"/>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3017</v>
      </c>
      <c r="D19" s="111">
        <f t="shared" ref="D19:D26" si="1">ROUND($D$3*E19/$E$3,2)</f>
        <v>27956.83</v>
      </c>
      <c r="E19" s="134">
        <f t="shared" ref="E19:E26" si="2">SUM(F19:G19)</f>
        <v>70037.847999999998</v>
      </c>
      <c r="F19" s="135">
        <f>'数据-基础表'!I13</f>
        <v>70037.847999999998</v>
      </c>
      <c r="G19" s="1364"/>
      <c r="H19" s="974">
        <f>ROUND($D$3*I19/$E$3,2)</f>
        <v>1880.3</v>
      </c>
      <c r="I19" s="116">
        <f>IF($I$17="自定义",P19,M19)</f>
        <v>4710.55</v>
      </c>
      <c r="J19" s="1968"/>
      <c r="K19" s="2571">
        <f t="shared" ref="K19:K26" si="3">ROUND(E$28*E19/E$27,2)</f>
        <v>4710.55</v>
      </c>
      <c r="L19" s="275">
        <f t="shared" ref="L19:L26" si="4">ROUND(IF(COUNTIF(C19,"*住宅*")&gt;0,E$29*E19/E$32,0),2)</f>
        <v>0</v>
      </c>
      <c r="M19" s="2572">
        <f>K19+L19</f>
        <v>4710.55</v>
      </c>
      <c r="N19" s="2573"/>
      <c r="O19" s="2574"/>
      <c r="P19" s="2575">
        <f>N19+O19</f>
        <v>0</v>
      </c>
      <c r="R19" s="275">
        <f t="shared" ref="R19:S26" si="5">D19+H19</f>
        <v>29837.13</v>
      </c>
      <c r="S19" s="2285">
        <f t="shared" si="5"/>
        <v>74748.398000000001</v>
      </c>
    </row>
    <row r="20" spans="1:19">
      <c r="A20" s="138"/>
      <c r="B20" s="115" t="s">
        <v>226</v>
      </c>
      <c r="C20" s="2976" t="s">
        <v>3018</v>
      </c>
      <c r="D20" s="111">
        <f t="shared" si="1"/>
        <v>7687.35</v>
      </c>
      <c r="E20" s="134">
        <f t="shared" si="2"/>
        <v>19258.47</v>
      </c>
      <c r="F20" s="135"/>
      <c r="G20" s="1364">
        <f>'数据-基础表'!K13</f>
        <v>19258.47</v>
      </c>
      <c r="H20" s="974">
        <f t="shared" ref="H20:H26" si="6">ROUND($D$3*I20/$E$3,2)</f>
        <v>517.03</v>
      </c>
      <c r="I20" s="116">
        <f t="shared" ref="I20:I26" si="7">IF($I$17="自定义",P20,M20)</f>
        <v>1295.27</v>
      </c>
      <c r="J20" s="1968"/>
      <c r="K20" s="2571">
        <f t="shared" si="3"/>
        <v>1295.27</v>
      </c>
      <c r="L20" s="275">
        <f t="shared" si="4"/>
        <v>0</v>
      </c>
      <c r="M20" s="2572">
        <f t="shared" ref="M20:M26" si="8">K20+L20</f>
        <v>1295.27</v>
      </c>
      <c r="N20" s="2573"/>
      <c r="O20" s="2574"/>
      <c r="P20" s="2575">
        <f t="shared" ref="P20:P26" si="9">N20+O20</f>
        <v>0</v>
      </c>
      <c r="R20" s="275">
        <f t="shared" si="5"/>
        <v>8204.380000000001</v>
      </c>
      <c r="S20" s="2285">
        <f t="shared" si="5"/>
        <v>20553.740000000002</v>
      </c>
    </row>
    <row r="21" spans="1:19">
      <c r="A21" s="138"/>
      <c r="B21" s="115" t="s">
        <v>226</v>
      </c>
      <c r="C21" s="2976" t="s">
        <v>3215</v>
      </c>
      <c r="D21" s="111">
        <f t="shared" si="1"/>
        <v>2766.62</v>
      </c>
      <c r="E21" s="134">
        <f t="shared" si="2"/>
        <v>6930.98</v>
      </c>
      <c r="F21" s="135"/>
      <c r="G21" s="1364">
        <f>'数据-基础表'!M13</f>
        <v>6930.98</v>
      </c>
      <c r="H21" s="974">
        <f t="shared" si="6"/>
        <v>186.08</v>
      </c>
      <c r="I21" s="116">
        <f t="shared" si="7"/>
        <v>466.16</v>
      </c>
      <c r="J21" s="1968"/>
      <c r="K21" s="2571">
        <f t="shared" si="3"/>
        <v>466.16</v>
      </c>
      <c r="L21" s="275">
        <f t="shared" si="4"/>
        <v>0</v>
      </c>
      <c r="M21" s="2572">
        <f t="shared" si="8"/>
        <v>466.16</v>
      </c>
      <c r="N21" s="2573"/>
      <c r="O21" s="2574"/>
      <c r="P21" s="2575">
        <f t="shared" si="9"/>
        <v>0</v>
      </c>
      <c r="R21" s="275">
        <f t="shared" si="5"/>
        <v>2952.7</v>
      </c>
      <c r="S21" s="2285">
        <f t="shared" si="5"/>
        <v>7397.1399999999994</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215</v>
      </c>
      <c r="D27" s="134">
        <f>SUM(D19:D26)</f>
        <v>38410.800000000003</v>
      </c>
      <c r="E27" s="143">
        <f>IF(SUM(E19:E26)='数据-基础表'!BA5,SUM(E19:E26),IF(F27="地上面积有误","面积有误","地下面积有误"))</f>
        <v>96227.297999999995</v>
      </c>
      <c r="F27" s="134">
        <f>IF(SUM(F19:F26)=E8,SUM(F19:F26),"地上面积有误")</f>
        <v>70037.847999999998</v>
      </c>
      <c r="G27" s="112">
        <f>SUM(G19:G26)</f>
        <v>26189.45</v>
      </c>
      <c r="H27" s="975">
        <f>SUM(H19:H26)</f>
        <v>2583.41</v>
      </c>
      <c r="I27" s="976">
        <f>SUM(I19:I26)</f>
        <v>6471.98</v>
      </c>
      <c r="J27" s="1968"/>
      <c r="K27" s="2580">
        <f>SUM(K19:K26)</f>
        <v>6471.98</v>
      </c>
      <c r="L27" s="2581">
        <f>SUM(L19:L26)</f>
        <v>0</v>
      </c>
      <c r="M27" s="2582">
        <f>SUM(M19:M26)</f>
        <v>6471.98</v>
      </c>
      <c r="N27" s="2580">
        <f t="shared" ref="N27:O27" si="10">SUM(N19:N26)</f>
        <v>0</v>
      </c>
      <c r="O27" s="2581">
        <f t="shared" si="10"/>
        <v>0</v>
      </c>
      <c r="P27" s="2583">
        <f>SUM(P19:P26)</f>
        <v>0</v>
      </c>
      <c r="R27" s="2289" t="str">
        <f>IF(SUM(R19:R26)=$D$3,SUM(R19:R26),SUM(R19:R26)&amp;"误差"&amp;ROUND(SUM(R19:R26)-$D$3,2))</f>
        <v>40994.21误差-669.23</v>
      </c>
      <c r="S27" s="275" t="str">
        <f>IF(SUM(S19:S26)=$E$3,SUM(S19:S26),SUM(S19:S26)&amp;"误差"&amp;ROUND(SUM(S19:S26)-E3,2))</f>
        <v>102699.278误差-1676.57</v>
      </c>
    </row>
    <row r="28" spans="1:19">
      <c r="A28" s="138"/>
      <c r="B28" s="115" t="s">
        <v>227</v>
      </c>
      <c r="C28" s="136" t="s">
        <v>228</v>
      </c>
      <c r="D28" s="111">
        <f>ROUND($D$3*E28/$E$3,2)</f>
        <v>2583.4</v>
      </c>
      <c r="E28" s="134">
        <f>SUM(F28:G28)</f>
        <v>6471.98</v>
      </c>
      <c r="F28" s="144">
        <f>'数据-基础表'!BQ5+'数据-基础表'!BS5</f>
        <v>0</v>
      </c>
      <c r="G28" s="145">
        <f>'数据-基础表'!BR5+'数据-基础表'!BT5</f>
        <v>6471.98</v>
      </c>
      <c r="H28" s="1968"/>
      <c r="I28" s="1968"/>
      <c r="J28" s="1968"/>
      <c r="K28" s="1968"/>
      <c r="L28" s="1968"/>
    </row>
    <row r="29" spans="1:19">
      <c r="A29" s="138"/>
      <c r="B29" s="115" t="s">
        <v>227</v>
      </c>
      <c r="C29" s="2297" t="s">
        <v>2320</v>
      </c>
      <c r="D29" s="111">
        <f>ROUND($D$3*E29/$E$3,2)</f>
        <v>669.23</v>
      </c>
      <c r="E29" s="134">
        <f>SUM(F29:G29)</f>
        <v>1676.5700000000002</v>
      </c>
      <c r="F29" s="144">
        <f>'数据-基础表'!BM5+'数据-基础表'!BO5</f>
        <v>790</v>
      </c>
      <c r="G29" s="146">
        <f>'数据-基础表'!BN5+'数据-基础表'!BP5</f>
        <v>886.57</v>
      </c>
      <c r="H29" s="1968"/>
      <c r="I29" s="1968"/>
      <c r="J29" s="1968"/>
      <c r="K29" s="1968"/>
      <c r="L29" s="1968"/>
    </row>
    <row r="30" spans="1:19">
      <c r="A30" s="138"/>
      <c r="B30" s="111"/>
      <c r="C30" s="147" t="s">
        <v>215</v>
      </c>
      <c r="D30" s="134">
        <f>SUM(D28:D29)</f>
        <v>3252.63</v>
      </c>
      <c r="E30" s="134">
        <f>SUM(E28:E29)</f>
        <v>8148.5499999999993</v>
      </c>
      <c r="F30" s="134">
        <f>SUM(F28:F29)</f>
        <v>790</v>
      </c>
      <c r="G30" s="112">
        <f>SUM(G28:G29)</f>
        <v>7358.5499999999993</v>
      </c>
      <c r="H30" s="1968"/>
      <c r="I30" s="1968"/>
      <c r="J30" s="1968"/>
      <c r="K30" s="1968"/>
      <c r="L30" s="1968"/>
    </row>
    <row r="31" spans="1:19" ht="32.25" customHeight="1" thickBot="1">
      <c r="A31" s="1366"/>
      <c r="B31" s="1367" t="s">
        <v>229</v>
      </c>
      <c r="C31" s="2314" t="s">
        <v>2322</v>
      </c>
      <c r="D31" s="1368">
        <f>D27+D30</f>
        <v>41663.43</v>
      </c>
      <c r="E31" s="1368">
        <f>E27+E30</f>
        <v>104375.848</v>
      </c>
      <c r="F31" s="1369">
        <f>F27+F30</f>
        <v>70827.847999999998</v>
      </c>
      <c r="G31" s="1370">
        <f>G27+G30</f>
        <v>33548</v>
      </c>
      <c r="H31" s="1968"/>
      <c r="I31" s="1968"/>
      <c r="J31" s="1968"/>
      <c r="K31" s="1968"/>
      <c r="L31" s="1968"/>
    </row>
    <row r="32" spans="1:19">
      <c r="A32" s="1968"/>
      <c r="B32" s="2326" t="s">
        <v>2321</v>
      </c>
      <c r="C32" s="2610"/>
      <c r="D32" s="1197"/>
      <c r="E32" s="1197">
        <f>SUMIF(C19:C26,"*住宅*",E19:E26)</f>
        <v>0</v>
      </c>
      <c r="F32" s="1197"/>
      <c r="G32" s="1197"/>
    </row>
    <row r="33" spans="4:6">
      <c r="D33" s="1972"/>
    </row>
    <row r="35" spans="4:6">
      <c r="F35" s="3197">
        <f>E31-E29</f>
        <v>102699.27799999999</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7" sqref="N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43572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共有产权房</v>
      </c>
      <c r="B6" s="2321" t="str">
        <f>IF(A6=0,"","经营性")</f>
        <v>经营性</v>
      </c>
      <c r="C6" s="173" t="s">
        <v>923</v>
      </c>
      <c r="D6" s="2292">
        <f>SUMIF(项目基本情况!D$15:I$15,C6,项目基本情况!D$18:I$18)</f>
        <v>70</v>
      </c>
      <c r="E6" s="2293">
        <f>IF(B6="","",SUMIF(项目基本情况!D$15:I$15,C6,项目基本情况!D$17:I$17))</f>
        <v>69011</v>
      </c>
      <c r="F6" s="174">
        <f>SUMIF(项目基本情况!D$15:I$15,C6,项目基本情况!D$19:I$19)</f>
        <v>69.69</v>
      </c>
      <c r="G6" s="175">
        <f>IF(ISERROR(ROUND(POWER(1+H6,D6-F6)*(POWER(1+H6,F6)-1)/(POWER(1+H6,D6)-1),3)),0,ROUND(POWER(1+H6,D6-F6)*(POWER(1+H6,F6)-1)/(POWER(1+H6,D6)-1),3))</f>
        <v>0.999</v>
      </c>
      <c r="H6" s="2977">
        <v>0.04</v>
      </c>
      <c r="I6" s="2977">
        <v>4.4999999999999998E-2</v>
      </c>
      <c r="J6" s="176">
        <v>8.5000000000000006E-2</v>
      </c>
      <c r="K6" s="179">
        <f>SUMIF('数据-汇总表'!C$19:C$33,'数据-取费表'!A6,'数据-汇总表'!E$19:E$33)</f>
        <v>70037.847999999998</v>
      </c>
      <c r="L6" s="2978">
        <v>4500</v>
      </c>
      <c r="M6" s="177">
        <f t="shared" ref="M6:M14" si="0">ROUND(K6*L6/10000,0)</f>
        <v>31517</v>
      </c>
      <c r="N6" s="2979">
        <v>0</v>
      </c>
      <c r="O6" s="177">
        <f>IF($N$5="成新度","——",ROUND(M6*N6,0))</f>
        <v>0</v>
      </c>
      <c r="P6" s="178">
        <f>IF($N$5="成新度","——",M6-O6)</f>
        <v>31517</v>
      </c>
      <c r="Q6" s="2980">
        <v>0.15</v>
      </c>
      <c r="R6" s="179">
        <f>SUMIF('数据-汇总表'!C$19:C$33,A6,'数据-汇总表'!R$19:R$33)</f>
        <v>29837.13</v>
      </c>
      <c r="S6" s="132">
        <f>IF('数据-汇总表'!$I$17="按面积比例",SUMIF('数据-汇总表'!C$19:C$33,A6,'数据-汇总表'!K$19:K$33),SUMIF('数据-汇总表'!C$19:C$33,A6,'数据-汇总表'!N$19:N$33))</f>
        <v>4710.55</v>
      </c>
      <c r="T6" s="2218">
        <f>IF($T$4="按面积比例",IF(ISERROR(ROUND($M$14*S6/S$16,0)),"0",ROUND($M$14*S6/S$16,0)),"需自行计算录入")</f>
        <v>2119</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地下车库</v>
      </c>
      <c r="B7" s="2321" t="str">
        <f t="shared" ref="B7:B13" si="1">IF(A7=0,"","经营性")</f>
        <v>经营性</v>
      </c>
      <c r="C7" s="173" t="s">
        <v>3016</v>
      </c>
      <c r="D7" s="2292">
        <f>SUMIF(项目基本情况!D$15:I$15,C7,项目基本情况!D$18:I$18)</f>
        <v>50</v>
      </c>
      <c r="E7" s="2293">
        <f>IF(B7="","",SUMIF(项目基本情况!D$15:I$15,C7,项目基本情况!D$17:I$17))</f>
        <v>61706</v>
      </c>
      <c r="F7" s="174">
        <f>SUMIF(项目基本情况!D$15:I$15,C7,项目基本情况!D$19:I$19)</f>
        <v>49.68</v>
      </c>
      <c r="G7" s="175">
        <f t="shared" ref="G7:G11" si="2">IF(ISERROR(ROUND(POWER(1+H7,D7-F7)*(POWER(1+H7,F7)-1)/(POWER(1+H7,D7)-1),3)),0,ROUND(POWER(1+H7,D7-F7)*(POWER(1+H7,F7)-1)/(POWER(1+H7,D7)-1),3))</f>
        <v>0.998</v>
      </c>
      <c r="H7" s="2977">
        <v>4.4999999999999998E-2</v>
      </c>
      <c r="I7" s="2977">
        <v>0.05</v>
      </c>
      <c r="J7" s="176">
        <v>8.5000000000000006E-2</v>
      </c>
      <c r="K7" s="179">
        <f>SUMIF('数据-汇总表'!C$19:C$33,'数据-取费表'!A7,'数据-汇总表'!E$19:E$33)</f>
        <v>19258.47</v>
      </c>
      <c r="L7" s="2978">
        <f>L6</f>
        <v>4500</v>
      </c>
      <c r="M7" s="177">
        <f t="shared" si="0"/>
        <v>8666</v>
      </c>
      <c r="N7" s="2979">
        <v>0</v>
      </c>
      <c r="O7" s="177">
        <f t="shared" ref="O7:O14" si="3">IF($N$5="成新度","——",ROUND(M7*N7,0))</f>
        <v>0</v>
      </c>
      <c r="P7" s="178">
        <f t="shared" ref="P7:P14" si="4">IF($N$5="成新度","——",M7-O7)</f>
        <v>8666</v>
      </c>
      <c r="Q7" s="2980">
        <v>0.05</v>
      </c>
      <c r="R7" s="179">
        <f>SUMIF('数据-汇总表'!C$19:C$33,A7,'数据-汇总表'!R$19:R$33)</f>
        <v>8204.380000000001</v>
      </c>
      <c r="S7" s="132">
        <f>IF('数据-汇总表'!$I$17="按面积比例",SUMIF('数据-汇总表'!C$19:C$33,A7,'数据-汇总表'!K$19:K$33),SUMIF('数据-汇总表'!C$19:C$33,A7,'数据-汇总表'!N$19:N$33))</f>
        <v>1295.27</v>
      </c>
      <c r="T7" s="2218">
        <f t="shared" ref="T7:T13" si="5">IF($T$4="按面积比例",IF(ISERROR(ROUND($M$14*S7/S$16,0)),"0",ROUND($M$14*S7/S$16,0)),"需自行计算录入")</f>
        <v>583</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v>649</v>
      </c>
      <c r="AI7" s="187"/>
      <c r="AJ7" s="188"/>
      <c r="AK7" s="189"/>
      <c r="AL7" s="190"/>
      <c r="AM7" s="2353"/>
      <c r="AN7" s="2355"/>
      <c r="AO7" s="1984"/>
      <c r="AP7" s="1200">
        <f t="shared" ref="AP7:AP13" si="8">ROUND(1-1/(1+H7)^F7,3)</f>
        <v>0.88800000000000001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地下仓储</v>
      </c>
      <c r="B8" s="2321" t="str">
        <f t="shared" si="1"/>
        <v>经营性</v>
      </c>
      <c r="C8" s="173" t="s">
        <v>3212</v>
      </c>
      <c r="D8" s="2292">
        <f>SUMIF(项目基本情况!D$15:I$15,C8,项目基本情况!D$18:I$18)</f>
        <v>50</v>
      </c>
      <c r="E8" s="2293">
        <f>IF(B8="","",SUMIF(项目基本情况!D$15:I$15,C8,项目基本情况!D$17:I$17))</f>
        <v>61706</v>
      </c>
      <c r="F8" s="174">
        <f>SUMIF(项目基本情况!D$15:I$15,C8,项目基本情况!D$19:I$19)</f>
        <v>49.68</v>
      </c>
      <c r="G8" s="175">
        <f t="shared" si="2"/>
        <v>0.998</v>
      </c>
      <c r="H8" s="2977">
        <v>4.4999999999999998E-2</v>
      </c>
      <c r="I8" s="2977">
        <v>0.05</v>
      </c>
      <c r="J8" s="176">
        <v>8.5000000000000006E-2</v>
      </c>
      <c r="K8" s="179">
        <f>SUMIF('数据-汇总表'!C$19:C$33,'数据-取费表'!A8,'数据-汇总表'!E$19:E$33)</f>
        <v>6930.98</v>
      </c>
      <c r="L8" s="2978">
        <f>L6</f>
        <v>4500</v>
      </c>
      <c r="M8" s="177">
        <f>ROUND(K8*L8/10000,0)</f>
        <v>3119</v>
      </c>
      <c r="N8" s="2979">
        <v>0</v>
      </c>
      <c r="O8" s="177">
        <f t="shared" si="3"/>
        <v>0</v>
      </c>
      <c r="P8" s="178">
        <f t="shared" si="4"/>
        <v>3119</v>
      </c>
      <c r="Q8" s="2980">
        <v>0.05</v>
      </c>
      <c r="R8" s="179">
        <f>SUMIF('数据-汇总表'!C$19:C$33,A8,'数据-汇总表'!R$19:R$33)</f>
        <v>2952.7</v>
      </c>
      <c r="S8" s="132">
        <f>IF('数据-汇总表'!$I$17="按面积比例",SUMIF('数据-汇总表'!C$19:C$33,A8,'数据-汇总表'!K$19:K$33),SUMIF('数据-汇总表'!C$19:C$33,A8,'数据-汇总表'!N$19:N$33))</f>
        <v>466.16</v>
      </c>
      <c r="T8" s="2218">
        <f t="shared" si="5"/>
        <v>210</v>
      </c>
      <c r="U8" s="3196">
        <v>1.5</v>
      </c>
      <c r="V8" s="181">
        <v>2.5000000000000001E-2</v>
      </c>
      <c r="W8" s="181">
        <v>0.1</v>
      </c>
      <c r="X8" s="2305"/>
      <c r="Y8" s="182">
        <v>1</v>
      </c>
      <c r="Z8" s="183"/>
      <c r="AA8" s="176"/>
      <c r="AB8" s="176"/>
      <c r="AC8" s="2308"/>
      <c r="AD8" s="184"/>
      <c r="AE8" s="972">
        <f t="shared" ca="1" si="6"/>
        <v>47.18</v>
      </c>
      <c r="AF8" s="141"/>
      <c r="AG8" s="1209">
        <f t="shared" si="7"/>
        <v>0</v>
      </c>
      <c r="AH8" s="141"/>
      <c r="AI8" s="187">
        <v>365</v>
      </c>
      <c r="AJ8" s="188"/>
      <c r="AK8" s="189">
        <v>5.0000000000000001E-3</v>
      </c>
      <c r="AL8" s="190">
        <v>1E-3</v>
      </c>
      <c r="AM8" s="2353">
        <v>0.01</v>
      </c>
      <c r="AN8" s="2355" t="s">
        <v>3019</v>
      </c>
      <c r="AO8" s="1984"/>
      <c r="AP8" s="1200">
        <f t="shared" si="8"/>
        <v>0.88800000000000001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6471.98</v>
      </c>
      <c r="L14" s="193">
        <f>L6</f>
        <v>4500</v>
      </c>
      <c r="M14" s="177">
        <f t="shared" si="0"/>
        <v>2912</v>
      </c>
      <c r="N14" s="194">
        <v>0</v>
      </c>
      <c r="O14" s="177">
        <f t="shared" si="3"/>
        <v>0</v>
      </c>
      <c r="P14" s="178">
        <f t="shared" si="4"/>
        <v>2912</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1676.5700000000002</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104375.848</v>
      </c>
      <c r="L16" s="206">
        <f>ROUND(M16*10000/SUM(K6:K14),0)</f>
        <v>4500</v>
      </c>
      <c r="M16" s="206">
        <f>SUM(M6:M14)</f>
        <v>46214</v>
      </c>
      <c r="N16" s="207">
        <f>ROUND(SUMPRODUCT(M6:M14,N6:N14)/M16,3)</f>
        <v>0</v>
      </c>
      <c r="O16" s="206">
        <f>SUM(O6:O14)</f>
        <v>0</v>
      </c>
      <c r="P16" s="206">
        <f>SUM(P6:P14)</f>
        <v>46214</v>
      </c>
      <c r="Q16" s="208">
        <f>ROUND(SUMPRODUCT(Q6:Q13,K6:K13)/SUMPRODUCT((Q6:Q13&gt;0)*(K6:K13)),2)</f>
        <v>0.12</v>
      </c>
      <c r="R16" s="2295">
        <f>SUM(R6:R13)</f>
        <v>40994.21</v>
      </c>
      <c r="S16" s="209">
        <f>SUM(S6:S13)</f>
        <v>6471.98</v>
      </c>
      <c r="T16" s="210">
        <f>IF(SUMIF(T6:T13,"&lt;9E307")=M14,SUMIF(T6:T13,"&lt;9E307"),"有误，请检查")</f>
        <v>2912</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f>K7/AH7</f>
        <v>29.674067796610171</v>
      </c>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4" t="s">
        <v>1663</v>
      </c>
      <c r="B1" s="3285"/>
      <c r="C1" s="3285"/>
      <c r="D1" s="3285"/>
      <c r="E1" s="3285"/>
      <c r="F1" s="3285"/>
      <c r="G1" s="3285"/>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1.25">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1.25">
      <c r="A5" s="1225"/>
      <c r="B5" s="1227" t="s">
        <v>1669</v>
      </c>
      <c r="C5" s="3033" t="s">
        <v>2922</v>
      </c>
      <c r="D5" s="1993"/>
      <c r="E5" s="1228"/>
      <c r="F5" s="1227" t="s">
        <v>2546</v>
      </c>
      <c r="G5" s="3034" t="s">
        <v>2917</v>
      </c>
      <c r="H5" s="1992"/>
      <c r="I5" s="1992"/>
      <c r="J5" s="1992"/>
      <c r="K5" s="1992"/>
      <c r="L5" s="1992"/>
      <c r="M5" s="1992"/>
      <c r="N5" s="1992"/>
      <c r="O5" s="1992"/>
      <c r="P5" s="1992"/>
      <c r="Q5" s="1992"/>
      <c r="R5" s="1992"/>
    </row>
    <row r="6" spans="1:18" ht="54">
      <c r="A6" s="1225"/>
      <c r="B6" s="1227" t="s">
        <v>1655</v>
      </c>
      <c r="C6" s="3034" t="s">
        <v>2916</v>
      </c>
      <c r="D6" s="1993"/>
      <c r="E6" s="1228"/>
      <c r="F6" s="1227" t="s">
        <v>2547</v>
      </c>
      <c r="G6" s="3034" t="s">
        <v>2914</v>
      </c>
      <c r="H6" s="1992"/>
      <c r="I6" s="1992"/>
      <c r="J6" s="1992"/>
      <c r="K6" s="1992"/>
      <c r="L6" s="1992"/>
      <c r="M6" s="1992"/>
      <c r="N6" s="1992"/>
      <c r="O6" s="1992"/>
      <c r="P6" s="1992"/>
      <c r="Q6" s="1992"/>
      <c r="R6" s="1992"/>
    </row>
    <row r="7" spans="1:18" ht="41.25" thickBot="1">
      <c r="A7" s="1225"/>
      <c r="B7" s="1227" t="s">
        <v>2546</v>
      </c>
      <c r="C7" s="3034" t="s">
        <v>2917</v>
      </c>
      <c r="D7" s="1994"/>
      <c r="E7" s="1230"/>
      <c r="F7" s="1231" t="s">
        <v>1670</v>
      </c>
      <c r="G7" s="3037" t="s">
        <v>2918</v>
      </c>
      <c r="H7" s="1992"/>
      <c r="I7" s="1992"/>
      <c r="J7" s="1992"/>
      <c r="K7" s="1992"/>
      <c r="L7" s="1992"/>
      <c r="M7" s="1992"/>
      <c r="N7" s="1992"/>
      <c r="O7" s="1992"/>
      <c r="P7" s="1992"/>
      <c r="Q7" s="1992"/>
      <c r="R7" s="1992"/>
    </row>
    <row r="8" spans="1:18" ht="27">
      <c r="A8" s="1225"/>
      <c r="B8" s="1227" t="s">
        <v>2547</v>
      </c>
      <c r="C8" s="3034" t="s">
        <v>2914</v>
      </c>
      <c r="D8" s="1994"/>
      <c r="E8" s="1994"/>
      <c r="F8" s="1539"/>
      <c r="G8" s="1539"/>
      <c r="H8" s="1992"/>
      <c r="I8" s="1992"/>
      <c r="J8" s="1992"/>
      <c r="K8" s="1992"/>
      <c r="L8" s="1992"/>
      <c r="M8" s="1992"/>
      <c r="N8" s="1992"/>
      <c r="O8" s="1992"/>
      <c r="P8" s="1992"/>
      <c r="Q8" s="1992"/>
      <c r="R8" s="1992"/>
    </row>
    <row r="9" spans="1:18" ht="40.5">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2547</v>
      </c>
      <c r="G20" s="1005" t="str">
        <f>G6</f>
        <v>估价对象所在区域基础设施水平</v>
      </c>
    </row>
    <row r="21" spans="1:7" ht="27">
      <c r="A21" s="2552"/>
      <c r="B21" s="1227" t="s">
        <v>2546</v>
      </c>
      <c r="C21" s="1005" t="str">
        <f>C7</f>
        <v>估价对象所在区域公共配套设施齐备情况</v>
      </c>
      <c r="D21" s="1993"/>
      <c r="E21" s="2549"/>
      <c r="F21" s="1243" t="s">
        <v>1661</v>
      </c>
      <c r="G21" s="3038"/>
    </row>
    <row r="22" spans="1:7" ht="27">
      <c r="A22" s="2552"/>
      <c r="B22" s="1227" t="s">
        <v>2547</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104375.848</v>
      </c>
      <c r="C1" s="2997"/>
      <c r="D1" s="2997"/>
      <c r="E1" s="2997"/>
      <c r="F1" s="2997"/>
    </row>
    <row r="2" spans="1:9" ht="16.5">
      <c r="A2" s="2996" t="s">
        <v>2845</v>
      </c>
      <c r="B2" s="2996">
        <f>SUM(C14:C23)</f>
        <v>41663.440000000002</v>
      </c>
      <c r="C2" s="2997"/>
      <c r="D2" s="2997"/>
      <c r="E2" s="2997"/>
      <c r="F2" s="2997"/>
    </row>
    <row r="3" spans="1:9" ht="16.5">
      <c r="A3" s="2996" t="s">
        <v>2846</v>
      </c>
      <c r="B3" s="2998">
        <f>项目基本情况!D3</f>
        <v>43572</v>
      </c>
      <c r="C3" s="2997"/>
      <c r="D3" s="2997"/>
      <c r="E3" s="2997"/>
      <c r="F3" s="2997"/>
    </row>
    <row r="4" spans="1:9" ht="33">
      <c r="A4" s="2996" t="s">
        <v>2847</v>
      </c>
      <c r="B4" s="2996" t="s">
        <v>2848</v>
      </c>
      <c r="C4" s="2996" t="s">
        <v>2849</v>
      </c>
      <c r="D4" s="2996" t="s">
        <v>2850</v>
      </c>
      <c r="E4" s="2997"/>
      <c r="F4" s="2997"/>
    </row>
    <row r="5" spans="1:9" ht="16.5">
      <c r="A5" s="2996" t="s">
        <v>2851</v>
      </c>
      <c r="B5" s="2996">
        <f ca="1">SUM(D14:D23)</f>
        <v>83969</v>
      </c>
      <c r="C5" s="2996">
        <f ca="1">ROUND(B5*10000/$B$1,0)</f>
        <v>8045</v>
      </c>
      <c r="D5" s="2996">
        <f ca="1">ROUND(B5*10000/$B$2,0)</f>
        <v>20154</v>
      </c>
      <c r="E5" s="2997"/>
      <c r="F5" s="2997"/>
    </row>
    <row r="6" spans="1:9" ht="16.5">
      <c r="A6" s="2996" t="s">
        <v>2852</v>
      </c>
      <c r="B6" s="2996">
        <f ca="1">SUM(G14:G23)</f>
        <v>82387</v>
      </c>
      <c r="C6" s="2996">
        <f t="shared" ref="C6:C8" ca="1" si="0">ROUND(B6*10000/$B$1,0)</f>
        <v>7893</v>
      </c>
      <c r="D6" s="2996">
        <f t="shared" ref="D6:D8" ca="1" si="1">ROUND(B6*10000/$B$2,0)</f>
        <v>19774</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104375.848</v>
      </c>
      <c r="C14" s="3000">
        <f>结果表!K38</f>
        <v>41663.440000000002</v>
      </c>
      <c r="D14" s="3000">
        <f ca="1">结果表!C42</f>
        <v>83969</v>
      </c>
      <c r="E14" s="3000">
        <f ca="1">ROUND(D14*10000/B14,0)</f>
        <v>8045</v>
      </c>
      <c r="F14" s="3000">
        <f ca="1">ROUND(D14*10000/C14,0)</f>
        <v>20154</v>
      </c>
      <c r="G14" s="3000">
        <f ca="1">结果表!C44</f>
        <v>82387</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 zoomScaleNormal="100" zoomScaleSheetLayoutView="100" zoomScalePageLayoutView="80" workbookViewId="0">
      <selection activeCell="Q22" sqref="Q22"/>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2" t="str">
        <f>项目基本情况!K2</f>
        <v>北京市北京市顺义区顺义新城第13街区SY00-0013-6010地块出让国有建设用地使用权</v>
      </c>
      <c r="B2" s="3323"/>
      <c r="C2" s="3324"/>
      <c r="D2" s="3324"/>
      <c r="E2" s="3324"/>
      <c r="F2" s="3324"/>
      <c r="G2" s="3323"/>
      <c r="H2" s="3323"/>
      <c r="I2" s="3325"/>
      <c r="J2" s="2014"/>
      <c r="K2" s="2013"/>
      <c r="L2" s="2013"/>
      <c r="M2" s="2013"/>
      <c r="N2" s="2013"/>
      <c r="O2" s="2013"/>
      <c r="P2" s="2013"/>
      <c r="Q2" s="2013"/>
      <c r="R2" s="2013"/>
      <c r="S2" s="2013"/>
      <c r="T2" s="2013"/>
      <c r="U2" s="2013"/>
      <c r="V2" s="2013"/>
    </row>
    <row r="3" spans="1:22" ht="14.25">
      <c r="A3" s="3315" t="s">
        <v>298</v>
      </c>
      <c r="B3" s="3316"/>
      <c r="C3" s="3316"/>
      <c r="D3" s="3316"/>
      <c r="E3" s="3316"/>
      <c r="F3" s="3316"/>
      <c r="G3" s="3316"/>
      <c r="H3" s="3316"/>
      <c r="I3" s="3316"/>
      <c r="J3" s="2014"/>
      <c r="K3" s="2013"/>
      <c r="L3" s="2013"/>
      <c r="M3" s="2013"/>
      <c r="N3" s="2013"/>
      <c r="O3" s="2013"/>
      <c r="P3" s="2013"/>
      <c r="Q3" s="2013"/>
      <c r="R3" s="2013"/>
      <c r="S3" s="2013"/>
      <c r="T3" s="2013"/>
      <c r="U3" s="2013"/>
      <c r="V3" s="2013"/>
    </row>
    <row r="4" spans="1:22" ht="14.25">
      <c r="A4" s="258" t="s">
        <v>299</v>
      </c>
      <c r="B4" s="259" t="s">
        <v>300</v>
      </c>
      <c r="C4" s="260" t="s">
        <v>3192</v>
      </c>
      <c r="D4" s="260" t="s">
        <v>3193</v>
      </c>
      <c r="E4" s="3287" t="s">
        <v>301</v>
      </c>
      <c r="F4" s="3288"/>
      <c r="G4" s="3288"/>
      <c r="H4" s="3288"/>
      <c r="I4" s="3317"/>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86" t="s">
        <v>302</v>
      </c>
      <c r="B5" s="3312">
        <v>25</v>
      </c>
      <c r="C5" s="3310"/>
      <c r="D5" s="3314"/>
      <c r="E5" s="261" t="s">
        <v>303</v>
      </c>
      <c r="F5" s="262"/>
      <c r="G5" s="262"/>
      <c r="H5" s="262"/>
      <c r="I5" s="263"/>
      <c r="J5" s="2014"/>
      <c r="K5" s="2013"/>
      <c r="L5" s="2013"/>
      <c r="M5" s="2013"/>
      <c r="N5" s="2013"/>
      <c r="O5" s="2013"/>
      <c r="P5" s="2013"/>
      <c r="Q5" s="2013"/>
      <c r="R5" s="2013"/>
      <c r="S5" s="2013"/>
      <c r="T5" s="2013"/>
      <c r="U5" s="2013"/>
      <c r="V5" s="2013"/>
    </row>
    <row r="6" spans="1:22" ht="14.25">
      <c r="A6" s="3286"/>
      <c r="B6" s="3312"/>
      <c r="C6" s="3313"/>
      <c r="D6" s="3314"/>
      <c r="E6" s="261" t="s">
        <v>304</v>
      </c>
      <c r="F6" s="262"/>
      <c r="G6" s="262"/>
      <c r="H6" s="262"/>
      <c r="I6" s="263"/>
      <c r="J6" s="2014"/>
      <c r="K6" s="2013"/>
      <c r="L6" s="2013"/>
      <c r="M6" s="2013"/>
      <c r="N6" s="2013"/>
      <c r="O6" s="2013"/>
      <c r="P6" s="2013"/>
      <c r="Q6" s="2013"/>
      <c r="R6" s="2013"/>
      <c r="S6" s="2013"/>
      <c r="T6" s="2013"/>
      <c r="U6" s="2013"/>
      <c r="V6" s="2013"/>
    </row>
    <row r="7" spans="1:22" ht="14.25">
      <c r="A7" s="3286"/>
      <c r="B7" s="3312"/>
      <c r="C7" s="3311"/>
      <c r="D7" s="3314"/>
      <c r="E7" s="261" t="s">
        <v>305</v>
      </c>
      <c r="F7" s="262"/>
      <c r="G7" s="262"/>
      <c r="H7" s="262"/>
      <c r="I7" s="263"/>
      <c r="J7" s="2014"/>
      <c r="K7" s="2013"/>
      <c r="L7" s="2013"/>
      <c r="M7" s="2013"/>
      <c r="N7" s="2013"/>
      <c r="O7" s="2013"/>
      <c r="P7" s="2013"/>
      <c r="Q7" s="2013"/>
      <c r="R7" s="2013"/>
      <c r="S7" s="2013"/>
      <c r="T7" s="2013"/>
      <c r="U7" s="2013"/>
      <c r="V7" s="2013"/>
    </row>
    <row r="8" spans="1:22" ht="14.25">
      <c r="A8" s="3286" t="s">
        <v>306</v>
      </c>
      <c r="B8" s="3312">
        <v>15</v>
      </c>
      <c r="C8" s="3310"/>
      <c r="D8" s="3314"/>
      <c r="E8" s="261" t="s">
        <v>307</v>
      </c>
      <c r="F8" s="262"/>
      <c r="G8" s="262"/>
      <c r="H8" s="262"/>
      <c r="I8" s="263"/>
      <c r="J8" s="2014"/>
      <c r="K8" s="2013"/>
      <c r="L8" s="2013"/>
      <c r="M8" s="2013"/>
      <c r="N8" s="2013"/>
      <c r="O8" s="2013"/>
      <c r="P8" s="2013"/>
      <c r="Q8" s="2013"/>
      <c r="R8" s="2013"/>
      <c r="S8" s="2013"/>
      <c r="T8" s="2013"/>
      <c r="U8" s="2013"/>
      <c r="V8" s="2013"/>
    </row>
    <row r="9" spans="1:22" ht="14.25">
      <c r="A9" s="3286"/>
      <c r="B9" s="3312"/>
      <c r="C9" s="3311"/>
      <c r="D9" s="3314"/>
      <c r="E9" s="261" t="s">
        <v>308</v>
      </c>
      <c r="F9" s="262"/>
      <c r="G9" s="262"/>
      <c r="H9" s="262"/>
      <c r="I9" s="263"/>
      <c r="J9" s="2014"/>
      <c r="K9" s="2013"/>
      <c r="L9" s="2013"/>
      <c r="M9" s="2013"/>
      <c r="N9" s="2013"/>
      <c r="O9" s="2013"/>
      <c r="P9" s="2013"/>
      <c r="Q9" s="2013"/>
      <c r="R9" s="2013"/>
      <c r="S9" s="2013"/>
      <c r="T9" s="2013"/>
      <c r="U9" s="2013"/>
      <c r="V9" s="2013"/>
    </row>
    <row r="10" spans="1:22" ht="14.25">
      <c r="A10" s="3286" t="s">
        <v>309</v>
      </c>
      <c r="B10" s="3312">
        <v>15</v>
      </c>
      <c r="C10" s="3310"/>
      <c r="D10" s="3314"/>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6"/>
      <c r="B11" s="3312"/>
      <c r="C11" s="3311"/>
      <c r="D11" s="3314"/>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6" t="s">
        <v>312</v>
      </c>
      <c r="B12" s="3312">
        <v>15</v>
      </c>
      <c r="C12" s="3310"/>
      <c r="D12" s="3314"/>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6"/>
      <c r="B13" s="3312"/>
      <c r="C13" s="3311"/>
      <c r="D13" s="3314"/>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6" t="s">
        <v>315</v>
      </c>
      <c r="B14" s="3312">
        <v>30</v>
      </c>
      <c r="C14" s="3310">
        <v>5</v>
      </c>
      <c r="D14" s="3314">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6"/>
      <c r="B15" s="3312"/>
      <c r="C15" s="3313"/>
      <c r="D15" s="3314"/>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6"/>
      <c r="B16" s="3312"/>
      <c r="C16" s="3311"/>
      <c r="D16" s="331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84068</v>
      </c>
      <c r="D19" s="271">
        <f ca="1">SUMIF(INDIRECT("'"&amp;D4&amp;"'"&amp;"!A:A"),结果表!B19,INDIRECT("'"&amp;D4&amp;"'"&amp;"!B:B"))</f>
        <v>83870</v>
      </c>
      <c r="E19" s="268" t="s">
        <v>323</v>
      </c>
      <c r="F19" s="269" t="s">
        <v>322</v>
      </c>
      <c r="G19" s="272">
        <f ca="1">ROUND(C19*$C$18+D19*$D$18,0)</f>
        <v>83969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8054</v>
      </c>
      <c r="D20" s="277">
        <f ca="1">SUMIF(INDIRECT("'"&amp;D4&amp;"'"&amp;"!A:A"),结果表!B20,INDIRECT("'"&amp;D4&amp;"'"&amp;"!B:B"))</f>
        <v>8035</v>
      </c>
      <c r="E20" s="274"/>
      <c r="F20" s="275" t="s">
        <v>325</v>
      </c>
      <c r="G20" s="278">
        <f ca="1">ROUND(C20*$C$18+D20*$D$18,0)</f>
        <v>8045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20178</v>
      </c>
      <c r="D21" s="151">
        <f ca="1">SUMIF(INDIRECT("'"&amp;D4&amp;"'"&amp;"!A:A"),结果表!B21,INDIRECT("'"&amp;D4&amp;"'"&amp;"!B:B"))</f>
        <v>20130</v>
      </c>
      <c r="E21" s="274"/>
      <c r="F21" s="280" t="s">
        <v>327</v>
      </c>
      <c r="G21" s="282">
        <f ca="1">ROUND(C21*$C$18+D21*$D$18,0)</f>
        <v>20154</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2.360796470728399E-3</v>
      </c>
      <c r="E22" s="284"/>
      <c r="F22" s="285"/>
      <c r="G22" s="286">
        <f ca="1">ROUND(G19/('数据-汇总表'!D3/666.67),0)</f>
        <v>1344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3"/>
      <c r="B25" s="1317" t="s">
        <v>331</v>
      </c>
      <c r="C25" s="290">
        <f>IF(B30=0,0,C30)</f>
        <v>0</v>
      </c>
      <c r="D25" s="291"/>
      <c r="E25" s="311"/>
      <c r="F25" s="311"/>
      <c r="G25" s="311"/>
      <c r="H25" s="311"/>
      <c r="I25" s="311"/>
      <c r="J25" s="2013"/>
      <c r="K25" s="1251" t="str">
        <f ca="1">项目基本情况!B16&amp;"国有建设用地使用权价格："&amp;O38&amp;"万元"</f>
        <v>出让国有建设用地使用权价格：83969万元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大写金额：人民币捌亿叁仟玖佰陆拾玖万元整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单位面积地价：20154元/平方米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楼面地价：8045元/平方米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抵押价格：82387万元</v>
      </c>
      <c r="L29" s="1248"/>
      <c r="M29" s="1248"/>
      <c r="N29" s="1248"/>
      <c r="O29" s="1247"/>
      <c r="P29" s="2013"/>
      <c r="V29" s="2013"/>
    </row>
    <row r="30" spans="1:26" ht="18.75" thickBot="1">
      <c r="A30" s="3081" t="s">
        <v>336</v>
      </c>
      <c r="B30" s="309"/>
      <c r="C30" s="309"/>
      <c r="D30" s="310"/>
      <c r="E30" s="3082" t="s">
        <v>2967</v>
      </c>
      <c r="F30" s="311"/>
      <c r="G30" s="311"/>
      <c r="H30" s="311"/>
      <c r="I30" s="311"/>
      <c r="J30" s="2013"/>
      <c r="K30" s="1254" t="str">
        <f ca="1">IF(K29="——","——","大写金额：人民币"&amp;NUMBERSTRING(INT(O39*10000),2)&amp;"元整")</f>
        <v>大写金额：人民币捌亿贰仟叁佰捌拾柒万元整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83969</v>
      </c>
      <c r="D32" s="1379" t="s">
        <v>1689</v>
      </c>
      <c r="E32" s="311"/>
      <c r="F32" s="311"/>
      <c r="G32" s="311"/>
      <c r="H32" s="311"/>
      <c r="I32" s="311"/>
      <c r="J32" s="2013"/>
      <c r="K32" s="2427" t="str">
        <f>IF(K31="——","——","大写金额：人民币"&amp;NUMBERSTRING(INT(O40*10000),2)&amp;"元整")</f>
        <v>——</v>
      </c>
      <c r="L32" s="2430"/>
      <c r="M32" s="2430"/>
      <c r="N32" s="2430"/>
      <c r="O32" s="2431"/>
      <c r="P32" s="2013"/>
      <c r="Q32" s="257">
        <v>82207</v>
      </c>
      <c r="V32" s="2013"/>
    </row>
    <row r="33" spans="1:26" ht="18.75" thickBot="1">
      <c r="A33" s="298" t="s">
        <v>340</v>
      </c>
      <c r="B33" s="1380" t="s">
        <v>1690</v>
      </c>
      <c r="C33" s="264">
        <f ca="1">ROUND(C32*10000/'数据-汇总表'!E3,0)</f>
        <v>8045</v>
      </c>
      <c r="D33" s="1381" t="s">
        <v>1691</v>
      </c>
      <c r="E33" s="3292" t="s">
        <v>338</v>
      </c>
      <c r="F33" s="296" t="s">
        <v>339</v>
      </c>
      <c r="G33" s="297"/>
      <c r="H33" s="980"/>
      <c r="I33" s="1255"/>
      <c r="J33" s="2013"/>
      <c r="K33" s="1254" t="str">
        <f>IF(项目基本情况!E9="——","——","抵押净值："&amp;C46&amp;"万元")</f>
        <v>——</v>
      </c>
      <c r="L33" s="1248"/>
      <c r="M33" s="1248"/>
      <c r="N33" s="1248"/>
      <c r="O33" s="1247"/>
      <c r="P33" s="2013"/>
      <c r="Q33" s="257">
        <v>80935</v>
      </c>
      <c r="V33" s="2013"/>
    </row>
    <row r="34" spans="1:26" s="1250" customFormat="1" ht="18.75" thickBot="1">
      <c r="A34" s="300"/>
      <c r="B34" s="1382" t="s">
        <v>1692</v>
      </c>
      <c r="C34" s="264">
        <f ca="1">ROUND(C32*10000/'数据-汇总表'!D3,0)</f>
        <v>20154</v>
      </c>
      <c r="D34" s="1383" t="s">
        <v>1691</v>
      </c>
      <c r="E34" s="3333"/>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1344</v>
      </c>
      <c r="D35" s="1386" t="s">
        <v>1693</v>
      </c>
      <c r="E35" s="3334"/>
      <c r="F35" s="301" t="s">
        <v>342</v>
      </c>
      <c r="G35" s="982">
        <f>E37+E38</f>
        <v>1582</v>
      </c>
      <c r="H35" s="981" t="s">
        <v>343</v>
      </c>
      <c r="I35" s="311"/>
      <c r="J35" s="2013"/>
      <c r="K35" s="3307" t="s">
        <v>350</v>
      </c>
      <c r="L35" s="3307" t="s">
        <v>351</v>
      </c>
      <c r="M35" s="1260" t="s">
        <v>352</v>
      </c>
      <c r="N35" s="3307" t="s">
        <v>353</v>
      </c>
      <c r="O35" s="3307" t="s">
        <v>354</v>
      </c>
      <c r="P35" s="2013"/>
      <c r="V35" s="2013"/>
    </row>
    <row r="36" spans="1:26" ht="16.5" customHeight="1">
      <c r="A36" s="303" t="s">
        <v>344</v>
      </c>
      <c r="B36" s="304" t="s">
        <v>333</v>
      </c>
      <c r="C36" s="305" t="s">
        <v>345</v>
      </c>
      <c r="D36" s="305" t="s">
        <v>346</v>
      </c>
      <c r="E36" s="306" t="s">
        <v>347</v>
      </c>
      <c r="F36" s="311"/>
      <c r="G36" s="311"/>
      <c r="H36" s="311"/>
      <c r="I36" s="311"/>
      <c r="J36" s="2015"/>
      <c r="K36" s="3308"/>
      <c r="L36" s="3308"/>
      <c r="M36" s="1262" t="s">
        <v>355</v>
      </c>
      <c r="N36" s="3308"/>
      <c r="O36" s="3308"/>
      <c r="P36" s="2013"/>
      <c r="V36" s="2013"/>
    </row>
    <row r="37" spans="1:26" ht="16.5" customHeight="1" thickBot="1">
      <c r="A37" s="1256" t="s">
        <v>348</v>
      </c>
      <c r="B37" s="307">
        <f>'数据-汇总表'!G20</f>
        <v>19258.47</v>
      </c>
      <c r="C37" s="294">
        <f>10999*0.2*0.25</f>
        <v>549.95000000000005</v>
      </c>
      <c r="D37" s="3193">
        <v>3.0499999999999999E-2</v>
      </c>
      <c r="E37" s="295">
        <f>ROUND(B37*C37*(1+D37)/10000,0)</f>
        <v>1091</v>
      </c>
      <c r="F37" s="311"/>
      <c r="G37" s="311"/>
      <c r="H37" s="311"/>
      <c r="I37" s="311"/>
      <c r="J37" s="2015"/>
      <c r="K37" s="3309"/>
      <c r="L37" s="3309"/>
      <c r="M37" s="1263"/>
      <c r="N37" s="3309"/>
      <c r="O37" s="3309"/>
      <c r="P37" s="2013"/>
      <c r="V37" s="2013"/>
    </row>
    <row r="38" spans="1:26" ht="16.5" customHeight="1" thickBot="1">
      <c r="A38" s="1256" t="s">
        <v>349</v>
      </c>
      <c r="B38" s="307">
        <f>'数据-汇总表'!G21</f>
        <v>6930.98</v>
      </c>
      <c r="C38" s="294">
        <f>10999*0.25*0.25</f>
        <v>687.4375</v>
      </c>
      <c r="D38" s="3193">
        <v>3.0499999999999999E-2</v>
      </c>
      <c r="E38" s="295">
        <f>ROUND(B38*C38*(1+D38)/10000,0)</f>
        <v>491</v>
      </c>
      <c r="F38" s="311"/>
      <c r="G38" s="311"/>
      <c r="H38" s="311"/>
      <c r="I38" s="311"/>
      <c r="J38" s="2015"/>
      <c r="K38" s="1264">
        <f>'数据-汇总表'!D3</f>
        <v>41663.440000000002</v>
      </c>
      <c r="L38" s="1265">
        <f>'数据-汇总表'!E3</f>
        <v>104375.848</v>
      </c>
      <c r="M38" s="1265">
        <f ca="1">C34</f>
        <v>20154</v>
      </c>
      <c r="N38" s="1265">
        <f ca="1">C33</f>
        <v>8045</v>
      </c>
      <c r="O38" s="1266">
        <f ca="1">C32</f>
        <v>83969</v>
      </c>
      <c r="P38" s="2013"/>
      <c r="V38" s="2013"/>
    </row>
    <row r="39" spans="1:26" ht="16.5" customHeight="1" thickBot="1">
      <c r="A39" s="1261"/>
      <c r="B39" s="308"/>
      <c r="C39" s="309"/>
      <c r="D39" s="309"/>
      <c r="E39" s="310"/>
      <c r="F39" s="311"/>
      <c r="G39" s="311"/>
      <c r="H39" s="311"/>
      <c r="I39" s="311"/>
      <c r="J39" s="2015"/>
      <c r="K39" s="3352" t="str">
        <f>MID(A44,3,LEN(A44)-2)</f>
        <v>抵押价格</v>
      </c>
      <c r="L39" s="3353"/>
      <c r="M39" s="3353"/>
      <c r="N39" s="3354"/>
      <c r="O39" s="1388">
        <f ca="1">C44</f>
        <v>82387</v>
      </c>
      <c r="P39" s="2013"/>
      <c r="V39" s="2013"/>
    </row>
    <row r="40" spans="1:26" ht="19.5" thickBot="1">
      <c r="A40" s="104" t="s">
        <v>873</v>
      </c>
      <c r="B40" s="311"/>
      <c r="C40" s="311"/>
      <c r="D40" s="311"/>
      <c r="E40" s="311"/>
      <c r="F40" s="311"/>
      <c r="G40" s="311"/>
      <c r="H40" s="311"/>
      <c r="I40" s="311"/>
      <c r="J40" s="2015"/>
      <c r="K40" s="3352" t="str">
        <f t="shared" ref="K40:K41" si="0">MID(A45,3,LEN(A45)-2)</f>
        <v/>
      </c>
      <c r="L40" s="3353"/>
      <c r="M40" s="3353"/>
      <c r="N40" s="3354"/>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2" t="str">
        <f t="shared" si="0"/>
        <v/>
      </c>
      <c r="L41" s="3353"/>
      <c r="M41" s="3353"/>
      <c r="N41" s="3354"/>
      <c r="O41" s="1388" t="str">
        <f>C46</f>
        <v>——</v>
      </c>
      <c r="P41" s="2013"/>
      <c r="V41" s="2013"/>
    </row>
    <row r="42" spans="1:26" ht="29.25">
      <c r="A42" s="3294" t="s">
        <v>2067</v>
      </c>
      <c r="B42" s="3295"/>
      <c r="C42" s="264">
        <f ca="1">C32</f>
        <v>83969</v>
      </c>
      <c r="D42" s="317">
        <f ca="1">C33</f>
        <v>8045</v>
      </c>
      <c r="E42" s="317">
        <f ca="1">C34</f>
        <v>20154</v>
      </c>
      <c r="F42" s="318">
        <f ca="1">C35</f>
        <v>1344</v>
      </c>
      <c r="G42" s="311"/>
      <c r="H42" s="311"/>
      <c r="I42" s="319"/>
      <c r="J42" s="2015"/>
      <c r="K42" s="1267" t="s">
        <v>361</v>
      </c>
      <c r="L42" s="2032" t="s">
        <v>362</v>
      </c>
      <c r="M42" s="1268" t="s">
        <v>363</v>
      </c>
      <c r="N42" s="2033" t="s">
        <v>364</v>
      </c>
      <c r="O42" s="2034" t="s">
        <v>365</v>
      </c>
      <c r="P42" s="2013"/>
      <c r="V42" s="2013"/>
    </row>
    <row r="43" spans="1:26" ht="30">
      <c r="A43" s="3305" t="s">
        <v>2730</v>
      </c>
      <c r="B43" s="3306"/>
      <c r="C43" s="264">
        <f>IF(H33="正常操作",G33+G34+G35,G34+G35)</f>
        <v>1582</v>
      </c>
      <c r="D43" s="317" t="s">
        <v>43</v>
      </c>
      <c r="E43" s="317" t="s">
        <v>44</v>
      </c>
      <c r="F43" s="318" t="s">
        <v>44</v>
      </c>
      <c r="G43" s="2821" t="s">
        <v>952</v>
      </c>
      <c r="H43" s="311"/>
      <c r="I43" s="319"/>
      <c r="J43" s="2015"/>
      <c r="K43" s="1269" t="str">
        <f>C4</f>
        <v>剩余法-待开发</v>
      </c>
      <c r="L43" s="1270">
        <f ca="1">IF(L42="估价结果/万元",C19,C20)</f>
        <v>84068</v>
      </c>
      <c r="M43" s="1271">
        <f>C18</f>
        <v>0.5</v>
      </c>
      <c r="N43" s="1272">
        <f ca="1">IF(N42="测算结果/万元",G19,G20)</f>
        <v>83969</v>
      </c>
      <c r="O43" s="1273">
        <f ca="1">IF(O42="最终结果/万元",C32,C33)</f>
        <v>83969</v>
      </c>
      <c r="P43" s="2013"/>
      <c r="V43" s="2013"/>
    </row>
    <row r="44" spans="1:26" ht="30.75" thickBot="1">
      <c r="A44" s="3294" t="str">
        <f>IF(OR(项目基本情况!E8="抵押价格",项目基本情况!E8="已注销及未注销"),"3.抵押价格","——")</f>
        <v>3.抵押价格</v>
      </c>
      <c r="B44" s="3295"/>
      <c r="C44" s="264">
        <f ca="1">IF(A44="——","——",C42-C43)</f>
        <v>82387</v>
      </c>
      <c r="D44" s="317">
        <f ca="1">ROUND(C44*10000/'数据-汇总表'!E3,0)</f>
        <v>7893</v>
      </c>
      <c r="E44" s="317">
        <f ca="1">ROUND(C44*10000/'数据-汇总表'!D3,0)</f>
        <v>19774</v>
      </c>
      <c r="F44" s="318">
        <f ca="1">ROUND(C44/('数据-汇总表'!D3/666.67),0)</f>
        <v>1318</v>
      </c>
      <c r="G44" s="311"/>
      <c r="H44" s="311"/>
      <c r="I44" s="319"/>
      <c r="J44" s="2015"/>
      <c r="K44" s="1274" t="str">
        <f>D4</f>
        <v>比较法-住宅、综合</v>
      </c>
      <c r="L44" s="1275">
        <f ca="1">IF(L42="估价结果/万元",D19,D20)</f>
        <v>83870</v>
      </c>
      <c r="M44" s="1276">
        <f>D18</f>
        <v>0.5</v>
      </c>
      <c r="N44" s="1277"/>
      <c r="O44" s="1278"/>
      <c r="P44" s="2013"/>
      <c r="V44" s="2013"/>
    </row>
    <row r="45" spans="1:26" ht="15">
      <c r="A45" s="3300" t="str">
        <f>IF(项目基本情况!E8="已注销及未注销","4.抵押担保权已注销时的抵押价格",IF(项目基本情况!E8="已注销","3.抵押担保权已注销时的抵押价格","——"))</f>
        <v>——</v>
      </c>
      <c r="B45" s="330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6" t="str">
        <f>IF(项目基本情况!E9="抵押净值",IF(A45="——","4.抵押净值","5.抵押净值"),"——")</f>
        <v>——</v>
      </c>
      <c r="B46" s="329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本次评估估价师知悉的法定优先受偿款为人民币1582万元整。</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1" t="s">
        <v>374</v>
      </c>
      <c r="B63" s="3342"/>
      <c r="C63" s="3343"/>
      <c r="D63" s="341">
        <f ca="1">ROUND(C42*F63,0)</f>
        <v>50381</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2" t="s">
        <v>378</v>
      </c>
      <c r="B64" s="3303"/>
      <c r="C64" s="3303"/>
      <c r="D64" s="3303"/>
      <c r="E64" s="3303"/>
      <c r="F64" s="3303"/>
      <c r="G64" s="3304"/>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8" t="s">
        <v>386</v>
      </c>
      <c r="B66" s="3299"/>
      <c r="C66" s="3299"/>
      <c r="D66" s="261">
        <f ca="1">IF(H66="情况1",0,IF(H66="情况2",D70,IF(H66="情况3",D71,IF(H66="情况4",D72))))</f>
        <v>2639</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56" t="s">
        <v>385</v>
      </c>
      <c r="M66" s="3357"/>
      <c r="N66" s="2422"/>
      <c r="O66" s="2423"/>
      <c r="P66" s="2424"/>
      <c r="Q66" s="2013"/>
      <c r="R66" s="2013"/>
      <c r="S66" s="2013"/>
      <c r="T66" s="2013"/>
      <c r="U66" s="2013"/>
      <c r="V66" s="2013"/>
    </row>
    <row r="67" spans="1:22" ht="25.5" customHeight="1">
      <c r="A67" s="352" t="s">
        <v>390</v>
      </c>
      <c r="B67" s="3289" t="s">
        <v>391</v>
      </c>
      <c r="C67" s="3289"/>
      <c r="D67" s="353">
        <v>0</v>
      </c>
      <c r="E67" s="41" t="s">
        <v>392</v>
      </c>
      <c r="F67" s="62" t="s">
        <v>21</v>
      </c>
      <c r="G67" s="3344"/>
      <c r="H67" s="311"/>
      <c r="I67" s="1288"/>
      <c r="J67" s="2020"/>
      <c r="K67" s="1961">
        <v>2</v>
      </c>
      <c r="L67" s="3355" t="s">
        <v>389</v>
      </c>
      <c r="M67" s="3355"/>
      <c r="N67" s="1321">
        <f>'数据-取费表'!B2</f>
        <v>43572</v>
      </c>
      <c r="O67" s="1321"/>
      <c r="P67" s="1321"/>
      <c r="Q67" s="2013"/>
      <c r="R67" s="2013"/>
      <c r="S67" s="2013"/>
      <c r="T67" s="2013"/>
      <c r="U67" s="2013"/>
      <c r="V67" s="2013"/>
    </row>
    <row r="68" spans="1:22" ht="25.5" customHeight="1">
      <c r="A68" s="354"/>
      <c r="B68" s="3289" t="s">
        <v>394</v>
      </c>
      <c r="C68" s="3289"/>
      <c r="D68" s="355"/>
      <c r="E68" s="77"/>
      <c r="F68" s="356"/>
      <c r="G68" s="3345"/>
      <c r="H68" s="311"/>
      <c r="I68" s="1288"/>
      <c r="J68" s="2020"/>
      <c r="K68" s="1961">
        <v>3</v>
      </c>
      <c r="L68" s="3355" t="s">
        <v>393</v>
      </c>
      <c r="M68" s="3355"/>
      <c r="N68" s="1289">
        <f ca="1">C42</f>
        <v>83969</v>
      </c>
      <c r="O68" s="1289"/>
      <c r="P68" s="1289"/>
      <c r="Q68" s="2013"/>
      <c r="R68" s="2013"/>
      <c r="S68" s="2013"/>
      <c r="T68" s="2013"/>
      <c r="U68" s="2013"/>
      <c r="V68" s="2013"/>
    </row>
    <row r="69" spans="1:22" ht="12" customHeight="1">
      <c r="A69" s="357"/>
      <c r="B69" s="3289" t="s">
        <v>395</v>
      </c>
      <c r="C69" s="3289"/>
      <c r="D69" s="358"/>
      <c r="E69" s="73"/>
      <c r="F69" s="356"/>
      <c r="G69" s="3346"/>
      <c r="H69" s="311"/>
      <c r="I69" s="1288"/>
      <c r="J69" s="2020"/>
      <c r="K69" s="1290">
        <v>4</v>
      </c>
      <c r="L69" s="3360" t="s">
        <v>2883</v>
      </c>
      <c r="M69" s="3361"/>
      <c r="N69" s="1291">
        <f ca="1">C44</f>
        <v>82387</v>
      </c>
      <c r="O69" s="1291"/>
      <c r="P69" s="1291"/>
      <c r="Q69" s="2013"/>
      <c r="R69" s="2013"/>
      <c r="S69" s="2013"/>
      <c r="T69" s="2013"/>
      <c r="U69" s="2013"/>
      <c r="V69" s="2013"/>
    </row>
    <row r="70" spans="1:22" ht="24" customHeight="1">
      <c r="A70" s="359" t="s">
        <v>396</v>
      </c>
      <c r="B70" s="3289" t="s">
        <v>397</v>
      </c>
      <c r="C70" s="3289"/>
      <c r="D70" s="358">
        <f ca="1">ROUND(D63*'数据-取费表'!B41/(1+'数据-取费表'!C42),0)</f>
        <v>2639</v>
      </c>
      <c r="E70" s="17" t="s">
        <v>398</v>
      </c>
      <c r="F70" s="360">
        <f>'数据-取费表'!B41</f>
        <v>5.5000000000000007E-2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290" t="s">
        <v>405</v>
      </c>
      <c r="C71" s="3291"/>
      <c r="D71" s="358">
        <f ca="1">ROUND(D63*'数据-取费表'!B41/(1+'数据-取费表'!C42),0)</f>
        <v>2639</v>
      </c>
      <c r="E71" s="17" t="s">
        <v>398</v>
      </c>
      <c r="F71" s="360">
        <f>'数据-取费表'!B41</f>
        <v>5.5000000000000007E-2</v>
      </c>
      <c r="G71" s="361"/>
      <c r="H71" s="311"/>
      <c r="I71" s="1288"/>
      <c r="J71" s="2020"/>
      <c r="K71" s="3012" t="s">
        <v>399</v>
      </c>
      <c r="L71" s="3362" t="s">
        <v>400</v>
      </c>
      <c r="M71" s="3362"/>
      <c r="N71" s="3012" t="s">
        <v>401</v>
      </c>
      <c r="O71" s="3012" t="s">
        <v>402</v>
      </c>
      <c r="P71" s="3012" t="s">
        <v>403</v>
      </c>
      <c r="Q71" s="2013"/>
      <c r="R71" s="2013"/>
      <c r="S71" s="2013"/>
      <c r="T71" s="2013"/>
      <c r="U71" s="2013"/>
      <c r="V71" s="2013"/>
    </row>
    <row r="72" spans="1:22" ht="12" customHeight="1">
      <c r="A72" s="359" t="s">
        <v>407</v>
      </c>
      <c r="B72" s="3290" t="s">
        <v>408</v>
      </c>
      <c r="C72" s="3291"/>
      <c r="D72" s="358">
        <f ca="1">C86</f>
        <v>2529</v>
      </c>
      <c r="E72" s="73" t="s">
        <v>409</v>
      </c>
      <c r="F72" s="360">
        <f>'数据-取费表'!B41</f>
        <v>5.5000000000000007E-2</v>
      </c>
      <c r="G72" s="361"/>
      <c r="H72" s="1294"/>
      <c r="I72" s="1288"/>
      <c r="J72" s="2020"/>
      <c r="K72" s="1961">
        <v>1</v>
      </c>
      <c r="L72" s="3337" t="s">
        <v>406</v>
      </c>
      <c r="M72" s="3337"/>
      <c r="N72" s="1292">
        <f ca="1">D66</f>
        <v>2639</v>
      </c>
      <c r="O72" s="1844" t="str">
        <f>E66</f>
        <v>销售额×税（费）率</v>
      </c>
      <c r="P72" s="1293">
        <f>F66</f>
        <v>5.5000000000000007E-2</v>
      </c>
      <c r="Q72" s="2013"/>
      <c r="R72" s="2013"/>
      <c r="S72" s="2013"/>
      <c r="T72" s="2013"/>
      <c r="U72" s="2013"/>
      <c r="V72" s="2013"/>
    </row>
    <row r="73" spans="1:22" ht="24" customHeight="1">
      <c r="A73" s="3331" t="s">
        <v>411</v>
      </c>
      <c r="B73" s="3299"/>
      <c r="C73" s="3299"/>
      <c r="D73" s="362">
        <f>IF(H73="个人住宅",0,ROUND(D63*I73,0))</f>
        <v>0</v>
      </c>
      <c r="E73" s="17" t="s">
        <v>412</v>
      </c>
      <c r="F73" s="360" t="str">
        <f>IF(H73="正常",I73,"免征")</f>
        <v>免征</v>
      </c>
      <c r="G73" s="361"/>
      <c r="H73" s="191" t="s">
        <v>2455</v>
      </c>
      <c r="I73" s="360">
        <f>'数据-取费表'!B49</f>
        <v>5.0000000000000001E-4</v>
      </c>
      <c r="J73" s="2020"/>
      <c r="K73" s="1961">
        <v>2</v>
      </c>
      <c r="L73" s="3337" t="s">
        <v>410</v>
      </c>
      <c r="M73" s="3337"/>
      <c r="N73" s="1292">
        <f t="shared" ref="N73:P74" si="1">D73</f>
        <v>0</v>
      </c>
      <c r="O73" s="1844" t="str">
        <f t="shared" si="1"/>
        <v>销售额×税（费）率</v>
      </c>
      <c r="P73" s="1293" t="str">
        <f t="shared" si="1"/>
        <v>免征</v>
      </c>
      <c r="Q73" s="2013"/>
      <c r="R73" s="2013"/>
      <c r="S73" s="2013"/>
      <c r="T73" s="2013"/>
      <c r="U73" s="2013"/>
      <c r="V73" s="2013"/>
    </row>
    <row r="74" spans="1:22" ht="24.75">
      <c r="A74" s="3331" t="s">
        <v>415</v>
      </c>
      <c r="B74" s="3299"/>
      <c r="C74" s="3299"/>
      <c r="D74" s="362">
        <f ca="1">IF(H74="个人住宅",D75,D76)</f>
        <v>27906</v>
      </c>
      <c r="E74" s="17" t="s">
        <v>416</v>
      </c>
      <c r="F74" s="360" t="str">
        <f>IF(H74="正常",F76,"免征")</f>
        <v>——</v>
      </c>
      <c r="G74" s="983" t="s">
        <v>417</v>
      </c>
      <c r="H74" s="363" t="s">
        <v>413</v>
      </c>
      <c r="I74" s="42"/>
      <c r="J74" s="2020"/>
      <c r="K74" s="1961">
        <v>3</v>
      </c>
      <c r="L74" s="3337" t="s">
        <v>414</v>
      </c>
      <c r="M74" s="3337"/>
      <c r="N74" s="1292">
        <f t="shared" ca="1" si="1"/>
        <v>27906</v>
      </c>
      <c r="O74" s="1844" t="str">
        <f t="shared" si="1"/>
        <v>增值额×税（费）率</v>
      </c>
      <c r="P74" s="1295" t="str">
        <f t="shared" si="1"/>
        <v>——</v>
      </c>
      <c r="Q74" s="2013"/>
      <c r="R74" s="2013"/>
      <c r="S74" s="2013"/>
      <c r="T74" s="2013"/>
      <c r="U74" s="2013"/>
      <c r="V74" s="2013"/>
    </row>
    <row r="75" spans="1:22" ht="24">
      <c r="A75" s="359" t="s">
        <v>418</v>
      </c>
      <c r="B75" s="3287" t="s">
        <v>419</v>
      </c>
      <c r="C75" s="3317"/>
      <c r="D75" s="364">
        <v>0</v>
      </c>
      <c r="E75" s="41" t="s">
        <v>420</v>
      </c>
      <c r="F75" s="365"/>
      <c r="G75" s="361"/>
      <c r="H75" s="42"/>
      <c r="I75" s="42"/>
      <c r="J75" s="2020"/>
      <c r="K75" s="3005">
        <f>IF(H77="非个人房产","",4)</f>
        <v>4</v>
      </c>
      <c r="L75" s="3337" t="str">
        <f>IF(H77="非个人房产","——","个人所得税")</f>
        <v>个人所得税</v>
      </c>
      <c r="M75" s="3337"/>
      <c r="N75" s="1296">
        <f ca="1">D77</f>
        <v>504</v>
      </c>
      <c r="O75" s="1857" t="str">
        <f>E77</f>
        <v>销售额×税（费）率</v>
      </c>
      <c r="P75" s="1297">
        <f>F77</f>
        <v>0.01</v>
      </c>
      <c r="Q75" s="2013"/>
      <c r="R75" s="2013"/>
      <c r="S75" s="2013"/>
      <c r="T75" s="2013"/>
      <c r="U75" s="2013"/>
      <c r="V75" s="2013"/>
    </row>
    <row r="76" spans="1:22" ht="24.75">
      <c r="A76" s="359" t="s">
        <v>396</v>
      </c>
      <c r="B76" s="3287" t="s">
        <v>422</v>
      </c>
      <c r="C76" s="3288"/>
      <c r="D76" s="362">
        <f ca="1">IF(H76="转让取得",C99,C115)</f>
        <v>27906</v>
      </c>
      <c r="E76" s="17" t="s">
        <v>423</v>
      </c>
      <c r="F76" s="53" t="s">
        <v>21</v>
      </c>
      <c r="G76" s="361"/>
      <c r="H76" s="363" t="s">
        <v>424</v>
      </c>
      <c r="I76" s="42"/>
      <c r="J76" s="2020"/>
      <c r="K76" s="3005" t="str">
        <f>IF(项目基本情况!K6="上海银行",IF(K75="",4,K75+1),"")</f>
        <v/>
      </c>
      <c r="L76" s="3348" t="str">
        <f>IF(项目基本情况!K6="上海银行","其他处置费用","")</f>
        <v/>
      </c>
      <c r="M76" s="3349"/>
      <c r="N76" s="1292" t="str">
        <f>IF(项目基本情况!K6="上海银行",N89,"")</f>
        <v/>
      </c>
      <c r="O76" s="3350" t="str">
        <f>IF(项目基本情况!K6="上海银行","包含处置中涉及的律师、诉讼、拍卖、评估等费用","")</f>
        <v/>
      </c>
      <c r="P76" s="3351"/>
      <c r="Q76" s="2013"/>
      <c r="R76" s="2013"/>
      <c r="S76" s="2013"/>
      <c r="T76" s="2013"/>
      <c r="U76" s="2013"/>
      <c r="V76" s="2013"/>
    </row>
    <row r="77" spans="1:22" ht="26.25" thickBot="1">
      <c r="A77" s="3339" t="s">
        <v>426</v>
      </c>
      <c r="B77" s="3340"/>
      <c r="C77" s="3340"/>
      <c r="D77" s="366">
        <f ca="1">IF(H77="非个人房产","——",IF(H77="个人住宅",0,ROUND(D63*I77,0)))</f>
        <v>504</v>
      </c>
      <c r="E77" s="367" t="str">
        <f>IF(H77="非个人房产","——","销售额×税（费）率")</f>
        <v>销售额×税（费）率</v>
      </c>
      <c r="F77" s="368">
        <f>IF(H77="非个人房产","——",IF(H77="个人住宅","免征",I77))</f>
        <v>0.01</v>
      </c>
      <c r="G77" s="984" t="s">
        <v>417</v>
      </c>
      <c r="H77" s="363" t="s">
        <v>2884</v>
      </c>
      <c r="I77" s="369">
        <v>0.01</v>
      </c>
      <c r="J77" s="2020"/>
      <c r="K77" s="3338">
        <f>IF(AND(K75="",K76=""),4,IF(项目基本情况!K6="上海银行",K76+1,K75+1))</f>
        <v>5</v>
      </c>
      <c r="L77" s="3337" t="s">
        <v>2885</v>
      </c>
      <c r="M77" s="3011" t="s">
        <v>421</v>
      </c>
      <c r="N77" s="1298"/>
      <c r="O77" s="1299">
        <f ca="1">SUMIF(N72:N76,"&lt;9e307")</f>
        <v>31049</v>
      </c>
      <c r="P77" s="1300"/>
      <c r="Q77" s="3009">
        <f ca="1">O77/N69</f>
        <v>0.37686770971148359</v>
      </c>
      <c r="R77" s="2013"/>
      <c r="S77" s="2013"/>
      <c r="T77" s="2013"/>
      <c r="U77" s="2013"/>
      <c r="V77" s="2013"/>
    </row>
    <row r="78" spans="1:22" ht="12" customHeight="1">
      <c r="A78" s="1301"/>
      <c r="B78" s="311"/>
      <c r="C78" s="311"/>
      <c r="D78" s="311"/>
      <c r="E78" s="42"/>
      <c r="F78" s="42"/>
      <c r="G78" s="42"/>
      <c r="H78" s="1003"/>
      <c r="I78" s="311"/>
      <c r="J78" s="2020"/>
      <c r="K78" s="3338"/>
      <c r="L78" s="3337"/>
      <c r="M78" s="3011" t="s">
        <v>425</v>
      </c>
      <c r="N78" s="1298"/>
      <c r="O78" s="1299" t="str">
        <f ca="1">NUMBERSTRING(INT(O77*10000),2)&amp;"元整"</f>
        <v>叁亿壹仟零肆拾玖万元整</v>
      </c>
      <c r="P78" s="1300"/>
      <c r="Q78" s="2013"/>
      <c r="R78" s="2013"/>
      <c r="S78" s="2013"/>
      <c r="T78" s="2013"/>
      <c r="U78" s="2013"/>
      <c r="V78" s="2013"/>
    </row>
    <row r="79" spans="1:22" ht="13.5" thickBot="1">
      <c r="A79" s="3332" t="s">
        <v>427</v>
      </c>
      <c r="B79" s="3332"/>
      <c r="C79" s="3332"/>
      <c r="D79" s="3332"/>
      <c r="E79" s="3332"/>
      <c r="F79" s="42"/>
      <c r="G79" s="42"/>
      <c r="H79" s="1003"/>
      <c r="I79" s="311"/>
      <c r="J79" s="2020"/>
      <c r="K79" s="3358">
        <f>K77+1</f>
        <v>6</v>
      </c>
      <c r="L79" s="3337" t="s">
        <v>2886</v>
      </c>
      <c r="M79" s="3011" t="s">
        <v>421</v>
      </c>
      <c r="N79" s="1298"/>
      <c r="O79" s="1299">
        <f ca="1">N69-O77</f>
        <v>51338</v>
      </c>
      <c r="P79" s="1300"/>
      <c r="Q79" s="2013"/>
      <c r="R79" s="2013"/>
      <c r="S79" s="2013"/>
      <c r="T79" s="2013"/>
      <c r="U79" s="2013"/>
      <c r="V79" s="2013"/>
    </row>
    <row r="80" spans="1:22" ht="25.5">
      <c r="A80" s="3327" t="s">
        <v>428</v>
      </c>
      <c r="B80" s="3328"/>
      <c r="C80" s="994"/>
      <c r="D80" s="994" t="s">
        <v>429</v>
      </c>
      <c r="E80" s="370" t="s">
        <v>430</v>
      </c>
      <c r="F80" s="42"/>
      <c r="G80" s="42"/>
      <c r="H80" s="1003"/>
      <c r="I80" s="311"/>
      <c r="J80" s="2013"/>
      <c r="K80" s="3359"/>
      <c r="L80" s="3337"/>
      <c r="M80" s="3011" t="s">
        <v>425</v>
      </c>
      <c r="N80" s="1298"/>
      <c r="O80" s="1299" t="str">
        <f ca="1">NUMBERSTRING(INT(O79*10000),2)&amp;"元整"</f>
        <v>伍亿壹仟叁佰叁拾捌万元整</v>
      </c>
      <c r="P80" s="1300"/>
      <c r="Q80" s="2013"/>
      <c r="R80" s="2013"/>
      <c r="S80" s="2013"/>
      <c r="T80" s="2013"/>
      <c r="U80" s="2013"/>
      <c r="V80" s="2013"/>
    </row>
    <row r="81" spans="1:26" ht="13.5" thickBot="1">
      <c r="A81" s="381" t="s">
        <v>1823</v>
      </c>
      <c r="B81" s="371" t="s">
        <v>431</v>
      </c>
      <c r="C81" s="372">
        <f ca="1">ROUND((C82+C83)/(1+'数据-取费表'!C42),0)</f>
        <v>47982</v>
      </c>
      <c r="D81" s="373"/>
      <c r="E81" s="374"/>
      <c r="F81" s="42"/>
      <c r="G81" s="42"/>
      <c r="H81" s="1003"/>
      <c r="I81" s="311"/>
      <c r="J81" s="2013"/>
      <c r="K81" s="3005">
        <f>K79+1</f>
        <v>7</v>
      </c>
      <c r="L81" s="3335" t="s">
        <v>2887</v>
      </c>
      <c r="M81" s="3336"/>
      <c r="N81" s="1302"/>
      <c r="O81" s="1303">
        <f ca="1">ROUND(O79*10000/'数据-汇总表'!E3,0)</f>
        <v>4919</v>
      </c>
      <c r="P81" s="1304"/>
      <c r="Q81" s="2013"/>
      <c r="R81" s="2013"/>
      <c r="S81" s="2013"/>
      <c r="T81" s="2013"/>
      <c r="U81" s="2013"/>
      <c r="V81" s="2013"/>
    </row>
    <row r="82" spans="1:26" ht="13.5" thickTop="1">
      <c r="A82" s="375" t="s">
        <v>1824</v>
      </c>
      <c r="B82" s="376" t="s">
        <v>432</v>
      </c>
      <c r="C82" s="377">
        <f ca="1">D63</f>
        <v>50381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47" t="s">
        <v>2874</v>
      </c>
      <c r="L83" s="3017" t="s">
        <v>2875</v>
      </c>
      <c r="M83" s="3007">
        <f ca="1">IF(N69&gt;10000,N69*0.5%,IF(AND(N69&gt;1000,N69&lt;=10000),N69*1%,IF(AND(N69&gt;100,N69&lt;=1000),N69*3%,IF(AND(N69&gt;10,N69&lt;=100),N69*5%,N69*8%))))</f>
        <v>411.935</v>
      </c>
      <c r="N83" s="53">
        <f ca="1">ROUND(M83,1)</f>
        <v>411.9</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3"/>
      <c r="I84" s="311"/>
      <c r="J84" s="2013"/>
      <c r="K84" s="3347"/>
      <c r="L84" s="3017" t="s">
        <v>2876</v>
      </c>
      <c r="M84" s="3007">
        <f ca="1">IF(N69&gt;2000,N69*0.5%,IF(AND(N69&gt;1000,N69&lt;=2000),N69*0.6%,IF(AND(N69&gt;500,N69&lt;=1000),N69*0.7%,IF(AND(N69&gt;200,N69&lt;=500),N69*0.8%,IF(AND(N69&gt;100,N69&lt;=200),N69*0.9%,IF(AND(N69&gt;50,N69&lt;=100),N69*1%,IF(AND(N69&gt;20,N69&lt;=50),N69*1.5%,IF(AND(N69&gt;10,N69&lt;=20),N69*2%,IF(AND(N69&gt;1,N69&lt;=10),N69*2.5%)))))))))</f>
        <v>411.935</v>
      </c>
      <c r="N84" s="53">
        <f t="shared" ref="N84:N85" ca="1" si="2">ROUND(M84,1)</f>
        <v>411.9</v>
      </c>
      <c r="O84" s="2013" t="s">
        <v>2877</v>
      </c>
      <c r="P84" s="2013"/>
      <c r="Q84" s="2013"/>
      <c r="R84" s="2013"/>
      <c r="S84" s="2013"/>
      <c r="T84" s="2013"/>
      <c r="U84" s="2013"/>
      <c r="V84" s="2013"/>
    </row>
    <row r="85" spans="1:26" ht="12.75">
      <c r="A85" s="381" t="s">
        <v>1827</v>
      </c>
      <c r="B85" s="382" t="s">
        <v>435</v>
      </c>
      <c r="C85" s="385">
        <f ca="1">C81-C84</f>
        <v>45982</v>
      </c>
      <c r="D85" s="378" t="s">
        <v>19</v>
      </c>
      <c r="E85" s="379"/>
      <c r="F85" s="42"/>
      <c r="G85" s="42"/>
      <c r="H85" s="1003"/>
      <c r="I85" s="311"/>
      <c r="J85" s="2013"/>
      <c r="K85" s="3347"/>
      <c r="L85" s="3017" t="s">
        <v>2878</v>
      </c>
      <c r="M85" s="3007">
        <f ca="1">IF(N69&gt;1000,N69*0.1%,IF(AND(N69&gt;500,N69&lt;=1000),N69*0.5%,IF(AND(N69&gt;50,N69&lt;=500),N69*1%,IF(AND(N69&gt;1,N69&lt;=50),N69*1.5%))))</f>
        <v>82.387</v>
      </c>
      <c r="N85" s="53">
        <f t="shared" ca="1" si="2"/>
        <v>82.4</v>
      </c>
      <c r="O85" s="2013" t="s">
        <v>2877</v>
      </c>
      <c r="P85" s="2013"/>
      <c r="Q85" s="2013"/>
      <c r="R85" s="2013"/>
      <c r="S85" s="2013"/>
      <c r="T85" s="2013"/>
      <c r="U85" s="2013"/>
      <c r="V85" s="2013"/>
    </row>
    <row r="86" spans="1:26" ht="13.5" thickBot="1">
      <c r="A86" s="386" t="s">
        <v>1828</v>
      </c>
      <c r="B86" s="387" t="s">
        <v>436</v>
      </c>
      <c r="C86" s="388">
        <f ca="1">IF(C85&lt;=0,0,ROUND(C85*D86,0))</f>
        <v>2529</v>
      </c>
      <c r="D86" s="389">
        <f>'数据-取费表'!B41</f>
        <v>5.5000000000000007E-2</v>
      </c>
      <c r="E86" s="390"/>
      <c r="F86" s="42"/>
      <c r="G86" s="42"/>
      <c r="H86" s="1003"/>
      <c r="I86" s="311"/>
      <c r="J86" s="2013"/>
      <c r="K86" s="3347"/>
      <c r="L86" s="3017" t="s">
        <v>2879</v>
      </c>
      <c r="M86" s="3007">
        <f ca="1">N69*0.5%</f>
        <v>411.935</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7"/>
      <c r="L87" s="3017" t="s">
        <v>2881</v>
      </c>
      <c r="M87" s="3007">
        <f ca="1">IF(N69&gt;=10000,(8.25+(N69-10000)*0.01%),IF(AND(N69&gt;=8000,N69&lt;10000),(7.85+(N69-8000)*0.02%),IF(AND(N69&gt;=5000,N69&lt;8000),(6.65+(N69-5000)*0.04%),IF(AND(N69&gt;=2000,N69&lt;5000),(4.25+(PN69-2000)*0.08%),IF(AND(N69&gt;=1000,N69&lt;2000),(2.75+(N69-1000)*0.15%),IF(AND(N69&gt;=100,N69&lt;1000),(0.5+(N69-100)*0.25%),IF(AND(N69&gt;0,N69&lt;100),N69*0.5%)))))))</f>
        <v>15.488700000000001</v>
      </c>
      <c r="N87" s="53">
        <f ca="1">ROUND(M87*0.9,1)</f>
        <v>13.9</v>
      </c>
      <c r="O87" s="3010"/>
      <c r="P87" s="311"/>
      <c r="Q87" s="2013"/>
      <c r="R87" s="2013"/>
      <c r="S87" s="2013"/>
      <c r="T87" s="2013"/>
      <c r="U87" s="2013"/>
      <c r="V87" s="2013"/>
      <c r="W87" s="292"/>
      <c r="X87" s="292"/>
      <c r="Y87" s="292"/>
      <c r="Z87" s="292"/>
    </row>
    <row r="88" spans="1:26" s="1310" customFormat="1" ht="15" thickBot="1">
      <c r="A88" s="3329" t="s">
        <v>437</v>
      </c>
      <c r="B88" s="3330"/>
      <c r="C88" s="3330"/>
      <c r="D88" s="3330"/>
      <c r="E88" s="3330"/>
      <c r="F88" s="3330"/>
      <c r="G88" s="3330"/>
      <c r="H88" s="3330"/>
      <c r="I88" s="1311"/>
      <c r="J88" s="2021"/>
      <c r="K88" s="3347"/>
      <c r="L88" s="3017" t="s">
        <v>2882</v>
      </c>
      <c r="M88" s="3007">
        <f ca="1">IF(N69&gt;10000,N69*0.5%,IF(AND(N69&gt;5000,N69&lt;=10000),N69*1%,IF(AND(N69&gt;1000,N69&lt;=5000),N69*2%,IF(AND(N69&gt;200,N69&lt;=1000),N69*3%,N69*5%))))</f>
        <v>411.935</v>
      </c>
      <c r="N88" s="53">
        <f ca="1">ROUND(M88,1)</f>
        <v>411.9</v>
      </c>
      <c r="O88" s="3010"/>
      <c r="P88" s="11"/>
      <c r="Q88" s="2018"/>
      <c r="R88" s="2018"/>
      <c r="S88" s="2018"/>
      <c r="T88" s="2018"/>
      <c r="U88" s="2018"/>
      <c r="V88" s="2018"/>
      <c r="W88" s="2022"/>
      <c r="X88" s="2022"/>
      <c r="Y88" s="2022"/>
      <c r="Z88" s="2022"/>
    </row>
    <row r="89" spans="1:26" s="1310" customFormat="1" ht="14.25">
      <c r="A89" s="3327" t="s">
        <v>428</v>
      </c>
      <c r="B89" s="3328"/>
      <c r="C89" s="994"/>
      <c r="D89" s="994" t="s">
        <v>429</v>
      </c>
      <c r="E89" s="391" t="s">
        <v>438</v>
      </c>
      <c r="F89" s="392"/>
      <c r="G89" s="392"/>
      <c r="H89" s="393"/>
      <c r="I89" s="1312"/>
      <c r="J89" s="2023"/>
      <c r="K89" s="3347"/>
      <c r="L89" s="3017" t="s">
        <v>27</v>
      </c>
      <c r="M89" s="3008"/>
      <c r="N89" s="53">
        <f ca="1">ROUND(SUM(N83:N88),0)</f>
        <v>1333</v>
      </c>
      <c r="O89" s="3018">
        <f ca="1">N89/N69</f>
        <v>1.6179737094444511E-2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47982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2801</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0" t="s">
        <v>447</v>
      </c>
      <c r="F94" s="3289"/>
      <c r="G94" s="3289"/>
      <c r="H94" s="3326"/>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240</v>
      </c>
      <c r="D96" s="406">
        <f>'数据-取费表'!B43</f>
        <v>5.000000000000001E-3</v>
      </c>
      <c r="E96" s="3318" t="s">
        <v>2428</v>
      </c>
      <c r="F96" s="3319"/>
      <c r="G96" s="3319"/>
      <c r="H96" s="332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45181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16.130310603355944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26128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9" t="s">
        <v>454</v>
      </c>
      <c r="B101" s="3330"/>
      <c r="C101" s="3330"/>
      <c r="D101" s="3330"/>
      <c r="E101" s="3330"/>
      <c r="F101" s="3330"/>
      <c r="G101" s="3330"/>
      <c r="H101" s="333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7" t="s">
        <v>428</v>
      </c>
      <c r="B102" s="3328"/>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47982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930</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21" t="s">
        <v>462</v>
      </c>
      <c r="F109" s="3319"/>
      <c r="G109" s="3319"/>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21" t="s">
        <v>464</v>
      </c>
      <c r="F110" s="3319"/>
      <c r="G110" s="3319"/>
      <c r="H110" s="332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240</v>
      </c>
      <c r="D111" s="406">
        <f>'数据-取费表'!B43</f>
        <v>5.000000000000001E-3</v>
      </c>
      <c r="E111" s="3318" t="s">
        <v>2428</v>
      </c>
      <c r="F111" s="3319"/>
      <c r="G111" s="3319"/>
      <c r="H111" s="332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1" t="s">
        <v>2453</v>
      </c>
      <c r="F112" s="3319"/>
      <c r="G112" s="3319"/>
      <c r="H112" s="332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47052</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50.593548387096774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27906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10" sqref="O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84068</v>
      </c>
      <c r="C2" s="2089"/>
      <c r="D2" s="2089"/>
      <c r="E2" s="2089"/>
      <c r="F2" s="2089"/>
      <c r="G2" s="2089"/>
      <c r="H2" s="2089"/>
      <c r="I2" s="2089"/>
      <c r="J2" s="2089"/>
      <c r="K2" s="2089"/>
    </row>
    <row r="3" spans="1:31" s="2026" customFormat="1" ht="18" customHeight="1">
      <c r="A3" s="2091" t="s">
        <v>1684</v>
      </c>
      <c r="B3" s="2092">
        <f ca="1">ROUND(B2*10000/IF(B1="",'数据-汇总表'!E3,INDIRECT("'数据-取费表'!K"&amp;$K$1)),0)</f>
        <v>8054</v>
      </c>
      <c r="C3" s="2089"/>
      <c r="D3" s="2089"/>
      <c r="E3" s="2089"/>
      <c r="F3" s="2089"/>
      <c r="G3" s="2089"/>
      <c r="H3" s="2089"/>
      <c r="I3" s="2089"/>
      <c r="J3" s="2089"/>
      <c r="K3" s="2089"/>
    </row>
    <row r="4" spans="1:31" s="2026" customFormat="1" ht="18" customHeight="1">
      <c r="A4" s="426" t="s">
        <v>468</v>
      </c>
      <c r="B4" s="427">
        <f ca="1">ROUND(B2*10000/IF(B1="",'数据-汇总表'!D3,INDIRECT("'数据-取费表'!R"&amp;$K$1)),0)</f>
        <v>20178</v>
      </c>
      <c r="C4" s="428"/>
      <c r="D4" s="422"/>
      <c r="E4" s="422"/>
      <c r="F4" s="422"/>
      <c r="G4" s="422"/>
      <c r="H4" s="422"/>
      <c r="I4" s="422"/>
      <c r="J4" s="422"/>
      <c r="K4" s="422"/>
    </row>
    <row r="5" spans="1:31" s="2026" customFormat="1" ht="18" customHeight="1" thickBot="1">
      <c r="A5" s="429"/>
      <c r="B5" s="430">
        <f ca="1">ROUND(B2/(IF(B1="",'数据-汇总表'!D3,INDIRECT("'数据-取费表'!R"&amp;$K$1))/666.67),0)</f>
        <v>1345</v>
      </c>
      <c r="C5" s="431" t="s">
        <v>469</v>
      </c>
      <c r="D5" s="422"/>
      <c r="E5" s="422"/>
      <c r="F5" s="422"/>
      <c r="G5" s="422"/>
      <c r="H5" s="422"/>
      <c r="I5" s="422"/>
      <c r="J5" s="422"/>
      <c r="K5" s="422"/>
    </row>
    <row r="6" spans="1:31" s="2096" customFormat="1" ht="16.5" customHeight="1">
      <c r="A6" s="2783" t="s">
        <v>1842</v>
      </c>
      <c r="B6" s="2784"/>
      <c r="C6" s="2785">
        <f ca="1">SUM(C10:K10)</f>
        <v>184554</v>
      </c>
      <c r="D6" s="2784"/>
      <c r="E6" s="2784"/>
      <c r="F6" s="2784"/>
      <c r="G6" s="2784"/>
      <c r="H6" s="2784"/>
      <c r="I6" s="2784"/>
      <c r="J6" s="2784"/>
      <c r="K6" s="2786"/>
    </row>
    <row r="7" spans="1:31" s="2098" customFormat="1" ht="15">
      <c r="A7" s="2787" t="s">
        <v>470</v>
      </c>
      <c r="B7" s="2788" t="s">
        <v>471</v>
      </c>
      <c r="C7" s="436" t="s">
        <v>3005</v>
      </c>
      <c r="D7" s="436" t="s">
        <v>35</v>
      </c>
      <c r="E7" s="436" t="s">
        <v>3214</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24000</v>
      </c>
      <c r="D8" s="2789">
        <f>'不动产比较法-车位'!C39</f>
        <v>147772</v>
      </c>
      <c r="E8" s="2789">
        <f ca="1">不动产收益法!C43</f>
        <v>9916</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70037.847999999998</v>
      </c>
      <c r="D9" s="441">
        <f>SUMIF('数据-汇总表'!$C19:$C33,'剩余法-待开发'!D7,'数据-汇总表'!$E19:$E33)</f>
        <v>19258.47</v>
      </c>
      <c r="E9" s="441">
        <f>SUMIF('数据-汇总表'!$C19:$C33,'剩余法-待开发'!E7,'数据-汇总表'!$E19:$E33)</f>
        <v>6930.98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168091</v>
      </c>
      <c r="D10" s="2981">
        <f>'不动产比较法-车位'!B2</f>
        <v>9590</v>
      </c>
      <c r="E10" s="2981">
        <f ca="1">不动产收益法!C40</f>
        <v>6873</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46214</v>
      </c>
      <c r="D13" s="2799"/>
      <c r="E13" s="2800"/>
      <c r="F13" s="2801"/>
      <c r="G13" s="2767"/>
      <c r="H13" s="2768"/>
      <c r="I13" s="2768"/>
      <c r="J13" s="2768"/>
      <c r="K13" s="2769"/>
    </row>
    <row r="14" spans="1:31" s="2101" customFormat="1" ht="13.5" customHeight="1">
      <c r="A14" s="2797" t="s">
        <v>1849</v>
      </c>
      <c r="B14" s="2798" t="s">
        <v>480</v>
      </c>
      <c r="C14" s="53">
        <f ca="1">ROUND(C13*F14,0)</f>
        <v>1386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1576</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2088</v>
      </c>
      <c r="D16" s="2799">
        <f ca="1">IF(B1="",'数据-汇总表'!E3,INDIRECT("'数据-取费表'!K"&amp;$K$1)+INDIRECT("'数据-取费表'!S"&amp;$K$1))</f>
        <v>104375.848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693</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51957</v>
      </c>
      <c r="D18" s="2808"/>
      <c r="E18" s="468"/>
      <c r="F18" s="468"/>
      <c r="G18" s="2771" t="s">
        <v>2430</v>
      </c>
      <c r="H18" s="2772"/>
      <c r="I18" s="2772"/>
      <c r="J18" s="2772"/>
      <c r="K18" s="2773"/>
    </row>
    <row r="19" spans="1:14" s="2101" customFormat="1" ht="13.5" customHeight="1">
      <c r="A19" s="2805" t="s">
        <v>1854</v>
      </c>
      <c r="B19" s="2806" t="s">
        <v>488</v>
      </c>
      <c r="C19" s="2763">
        <f ca="1">ROUND(D19*E19/10000,0)</f>
        <v>1566</v>
      </c>
      <c r="D19" s="2809">
        <f ca="1">D16</f>
        <v>104375.848</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40"/>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70037.847999999998</v>
      </c>
      <c r="E21" s="53">
        <f>'数据-取费表'!B27</f>
        <v>0</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34338</v>
      </c>
      <c r="E22" s="53">
        <f>'数据-取费表'!B28</f>
        <v>0</v>
      </c>
      <c r="F22" s="2802"/>
      <c r="G22" s="26"/>
      <c r="H22" s="51"/>
      <c r="I22" s="51"/>
      <c r="J22" s="51"/>
      <c r="K22" s="2774"/>
    </row>
    <row r="23" spans="1:14" s="2101" customFormat="1" ht="13.5" customHeight="1">
      <c r="A23" s="2805" t="s">
        <v>1858</v>
      </c>
      <c r="B23" s="2987" t="s">
        <v>2834</v>
      </c>
      <c r="C23" s="2807">
        <f ca="1">ROUND((C18+C19+C20)*F23,0)</f>
        <v>803</v>
      </c>
      <c r="D23" s="468"/>
      <c r="E23" s="468"/>
      <c r="F23" s="2811">
        <f>'数据-取费表'!B37</f>
        <v>1.4999999999999999E-2</v>
      </c>
      <c r="G23" s="2767" t="s">
        <v>2431</v>
      </c>
      <c r="H23" s="2768"/>
      <c r="I23" s="2768"/>
      <c r="J23" s="2768"/>
      <c r="K23" s="2769"/>
      <c r="L23" s="2103"/>
      <c r="M23" s="2103"/>
      <c r="N23" s="2103"/>
    </row>
    <row r="24" spans="1:14" s="2101" customFormat="1" ht="13.5" customHeight="1">
      <c r="A24" s="2805" t="s">
        <v>1859</v>
      </c>
      <c r="B24" s="2987" t="s">
        <v>2837</v>
      </c>
      <c r="C24" s="2807">
        <f ca="1">ROUND(C6*F24,0)</f>
        <v>2768</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'数据-取费表'!B48+'数据-取费表'!B49</f>
        <v>3.0499999999999999E-2</v>
      </c>
      <c r="G25" s="2775" t="s">
        <v>2289</v>
      </c>
      <c r="H25" s="2768"/>
      <c r="I25" s="2768"/>
      <c r="J25" s="2768"/>
      <c r="K25" s="2769"/>
    </row>
    <row r="26" spans="1:14" s="2103" customFormat="1" ht="13.5" customHeight="1">
      <c r="A26" s="2805" t="s">
        <v>1861</v>
      </c>
      <c r="B26" s="2988" t="s">
        <v>2836</v>
      </c>
      <c r="C26" s="2812">
        <f ca="1">C28</f>
        <v>3410</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3410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9667</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70171</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70171</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2833</v>
      </c>
      <c r="B33" s="2984" t="s">
        <v>2831</v>
      </c>
      <c r="C33" s="478">
        <f ca="1">C35</f>
        <v>6851</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6851</v>
      </c>
      <c r="D35" s="1614"/>
      <c r="E35" s="2819"/>
      <c r="F35" s="1615"/>
      <c r="G35" s="2777"/>
      <c r="H35" s="2778"/>
      <c r="I35" s="2778"/>
      <c r="J35" s="2778"/>
      <c r="K35" s="2779"/>
    </row>
    <row r="36" spans="1:11" s="2070" customFormat="1" ht="13.5" customHeight="1" thickBot="1">
      <c r="A36" s="284" t="s">
        <v>1844</v>
      </c>
      <c r="B36" s="2781"/>
      <c r="C36" s="2820">
        <f ca="1">ROUND((C6-C30-C33)/(1+D30+D33),0)</f>
        <v>84068</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46214</v>
      </c>
      <c r="D13" s="451"/>
      <c r="E13" s="365"/>
      <c r="F13" s="452"/>
      <c r="G13" s="444"/>
      <c r="H13" s="447"/>
      <c r="I13" s="447"/>
      <c r="J13" s="447"/>
      <c r="K13" s="448"/>
    </row>
    <row r="14" spans="1:41" s="2101" customFormat="1" ht="13.5" customHeight="1">
      <c r="A14" s="1618" t="s">
        <v>1849</v>
      </c>
      <c r="B14" s="449" t="s">
        <v>480</v>
      </c>
      <c r="C14" s="53">
        <f ca="1">ROUND(C13*F14,0)</f>
        <v>1386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1576</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2088</v>
      </c>
      <c r="D16" s="451">
        <f ca="1">IF(B1="",'数据-汇总表'!E3,INDIRECT("'数据-取费表'!K"&amp;$K$1)+INDIRECT("'数据-取费表'!S"&amp;$K$1))</f>
        <v>104375.848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693</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51957</v>
      </c>
      <c r="D18" s="461"/>
      <c r="E18" s="462"/>
      <c r="F18" s="462"/>
      <c r="G18" s="1323" t="s">
        <v>2432</v>
      </c>
      <c r="H18" s="447"/>
      <c r="I18" s="447"/>
      <c r="J18" s="447"/>
      <c r="K18" s="448"/>
    </row>
    <row r="19" spans="1:14" s="2104" customFormat="1" ht="13.5" customHeight="1">
      <c r="A19" s="1619" t="s">
        <v>1854</v>
      </c>
      <c r="B19" s="459" t="s">
        <v>493</v>
      </c>
      <c r="C19" s="460">
        <f ca="1">ROUND(C18*F19,0)</f>
        <v>779</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3150</v>
      </c>
      <c r="D21" s="467">
        <f ca="1">C23</f>
        <v>8.9999999999999998E-4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3150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8.9999999999999998E-4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6328</v>
      </c>
      <c r="D24" s="489">
        <f ca="1">C26</f>
        <v>1.8E-3</v>
      </c>
      <c r="E24" s="469" t="s">
        <v>507</v>
      </c>
      <c r="F24" s="479">
        <f ca="1">IF(B1="",'数据-取费表'!Q16,INDIRECT("'数据-取费表'!q"&amp;$K$1))</f>
        <v>0.12</v>
      </c>
      <c r="G24" s="444"/>
      <c r="H24" s="447"/>
      <c r="I24" s="447"/>
      <c r="J24" s="447"/>
      <c r="K24" s="448"/>
    </row>
    <row r="25" spans="1:14" s="2105" customFormat="1" ht="13.5" customHeight="1">
      <c r="A25" s="1618" t="s">
        <v>1848</v>
      </c>
      <c r="B25" s="1324" t="s">
        <v>2436</v>
      </c>
      <c r="C25" s="490">
        <f ca="1">ROUND((C18+C19)*F24,0)</f>
        <v>6328</v>
      </c>
      <c r="D25" s="472"/>
      <c r="E25" s="473"/>
      <c r="F25" s="480"/>
      <c r="G25" s="1322" t="s">
        <v>2433</v>
      </c>
      <c r="H25" s="457"/>
      <c r="I25" s="457"/>
      <c r="J25" s="457"/>
      <c r="K25" s="458"/>
    </row>
    <row r="26" spans="1:14" s="2105" customFormat="1" ht="13.5" customHeight="1">
      <c r="A26" s="1618" t="s">
        <v>1849</v>
      </c>
      <c r="B26" s="1324" t="s">
        <v>509</v>
      </c>
      <c r="C26" s="491">
        <f ca="1">ROUND(F20*F24,4)</f>
        <v>1.8E-3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66904</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8" t="str">
        <f>项目基本情况!B1</f>
        <v>北京市北京市顺义区顺义新城第13街区SY00-0013-6010地块出让国有建设用地使用权抵押价格预评估</v>
      </c>
      <c r="C37" s="3198"/>
      <c r="D37" s="3198"/>
      <c r="E37" s="3198"/>
      <c r="F37" s="3198"/>
      <c r="G37" s="3198"/>
      <c r="H37" s="3198"/>
      <c r="I37" s="3198"/>
    </row>
    <row r="38" spans="1:9">
      <c r="A38" s="1641"/>
      <c r="B38" s="1641"/>
    </row>
    <row r="39" spans="1:9">
      <c r="A39" s="1639" t="s">
        <v>1901</v>
      </c>
      <c r="B39" s="1639" t="s">
        <v>2046</v>
      </c>
    </row>
    <row r="40" spans="1:9">
      <c r="A40" s="1639"/>
      <c r="B40" s="1639" t="str">
        <f>项目基本情况!B5</f>
        <v>北京致顺房地产开发有限公司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赵雯、崔锴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5" zoomScaleNormal="95" zoomScaleSheetLayoutView="85" workbookViewId="0">
      <selection activeCell="F58" sqref="F58:F65"/>
    </sheetView>
  </sheetViews>
  <sheetFormatPr defaultColWidth="9" defaultRowHeight="14.25"/>
  <cols>
    <col min="1" max="1" width="15.625" style="1333" customWidth="1"/>
    <col min="2" max="2" width="15.75" style="1333" customWidth="1"/>
    <col min="3" max="3" width="17.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83870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8035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20130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1342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2" t="s">
        <v>522</v>
      </c>
      <c r="D6" s="3373"/>
      <c r="E6" s="3372" t="s">
        <v>523</v>
      </c>
      <c r="F6" s="3373"/>
      <c r="G6" s="3372" t="s">
        <v>524</v>
      </c>
      <c r="H6" s="3373"/>
      <c r="I6" s="3372" t="s">
        <v>525</v>
      </c>
      <c r="J6" s="3373"/>
      <c r="K6" s="514" t="s">
        <v>526</v>
      </c>
      <c r="L6" s="2118"/>
      <c r="M6" s="2117"/>
      <c r="N6" s="2117"/>
      <c r="O6" s="2119"/>
      <c r="P6" s="3374" t="s">
        <v>527</v>
      </c>
      <c r="Q6" s="3375"/>
      <c r="R6" s="3380" t="s">
        <v>523</v>
      </c>
      <c r="S6" s="3381"/>
      <c r="T6" s="3380" t="s">
        <v>524</v>
      </c>
      <c r="U6" s="3381"/>
      <c r="V6" s="3367" t="s">
        <v>525</v>
      </c>
      <c r="W6" s="3367"/>
      <c r="X6" s="1553"/>
      <c r="Y6" s="3380" t="s">
        <v>527</v>
      </c>
      <c r="Z6" s="3381"/>
      <c r="AA6" s="3369" t="s">
        <v>523</v>
      </c>
      <c r="AB6" s="3370" t="s">
        <v>524</v>
      </c>
      <c r="AC6" s="3369" t="s">
        <v>525</v>
      </c>
    </row>
    <row r="7" spans="1:30" ht="42" customHeight="1">
      <c r="A7" s="515"/>
      <c r="B7" s="516"/>
      <c r="C7" s="3388" t="s">
        <v>2928</v>
      </c>
      <c r="D7" s="3389"/>
      <c r="E7" s="3388" t="str">
        <f>土地案例!A8</f>
        <v>北京市顺义区后沙峪镇SY00-0019-6014地块R2二类居住用地、SY00-0019-6013地块A33基础教育用地</v>
      </c>
      <c r="F7" s="3389"/>
      <c r="G7" s="3388" t="str">
        <f>土地案例!A17</f>
        <v>北京市怀柔区雁栖镇陈各庄村HR00-0010-6037地块R2二类居住用地、HR00-0010-6043地块A33基础教育用地</v>
      </c>
      <c r="H7" s="3389"/>
      <c r="I7" s="3388" t="str">
        <f>土地案例!A36</f>
        <v>北京市昌平区北七家镇(未来科学城南区)C-16、CP07-0600-0023-2、0024、0025、0041-2、0042、0043地块R2二类居住用地、F3其他类多功能用地</v>
      </c>
      <c r="J7" s="3389"/>
      <c r="K7" s="514"/>
      <c r="L7" s="2118"/>
      <c r="M7" s="2117"/>
      <c r="N7" s="2117"/>
      <c r="O7" s="2119"/>
      <c r="P7" s="3376"/>
      <c r="Q7" s="3377"/>
      <c r="R7" s="3382"/>
      <c r="S7" s="3383"/>
      <c r="T7" s="3382"/>
      <c r="U7" s="3383"/>
      <c r="V7" s="3367"/>
      <c r="W7" s="3367"/>
      <c r="X7" s="1553"/>
      <c r="Y7" s="3382"/>
      <c r="Z7" s="3383"/>
      <c r="AA7" s="3370"/>
      <c r="AB7" s="3370"/>
      <c r="AC7" s="3370"/>
    </row>
    <row r="8" spans="1:30" ht="21" thickBot="1">
      <c r="A8" s="515"/>
      <c r="B8" s="516"/>
      <c r="C8" s="3390" t="s">
        <v>2932</v>
      </c>
      <c r="D8" s="3391"/>
      <c r="E8" s="3390" t="s">
        <v>2932</v>
      </c>
      <c r="F8" s="3391"/>
      <c r="G8" s="3386" t="s">
        <v>2932</v>
      </c>
      <c r="H8" s="3387"/>
      <c r="I8" s="3386" t="s">
        <v>2932</v>
      </c>
      <c r="J8" s="3387"/>
      <c r="K8" s="514" t="s">
        <v>528</v>
      </c>
      <c r="L8" s="2118"/>
      <c r="M8" s="2117"/>
      <c r="N8" s="2117"/>
      <c r="O8" s="2119"/>
      <c r="P8" s="3378"/>
      <c r="Q8" s="3379"/>
      <c r="R8" s="3382"/>
      <c r="S8" s="3383"/>
      <c r="T8" s="3384"/>
      <c r="U8" s="3385"/>
      <c r="V8" s="3367"/>
      <c r="W8" s="3367"/>
      <c r="X8" s="1553"/>
      <c r="Y8" s="3384"/>
      <c r="Z8" s="3385"/>
      <c r="AA8" s="3371"/>
      <c r="AB8" s="3371"/>
      <c r="AC8" s="3371"/>
    </row>
    <row r="9" spans="1:30" s="1216" customFormat="1" ht="21" thickBot="1">
      <c r="A9" s="2867"/>
      <c r="B9" s="2874" t="s">
        <v>529</v>
      </c>
      <c r="C9" s="2866">
        <f>'数据-取费表'!B2</f>
        <v>43572</v>
      </c>
      <c r="D9" s="520">
        <v>100</v>
      </c>
      <c r="E9" s="521" t="str">
        <f>土地案例!G8</f>
        <v>2018-11-26</v>
      </c>
      <c r="F9" s="522">
        <f>SUMIF(72:72,YEAR(E9)&amp;"-"&amp;INT((MONTH(E9)+2)/3),73:73)</f>
        <v>99</v>
      </c>
      <c r="G9" s="523" t="str">
        <f>土地案例!G17</f>
        <v>2019-01-28</v>
      </c>
      <c r="H9" s="520">
        <f>SUMIF(72:72,YEAR(G9)&amp;"-"&amp;INT((MONTH(G9)+2)/3),73:73)</f>
        <v>99.5</v>
      </c>
      <c r="I9" s="523" t="str">
        <f>土地案例!G36</f>
        <v>2018-01-12</v>
      </c>
      <c r="J9" s="520">
        <f>SUMIF(72:72,YEAR(I9)&amp;"-"&amp;INT((MONTH(I9)+2)/3),73:73)</f>
        <v>97.5</v>
      </c>
      <c r="K9" s="524"/>
      <c r="L9" s="2120"/>
      <c r="M9" s="2117"/>
      <c r="N9" s="2117"/>
      <c r="O9" s="2121"/>
      <c r="P9" s="3397" t="s">
        <v>530</v>
      </c>
      <c r="Q9" s="3399"/>
      <c r="R9" s="1554" t="s">
        <v>8</v>
      </c>
      <c r="S9" s="1555">
        <f t="shared" ref="S9:S17" si="0">F9</f>
        <v>99</v>
      </c>
      <c r="T9" s="1554" t="s">
        <v>8</v>
      </c>
      <c r="U9" s="1555">
        <f t="shared" ref="U9:U17" si="1">H9</f>
        <v>99.5</v>
      </c>
      <c r="V9" s="1554" t="s">
        <v>8</v>
      </c>
      <c r="W9" s="1555">
        <f t="shared" ref="W9:W17" si="2">J9</f>
        <v>97.5</v>
      </c>
      <c r="X9" s="1556"/>
      <c r="Y9" s="3397" t="s">
        <v>530</v>
      </c>
      <c r="Z9" s="3398"/>
      <c r="AA9" s="1557">
        <f>D9/F9</f>
        <v>1.0101010101010102</v>
      </c>
      <c r="AB9" s="1557">
        <f>D9/H9</f>
        <v>1.0050251256281406</v>
      </c>
      <c r="AC9" s="1557">
        <f>D9/J9</f>
        <v>1.0256410256410255</v>
      </c>
    </row>
    <row r="10" spans="1:30" s="1216" customFormat="1" ht="21"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97" t="s">
        <v>533</v>
      </c>
      <c r="Q10" s="3398"/>
      <c r="R10" s="1554" t="s">
        <v>8</v>
      </c>
      <c r="S10" s="1555">
        <f t="shared" si="0"/>
        <v>100</v>
      </c>
      <c r="T10" s="1554" t="s">
        <v>8</v>
      </c>
      <c r="U10" s="1555">
        <f t="shared" si="1"/>
        <v>100</v>
      </c>
      <c r="V10" s="1554" t="s">
        <v>8</v>
      </c>
      <c r="W10" s="1555">
        <f t="shared" si="2"/>
        <v>100</v>
      </c>
      <c r="X10" s="1556"/>
      <c r="Y10" s="3397" t="s">
        <v>533</v>
      </c>
      <c r="Z10" s="3398"/>
      <c r="AA10" s="1557">
        <f t="shared" ref="AA10:AA47" si="3">D10/F10</f>
        <v>1</v>
      </c>
      <c r="AB10" s="1557">
        <f t="shared" ref="AB10:AB47" si="4">D10/H10</f>
        <v>1</v>
      </c>
      <c r="AC10" s="1557">
        <f t="shared" ref="AC10:AC47" si="5">D10/J10</f>
        <v>1</v>
      </c>
    </row>
    <row r="11" spans="1:30" s="1216" customFormat="1" ht="20.25">
      <c r="A11" s="2869"/>
      <c r="B11" s="2876" t="s">
        <v>2756</v>
      </c>
      <c r="C11" s="2863" t="s">
        <v>923</v>
      </c>
      <c r="D11" s="254">
        <v>100</v>
      </c>
      <c r="E11" s="526" t="s">
        <v>3163</v>
      </c>
      <c r="F11" s="254">
        <f>SUMIF(77:77,E11,78:78)-SUMIF(77:77,C11,78:78)+100</f>
        <v>105</v>
      </c>
      <c r="G11" s="526" t="s">
        <v>3163</v>
      </c>
      <c r="H11" s="254">
        <f>SUMIF(77:77,G11,78:78)-SUMIF(77:77,C11,78:78)+100</f>
        <v>105</v>
      </c>
      <c r="I11" s="526" t="s">
        <v>3163</v>
      </c>
      <c r="J11" s="254">
        <f>SUMIF(77:77,I11,78:78)-SUMIF(77:77,C11,78:78)+100</f>
        <v>105</v>
      </c>
      <c r="K11" s="524"/>
      <c r="L11" s="2120"/>
      <c r="M11" s="2117"/>
      <c r="N11" s="2117"/>
      <c r="O11" s="2122"/>
      <c r="P11" s="3366" t="s">
        <v>535</v>
      </c>
      <c r="Q11" s="1147" t="str">
        <f t="shared" ref="Q11:Q17" si="6">B11</f>
        <v>用途</v>
      </c>
      <c r="R11" s="1554" t="s">
        <v>8</v>
      </c>
      <c r="S11" s="1555">
        <f t="shared" si="0"/>
        <v>105</v>
      </c>
      <c r="T11" s="1554" t="s">
        <v>8</v>
      </c>
      <c r="U11" s="1555">
        <f t="shared" si="1"/>
        <v>105</v>
      </c>
      <c r="V11" s="1554" t="s">
        <v>8</v>
      </c>
      <c r="W11" s="1555">
        <f t="shared" si="2"/>
        <v>105</v>
      </c>
      <c r="X11" s="1556"/>
      <c r="Y11" s="3312" t="s">
        <v>536</v>
      </c>
      <c r="Z11" s="1146" t="str">
        <f t="shared" ref="Z11:Z17" si="7">Q11</f>
        <v>用途</v>
      </c>
      <c r="AA11" s="1557">
        <f t="shared" si="3"/>
        <v>0.95238095238095233</v>
      </c>
      <c r="AB11" s="1557">
        <f t="shared" si="4"/>
        <v>0.95238095238095233</v>
      </c>
      <c r="AC11" s="1557">
        <f t="shared" si="5"/>
        <v>0.95238095238095233</v>
      </c>
    </row>
    <row r="12" spans="1:30" s="1334" customFormat="1" ht="27">
      <c r="A12" s="2870"/>
      <c r="B12" s="2875"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66"/>
      <c r="Q12" s="1147" t="str">
        <f t="shared" si="6"/>
        <v>土地使用年限（年）</v>
      </c>
      <c r="R12" s="1554" t="s">
        <v>8</v>
      </c>
      <c r="S12" s="1555">
        <f t="shared" si="0"/>
        <v>100</v>
      </c>
      <c r="T12" s="1554" t="s">
        <v>8</v>
      </c>
      <c r="U12" s="1555">
        <f t="shared" si="1"/>
        <v>100</v>
      </c>
      <c r="V12" s="1554" t="s">
        <v>8</v>
      </c>
      <c r="W12" s="1555">
        <f t="shared" si="2"/>
        <v>100</v>
      </c>
      <c r="X12" s="1556"/>
      <c r="Y12" s="3312"/>
      <c r="Z12" s="1146" t="str">
        <f t="shared" si="7"/>
        <v>土地使用年限（年）</v>
      </c>
      <c r="AA12" s="1557">
        <f t="shared" si="3"/>
        <v>1</v>
      </c>
      <c r="AB12" s="1557">
        <f t="shared" si="4"/>
        <v>1</v>
      </c>
      <c r="AC12" s="1557">
        <f t="shared" si="5"/>
        <v>1</v>
      </c>
    </row>
    <row r="13" spans="1:30" ht="20.25">
      <c r="A13" s="2871"/>
      <c r="B13" s="2875" t="s">
        <v>2758</v>
      </c>
      <c r="C13" s="534">
        <f>'数据-汇总表'!I4</f>
        <v>1.7</v>
      </c>
      <c r="D13" s="255">
        <v>100</v>
      </c>
      <c r="E13" s="533">
        <f>土地案例!F8</f>
        <v>1.73</v>
      </c>
      <c r="F13" s="255">
        <f>LOOKUP(E13,82:82,83:83)-LOOKUP(C13,82:82,83:83)+100</f>
        <v>100</v>
      </c>
      <c r="G13" s="3192">
        <f>土地案例!F17</f>
        <v>1.86</v>
      </c>
      <c r="H13" s="255">
        <f>LOOKUP(G13,82:82,83:83)-LOOKUP(C13,82:82,83:83)+100</f>
        <v>100</v>
      </c>
      <c r="I13" s="3191">
        <f>土地案例!F36</f>
        <v>2.335</v>
      </c>
      <c r="J13" s="255">
        <f>LOOKUP(I13,82:82,83:83)-LOOKUP(C13,82:82,83:83)+100</f>
        <v>98</v>
      </c>
      <c r="K13" s="535">
        <v>2</v>
      </c>
      <c r="L13" s="2125"/>
      <c r="M13" s="2117"/>
      <c r="N13" s="2117"/>
      <c r="O13" s="2126"/>
      <c r="P13" s="3366"/>
      <c r="Q13" s="1147" t="str">
        <f t="shared" si="6"/>
        <v>容积率</v>
      </c>
      <c r="R13" s="1554" t="s">
        <v>8</v>
      </c>
      <c r="S13" s="1555">
        <f t="shared" si="0"/>
        <v>100</v>
      </c>
      <c r="T13" s="1554" t="s">
        <v>8</v>
      </c>
      <c r="U13" s="1555">
        <f t="shared" si="1"/>
        <v>100</v>
      </c>
      <c r="V13" s="1554" t="s">
        <v>8</v>
      </c>
      <c r="W13" s="1555">
        <f t="shared" si="2"/>
        <v>98</v>
      </c>
      <c r="X13" s="1556"/>
      <c r="Y13" s="3312"/>
      <c r="Z13" s="1146" t="str">
        <f t="shared" si="7"/>
        <v>容积率</v>
      </c>
      <c r="AA13" s="1557">
        <f t="shared" si="3"/>
        <v>1</v>
      </c>
      <c r="AB13" s="1557">
        <f t="shared" si="4"/>
        <v>1</v>
      </c>
      <c r="AC13" s="1557">
        <f t="shared" si="5"/>
        <v>1.0204081632653061</v>
      </c>
    </row>
    <row r="14" spans="1:30" s="1216" customFormat="1" ht="20.25">
      <c r="A14" s="2868"/>
      <c r="B14" s="2877" t="s">
        <v>2759</v>
      </c>
      <c r="C14" s="2864" t="s">
        <v>3165</v>
      </c>
      <c r="D14" s="538">
        <v>100</v>
      </c>
      <c r="E14" s="2864" t="s">
        <v>3165</v>
      </c>
      <c r="F14" s="255">
        <f>SUMIF(84:84,E14,85:85)-SUMIF(84:84,C14,85:85)+100</f>
        <v>100</v>
      </c>
      <c r="G14" s="2864" t="s">
        <v>3165</v>
      </c>
      <c r="H14" s="255">
        <f>SUMIF(84:84,G14,85:85)-SUMIF(84:84,C14,85:85)+100</f>
        <v>100</v>
      </c>
      <c r="I14" s="2864" t="s">
        <v>3165</v>
      </c>
      <c r="J14" s="255">
        <f>SUMIF(84:84,I14,85:85)-SUMIF(84:84,C14,85:85)+100</f>
        <v>100</v>
      </c>
      <c r="K14" s="531"/>
      <c r="L14" s="2120"/>
      <c r="M14" s="2117"/>
      <c r="N14" s="2117"/>
      <c r="O14" s="2122"/>
      <c r="P14" s="3366"/>
      <c r="Q14" s="1147" t="str">
        <f t="shared" si="6"/>
        <v>配建</v>
      </c>
      <c r="R14" s="1554" t="s">
        <v>8</v>
      </c>
      <c r="S14" s="1555">
        <f t="shared" si="0"/>
        <v>100</v>
      </c>
      <c r="T14" s="1554" t="s">
        <v>8</v>
      </c>
      <c r="U14" s="1555">
        <f t="shared" si="1"/>
        <v>100</v>
      </c>
      <c r="V14" s="1554" t="s">
        <v>8</v>
      </c>
      <c r="W14" s="1555">
        <f t="shared" si="2"/>
        <v>100</v>
      </c>
      <c r="X14" s="1556"/>
      <c r="Y14" s="3312"/>
      <c r="Z14" s="1146" t="str">
        <f t="shared" si="7"/>
        <v>配建</v>
      </c>
      <c r="AA14" s="1557">
        <f>D14/F14</f>
        <v>1</v>
      </c>
      <c r="AB14" s="1557">
        <f>D14/H14</f>
        <v>1</v>
      </c>
      <c r="AC14" s="1557">
        <f>D14/J14</f>
        <v>1</v>
      </c>
    </row>
    <row r="15" spans="1:30" ht="20.25">
      <c r="A15" s="2872"/>
      <c r="B15" s="2878"/>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6"/>
      <c r="Q15" s="1147">
        <f t="shared" si="6"/>
        <v>0</v>
      </c>
      <c r="R15" s="1554" t="s">
        <v>8</v>
      </c>
      <c r="S15" s="1555">
        <f t="shared" si="0"/>
        <v>100</v>
      </c>
      <c r="T15" s="1554" t="s">
        <v>8</v>
      </c>
      <c r="U15" s="1555">
        <f t="shared" si="1"/>
        <v>100</v>
      </c>
      <c r="V15" s="1554" t="s">
        <v>8</v>
      </c>
      <c r="W15" s="1555">
        <f t="shared" si="2"/>
        <v>100</v>
      </c>
      <c r="X15" s="1556"/>
      <c r="Y15" s="3312"/>
      <c r="Z15" s="1146">
        <f t="shared" si="7"/>
        <v>0</v>
      </c>
      <c r="AA15" s="1557">
        <f>D15/F15</f>
        <v>1</v>
      </c>
      <c r="AB15" s="1557">
        <f>D15/H15</f>
        <v>1</v>
      </c>
      <c r="AC15" s="1557">
        <f>D15/J15</f>
        <v>1</v>
      </c>
    </row>
    <row r="16" spans="1:30" ht="21" thickBot="1">
      <c r="A16" s="2873"/>
      <c r="B16" s="2879"/>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6"/>
      <c r="Q16" s="1147">
        <f t="shared" si="6"/>
        <v>0</v>
      </c>
      <c r="R16" s="1554" t="s">
        <v>8</v>
      </c>
      <c r="S16" s="1555">
        <f t="shared" si="0"/>
        <v>100</v>
      </c>
      <c r="T16" s="1554" t="s">
        <v>8</v>
      </c>
      <c r="U16" s="1555">
        <f t="shared" si="1"/>
        <v>100</v>
      </c>
      <c r="V16" s="1554" t="s">
        <v>8</v>
      </c>
      <c r="W16" s="1555">
        <f t="shared" si="2"/>
        <v>100</v>
      </c>
      <c r="X16" s="1556"/>
      <c r="Y16" s="3312"/>
      <c r="Z16" s="1146">
        <f t="shared" si="7"/>
        <v>0</v>
      </c>
      <c r="AA16" s="1557">
        <f>D16/F16</f>
        <v>1</v>
      </c>
      <c r="AB16" s="1557">
        <f>D16/H16</f>
        <v>1</v>
      </c>
      <c r="AC16" s="1557">
        <f>D16/J16</f>
        <v>1</v>
      </c>
    </row>
    <row r="17" spans="1:29" ht="71.25">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97</v>
      </c>
      <c r="I17" s="552"/>
      <c r="J17" s="549">
        <f>SUMIF(90:90,I18,91:91)-SUMIF(90:90,C18,91:91)+100</f>
        <v>97</v>
      </c>
      <c r="K17" s="535">
        <v>3</v>
      </c>
      <c r="L17" s="2127"/>
      <c r="M17" s="2117"/>
      <c r="N17" s="2117"/>
      <c r="O17" s="2126"/>
      <c r="P17" s="3400" t="s">
        <v>540</v>
      </c>
      <c r="Q17" s="1558" t="str">
        <f t="shared" si="6"/>
        <v>居住社区成熟度</v>
      </c>
      <c r="R17" s="1559" t="s">
        <v>8</v>
      </c>
      <c r="S17" s="1560">
        <f t="shared" si="0"/>
        <v>103</v>
      </c>
      <c r="T17" s="1559" t="s">
        <v>8</v>
      </c>
      <c r="U17" s="1560">
        <f t="shared" si="1"/>
        <v>97</v>
      </c>
      <c r="V17" s="1559" t="s">
        <v>8</v>
      </c>
      <c r="W17" s="1560">
        <f t="shared" si="2"/>
        <v>97</v>
      </c>
      <c r="X17" s="1553"/>
      <c r="Y17" s="3400" t="s">
        <v>540</v>
      </c>
      <c r="Z17" s="1561" t="str">
        <f t="shared" si="7"/>
        <v>居住社区成熟度</v>
      </c>
      <c r="AA17" s="1562">
        <f t="shared" si="3"/>
        <v>0.970873786407767</v>
      </c>
      <c r="AB17" s="1562">
        <f t="shared" si="4"/>
        <v>1.0309278350515463</v>
      </c>
      <c r="AC17" s="1562">
        <f t="shared" si="5"/>
        <v>1.0309278350515463</v>
      </c>
    </row>
    <row r="18" spans="1:29" ht="20.25">
      <c r="A18" s="532"/>
      <c r="B18" s="553"/>
      <c r="C18" s="554" t="s">
        <v>3175</v>
      </c>
      <c r="D18" s="557"/>
      <c r="E18" s="558" t="s">
        <v>3182</v>
      </c>
      <c r="F18" s="555"/>
      <c r="G18" s="558" t="s">
        <v>3185</v>
      </c>
      <c r="H18" s="559"/>
      <c r="I18" s="558" t="s">
        <v>3185</v>
      </c>
      <c r="J18" s="555"/>
      <c r="K18" s="531"/>
      <c r="L18" s="2127"/>
      <c r="M18" s="2117"/>
      <c r="N18" s="2117"/>
      <c r="O18" s="2126"/>
      <c r="P18" s="3401"/>
      <c r="Q18" s="1558"/>
      <c r="R18" s="1559"/>
      <c r="S18" s="1560"/>
      <c r="T18" s="1559"/>
      <c r="U18" s="1560"/>
      <c r="V18" s="1559"/>
      <c r="W18" s="1560"/>
      <c r="X18" s="1553"/>
      <c r="Y18" s="3401"/>
      <c r="Z18" s="1561"/>
      <c r="AA18" s="1562">
        <v>1</v>
      </c>
      <c r="AB18" s="1562">
        <v>1</v>
      </c>
      <c r="AC18" s="1562">
        <v>1</v>
      </c>
    </row>
    <row r="19" spans="1:29" ht="57">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1"/>
      <c r="Q19" s="1558" t="str">
        <f>B19</f>
        <v>商业繁华度</v>
      </c>
      <c r="R19" s="1559" t="s">
        <v>8</v>
      </c>
      <c r="S19" s="1560">
        <f>F19</f>
        <v>100</v>
      </c>
      <c r="T19" s="1559" t="s">
        <v>8</v>
      </c>
      <c r="U19" s="1560">
        <f>H19</f>
        <v>100</v>
      </c>
      <c r="V19" s="1559" t="s">
        <v>8</v>
      </c>
      <c r="W19" s="1560">
        <f>J19</f>
        <v>100</v>
      </c>
      <c r="X19" s="1553"/>
      <c r="Y19" s="3401"/>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01"/>
      <c r="Q20" s="1558"/>
      <c r="R20" s="1559"/>
      <c r="S20" s="1560"/>
      <c r="T20" s="1559"/>
      <c r="U20" s="1560"/>
      <c r="V20" s="1559"/>
      <c r="W20" s="1560"/>
      <c r="X20" s="1553"/>
      <c r="Y20" s="3401"/>
      <c r="Z20" s="1561"/>
      <c r="AA20" s="1562">
        <v>1</v>
      </c>
      <c r="AB20" s="1562">
        <v>1</v>
      </c>
      <c r="AC20" s="1562">
        <v>1</v>
      </c>
    </row>
    <row r="21" spans="1:29" ht="57">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1"/>
      <c r="Q21" s="1558" t="str">
        <f>B21</f>
        <v>办公集聚程度</v>
      </c>
      <c r="R21" s="1559" t="s">
        <v>8</v>
      </c>
      <c r="S21" s="1560">
        <f>F21</f>
        <v>100</v>
      </c>
      <c r="T21" s="1559" t="s">
        <v>8</v>
      </c>
      <c r="U21" s="1560">
        <f>H21</f>
        <v>100</v>
      </c>
      <c r="V21" s="1559" t="s">
        <v>8</v>
      </c>
      <c r="W21" s="1560">
        <f>J21</f>
        <v>100</v>
      </c>
      <c r="X21" s="1553"/>
      <c r="Y21" s="3401"/>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01"/>
      <c r="Q22" s="1558"/>
      <c r="R22" s="1559"/>
      <c r="S22" s="1560"/>
      <c r="T22" s="1559"/>
      <c r="U22" s="1560"/>
      <c r="V22" s="1559"/>
      <c r="W22" s="1560"/>
      <c r="X22" s="1553"/>
      <c r="Y22" s="3401"/>
      <c r="Z22" s="1561"/>
      <c r="AA22" s="1562">
        <v>1</v>
      </c>
      <c r="AB22" s="1562">
        <v>1</v>
      </c>
      <c r="AC22" s="1562">
        <v>1</v>
      </c>
    </row>
    <row r="23" spans="1:29" ht="71.2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99</v>
      </c>
      <c r="K23" s="535">
        <v>1</v>
      </c>
      <c r="L23" s="2127"/>
      <c r="M23" s="2117"/>
      <c r="N23" s="2117"/>
      <c r="O23" s="2126"/>
      <c r="P23" s="3401"/>
      <c r="Q23" s="1558" t="str">
        <f>B23</f>
        <v>交通便捷度</v>
      </c>
      <c r="R23" s="1559" t="s">
        <v>8</v>
      </c>
      <c r="S23" s="1560">
        <f>F23</f>
        <v>100</v>
      </c>
      <c r="T23" s="1559" t="s">
        <v>8</v>
      </c>
      <c r="U23" s="1560">
        <f>H23</f>
        <v>100</v>
      </c>
      <c r="V23" s="1559" t="s">
        <v>8</v>
      </c>
      <c r="W23" s="1560">
        <f>J23</f>
        <v>99</v>
      </c>
      <c r="X23" s="1553"/>
      <c r="Y23" s="3401"/>
      <c r="Z23" s="1561" t="str">
        <f>Q23</f>
        <v>交通便捷度</v>
      </c>
      <c r="AA23" s="1562">
        <f t="shared" si="3"/>
        <v>1</v>
      </c>
      <c r="AB23" s="1562">
        <f t="shared" si="4"/>
        <v>1</v>
      </c>
      <c r="AC23" s="1562">
        <f t="shared" si="5"/>
        <v>1.0101010101010102</v>
      </c>
    </row>
    <row r="24" spans="1:29" ht="20.25">
      <c r="A24" s="532"/>
      <c r="B24" s="578"/>
      <c r="C24" s="554" t="s">
        <v>3175</v>
      </c>
      <c r="D24" s="557"/>
      <c r="E24" s="558" t="s">
        <v>3175</v>
      </c>
      <c r="F24" s="555"/>
      <c r="G24" s="556" t="s">
        <v>3175</v>
      </c>
      <c r="H24" s="555"/>
      <c r="I24" s="558" t="s">
        <v>3185</v>
      </c>
      <c r="J24" s="555"/>
      <c r="K24" s="531"/>
      <c r="L24" s="2127"/>
      <c r="M24" s="2117"/>
      <c r="N24" s="2117"/>
      <c r="O24" s="2126"/>
      <c r="P24" s="3401"/>
      <c r="Q24" s="1558"/>
      <c r="R24" s="1559"/>
      <c r="S24" s="1560"/>
      <c r="T24" s="1559"/>
      <c r="U24" s="1560"/>
      <c r="V24" s="1559"/>
      <c r="W24" s="1560"/>
      <c r="X24" s="1553"/>
      <c r="Y24" s="340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01"/>
      <c r="Q25" s="1558" t="str">
        <f t="shared" ref="Q25:Q39" si="8">B25</f>
        <v>区域土地利用方向</v>
      </c>
      <c r="R25" s="1559" t="s">
        <v>8</v>
      </c>
      <c r="S25" s="1560">
        <f>F25</f>
        <v>100</v>
      </c>
      <c r="T25" s="1559" t="s">
        <v>8</v>
      </c>
      <c r="U25" s="1560">
        <f>H25</f>
        <v>100</v>
      </c>
      <c r="V25" s="1559" t="s">
        <v>8</v>
      </c>
      <c r="W25" s="1560">
        <f>J25</f>
        <v>100</v>
      </c>
      <c r="X25" s="1553"/>
      <c r="Y25" s="3401"/>
      <c r="Z25" s="1561" t="str">
        <f>Q25</f>
        <v>区域土地利用方向</v>
      </c>
      <c r="AA25" s="1562">
        <f t="shared" si="3"/>
        <v>1</v>
      </c>
      <c r="AB25" s="1562">
        <f t="shared" si="4"/>
        <v>1</v>
      </c>
      <c r="AC25" s="1562">
        <f t="shared" si="5"/>
        <v>1</v>
      </c>
    </row>
    <row r="26" spans="1:29" ht="20.25">
      <c r="A26" s="515"/>
      <c r="B26" s="1007"/>
      <c r="C26" s="554" t="s">
        <v>3182</v>
      </c>
      <c r="D26" s="557"/>
      <c r="E26" s="554" t="s">
        <v>3182</v>
      </c>
      <c r="F26" s="555"/>
      <c r="G26" s="554" t="s">
        <v>3182</v>
      </c>
      <c r="H26" s="555"/>
      <c r="I26" s="554" t="s">
        <v>3182</v>
      </c>
      <c r="J26" s="555"/>
      <c r="K26" s="531"/>
      <c r="L26" s="2127"/>
      <c r="M26" s="2117"/>
      <c r="N26" s="2117"/>
      <c r="O26" s="2126"/>
      <c r="P26" s="3401"/>
      <c r="Q26" s="1558"/>
      <c r="R26" s="1559"/>
      <c r="S26" s="1560"/>
      <c r="T26" s="1559"/>
      <c r="U26" s="1560"/>
      <c r="V26" s="1559"/>
      <c r="W26" s="1560"/>
      <c r="X26" s="1553"/>
      <c r="Y26" s="3401"/>
      <c r="Z26" s="1561"/>
      <c r="AA26" s="1562"/>
      <c r="AB26" s="1562"/>
      <c r="AC26" s="1562"/>
    </row>
    <row r="27" spans="1:29" ht="42.7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01"/>
      <c r="Q27" s="1558" t="str">
        <f t="shared" si="8"/>
        <v>自然及人文环境状况</v>
      </c>
      <c r="R27" s="1559" t="s">
        <v>8</v>
      </c>
      <c r="S27" s="1560">
        <f>F27</f>
        <v>100</v>
      </c>
      <c r="T27" s="1559" t="s">
        <v>8</v>
      </c>
      <c r="U27" s="1560">
        <f>H27</f>
        <v>100</v>
      </c>
      <c r="V27" s="1559" t="s">
        <v>8</v>
      </c>
      <c r="W27" s="1560">
        <f>J27</f>
        <v>100</v>
      </c>
      <c r="X27" s="1553"/>
      <c r="Y27" s="3401"/>
      <c r="Z27" s="1561" t="str">
        <f>Q27</f>
        <v>自然及人文环境状况</v>
      </c>
      <c r="AA27" s="1562">
        <f t="shared" si="3"/>
        <v>1</v>
      </c>
      <c r="AB27" s="1562">
        <f t="shared" si="4"/>
        <v>1</v>
      </c>
      <c r="AC27" s="1562">
        <f t="shared" si="5"/>
        <v>1</v>
      </c>
    </row>
    <row r="28" spans="1:29" ht="20.25">
      <c r="A28" s="515"/>
      <c r="B28" s="566"/>
      <c r="C28" s="554" t="s">
        <v>3175</v>
      </c>
      <c r="D28" s="557"/>
      <c r="E28" s="554" t="s">
        <v>3175</v>
      </c>
      <c r="F28" s="555"/>
      <c r="G28" s="554" t="s">
        <v>3175</v>
      </c>
      <c r="H28" s="555"/>
      <c r="I28" s="554" t="s">
        <v>3175</v>
      </c>
      <c r="J28" s="555"/>
      <c r="K28" s="531"/>
      <c r="L28" s="2127"/>
      <c r="M28" s="2117"/>
      <c r="N28" s="2117"/>
      <c r="O28" s="2126"/>
      <c r="P28" s="3401"/>
      <c r="Q28" s="1558"/>
      <c r="R28" s="1559"/>
      <c r="S28" s="1560"/>
      <c r="T28" s="1559"/>
      <c r="U28" s="1560"/>
      <c r="V28" s="1559"/>
      <c r="W28" s="1560"/>
      <c r="X28" s="1553"/>
      <c r="Y28" s="3401"/>
      <c r="Z28" s="1561"/>
      <c r="AA28" s="1562">
        <v>1</v>
      </c>
      <c r="AB28" s="1562">
        <v>1</v>
      </c>
      <c r="AC28" s="1562">
        <v>1</v>
      </c>
    </row>
    <row r="29" spans="1:29" s="1216" customFormat="1" ht="28.5">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20"/>
      <c r="M29" s="2117"/>
      <c r="N29" s="2117"/>
      <c r="O29" s="2122"/>
      <c r="P29" s="3401"/>
      <c r="Q29" s="1147" t="str">
        <f t="shared" si="8"/>
        <v>公共配套设施</v>
      </c>
      <c r="R29" s="1554" t="s">
        <v>8</v>
      </c>
      <c r="S29" s="1555">
        <f>F29</f>
        <v>100</v>
      </c>
      <c r="T29" s="1554" t="s">
        <v>8</v>
      </c>
      <c r="U29" s="1555">
        <f>H29</f>
        <v>100</v>
      </c>
      <c r="V29" s="1554" t="s">
        <v>8</v>
      </c>
      <c r="W29" s="1555">
        <f>J29</f>
        <v>100</v>
      </c>
      <c r="X29" s="1556"/>
      <c r="Y29" s="3401"/>
      <c r="Z29" s="1146" t="str">
        <f>Q29</f>
        <v>公共配套设施</v>
      </c>
      <c r="AA29" s="1562">
        <f>D29/F29</f>
        <v>1</v>
      </c>
      <c r="AB29" s="1562">
        <f>D29/H29</f>
        <v>1</v>
      </c>
      <c r="AC29" s="1562">
        <f>D29/J29</f>
        <v>1</v>
      </c>
    </row>
    <row r="30" spans="1:29" s="1216" customFormat="1" ht="20.25">
      <c r="A30" s="577"/>
      <c r="B30" s="566"/>
      <c r="C30" s="579" t="s">
        <v>3185</v>
      </c>
      <c r="D30" s="557"/>
      <c r="E30" s="579" t="s">
        <v>3185</v>
      </c>
      <c r="F30" s="555"/>
      <c r="G30" s="579" t="s">
        <v>3185</v>
      </c>
      <c r="H30" s="555"/>
      <c r="I30" s="579" t="s">
        <v>3185</v>
      </c>
      <c r="J30" s="555"/>
      <c r="K30" s="531"/>
      <c r="L30" s="2120"/>
      <c r="M30" s="2117"/>
      <c r="N30" s="2117"/>
      <c r="O30" s="2122"/>
      <c r="P30" s="3401"/>
      <c r="Q30" s="1147"/>
      <c r="R30" s="1554"/>
      <c r="S30" s="1555"/>
      <c r="T30" s="1554"/>
      <c r="U30" s="1555"/>
      <c r="V30" s="1554"/>
      <c r="W30" s="1555"/>
      <c r="X30" s="1556"/>
      <c r="Y30" s="3401"/>
      <c r="Z30" s="1146"/>
      <c r="AA30" s="1562">
        <v>1</v>
      </c>
      <c r="AB30" s="1562">
        <v>1</v>
      </c>
      <c r="AC30" s="1562">
        <v>1</v>
      </c>
    </row>
    <row r="31" spans="1:29" s="1216" customFormat="1" ht="28.5">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1"/>
      <c r="Q31" s="2542" t="str">
        <f t="shared" ref="Q31" si="9">B31</f>
        <v>基础设施水平</v>
      </c>
      <c r="R31" s="1554" t="s">
        <v>8</v>
      </c>
      <c r="S31" s="1555">
        <f>F31</f>
        <v>100</v>
      </c>
      <c r="T31" s="1554" t="s">
        <v>8</v>
      </c>
      <c r="U31" s="1555">
        <f>H31</f>
        <v>100</v>
      </c>
      <c r="V31" s="1554" t="s">
        <v>8</v>
      </c>
      <c r="W31" s="1555">
        <f>J31</f>
        <v>100</v>
      </c>
      <c r="X31" s="1556"/>
      <c r="Y31" s="3401"/>
      <c r="Z31" s="2539" t="str">
        <f>Q31</f>
        <v>基础设施水平</v>
      </c>
      <c r="AA31" s="1562">
        <f>D31/F31</f>
        <v>1</v>
      </c>
      <c r="AB31" s="1562">
        <f>D31/H31</f>
        <v>1</v>
      </c>
      <c r="AC31" s="1562">
        <f>D31/J31</f>
        <v>1</v>
      </c>
    </row>
    <row r="32" spans="1:29" s="1216" customFormat="1" ht="20.25">
      <c r="A32" s="577"/>
      <c r="B32" s="566"/>
      <c r="C32" s="579" t="s">
        <v>3181</v>
      </c>
      <c r="D32" s="557"/>
      <c r="E32" s="579" t="s">
        <v>3181</v>
      </c>
      <c r="F32" s="555"/>
      <c r="G32" s="579" t="s">
        <v>3181</v>
      </c>
      <c r="H32" s="555"/>
      <c r="I32" s="579" t="s">
        <v>3181</v>
      </c>
      <c r="J32" s="555"/>
      <c r="K32" s="531"/>
      <c r="L32" s="2120"/>
      <c r="M32" s="2117"/>
      <c r="N32" s="2117"/>
      <c r="O32" s="2122"/>
      <c r="P32" s="3401"/>
      <c r="Q32" s="2542"/>
      <c r="R32" s="1554"/>
      <c r="S32" s="1555"/>
      <c r="T32" s="1554"/>
      <c r="U32" s="1555"/>
      <c r="V32" s="1554"/>
      <c r="W32" s="1555"/>
      <c r="X32" s="1556"/>
      <c r="Y32" s="3401"/>
      <c r="Z32" s="2539"/>
      <c r="AA32" s="1562">
        <v>1</v>
      </c>
      <c r="AB32" s="1562">
        <v>1</v>
      </c>
      <c r="AC32" s="1562">
        <v>1</v>
      </c>
    </row>
    <row r="33" spans="1:29" ht="20.25">
      <c r="A33" s="532"/>
      <c r="B33" s="566" t="s">
        <v>547</v>
      </c>
      <c r="C33" s="580" t="s">
        <v>3186</v>
      </c>
      <c r="D33" s="575">
        <v>100</v>
      </c>
      <c r="E33" s="583" t="s">
        <v>3190</v>
      </c>
      <c r="F33" s="540">
        <f>SUMIF(106:106,E33,107:107)-SUMIF(106:106,C33,107:107)+100</f>
        <v>102</v>
      </c>
      <c r="G33" s="580" t="s">
        <v>3190</v>
      </c>
      <c r="H33" s="540">
        <f>SUMIF(106:106,G33,107:107)-SUMIF(106:106,C33,107:107)+100</f>
        <v>102</v>
      </c>
      <c r="I33" s="580" t="s">
        <v>3191</v>
      </c>
      <c r="J33" s="540">
        <f>SUMIF(106:106,I33,107:107)-SUMIF(106:106,C33,107:107)+100</f>
        <v>103</v>
      </c>
      <c r="K33" s="535">
        <v>1</v>
      </c>
      <c r="L33" s="2127"/>
      <c r="M33" s="2117"/>
      <c r="N33" s="2117"/>
      <c r="O33" s="2126"/>
      <c r="P33" s="3401"/>
      <c r="Q33" s="1558" t="str">
        <f t="shared" si="8"/>
        <v>临街状况</v>
      </c>
      <c r="R33" s="1559" t="s">
        <v>8</v>
      </c>
      <c r="S33" s="1560">
        <f t="shared" ref="S33:S47" si="10">F33</f>
        <v>102</v>
      </c>
      <c r="T33" s="1559" t="s">
        <v>8</v>
      </c>
      <c r="U33" s="1560">
        <f t="shared" ref="U33:U47" si="11">H33</f>
        <v>102</v>
      </c>
      <c r="V33" s="1559" t="s">
        <v>8</v>
      </c>
      <c r="W33" s="1560">
        <f t="shared" ref="W33:W47" si="12">J33</f>
        <v>103</v>
      </c>
      <c r="X33" s="1553"/>
      <c r="Y33" s="3401"/>
      <c r="Z33" s="1561" t="str">
        <f t="shared" ref="Z33:Z47" si="13">Q33</f>
        <v>临街状况</v>
      </c>
      <c r="AA33" s="1562">
        <f t="shared" si="3"/>
        <v>0.98039215686274506</v>
      </c>
      <c r="AB33" s="1562">
        <f t="shared" si="4"/>
        <v>0.98039215686274506</v>
      </c>
      <c r="AC33" s="1562">
        <f t="shared" si="5"/>
        <v>0.970873786407767</v>
      </c>
    </row>
    <row r="34" spans="1:29" ht="27">
      <c r="A34" s="532"/>
      <c r="B34" s="578" t="s">
        <v>548</v>
      </c>
      <c r="C34" s="562"/>
      <c r="D34" s="563">
        <v>100</v>
      </c>
      <c r="E34" s="564"/>
      <c r="F34" s="559">
        <f>SUMIF(108:108,E35,109:109)-SUMIF(108:108,C35,109:109)+100</f>
        <v>102</v>
      </c>
      <c r="G34" s="562"/>
      <c r="H34" s="559">
        <f>SUMIF(108:108,G35,109:109)-SUMIF(108:108,C35,109:109)+100</f>
        <v>101</v>
      </c>
      <c r="I34" s="564"/>
      <c r="J34" s="559">
        <f>SUMIF(108:108,I35,109:109)-SUMIF(108:108,C35,109:109)+100</f>
        <v>101</v>
      </c>
      <c r="K34" s="535">
        <v>1</v>
      </c>
      <c r="L34" s="2127"/>
      <c r="M34" s="2117"/>
      <c r="N34" s="2117"/>
      <c r="O34" s="2126"/>
      <c r="P34" s="3401"/>
      <c r="Q34" s="1558" t="str">
        <f t="shared" si="8"/>
        <v>毗邻道路的类型与等级</v>
      </c>
      <c r="R34" s="1559" t="s">
        <v>8</v>
      </c>
      <c r="S34" s="1560">
        <f t="shared" si="10"/>
        <v>102</v>
      </c>
      <c r="T34" s="1559" t="s">
        <v>8</v>
      </c>
      <c r="U34" s="1560">
        <f t="shared" si="11"/>
        <v>101</v>
      </c>
      <c r="V34" s="1559" t="s">
        <v>8</v>
      </c>
      <c r="W34" s="1560">
        <f t="shared" si="12"/>
        <v>101</v>
      </c>
      <c r="X34" s="1553"/>
      <c r="Y34" s="3401"/>
      <c r="Z34" s="1561" t="str">
        <f t="shared" si="13"/>
        <v>毗邻道路的类型与等级</v>
      </c>
      <c r="AA34" s="1562">
        <f t="shared" si="3"/>
        <v>0.98039215686274506</v>
      </c>
      <c r="AB34" s="1562">
        <f t="shared" si="4"/>
        <v>0.99009900990099009</v>
      </c>
      <c r="AC34" s="1562">
        <f t="shared" si="5"/>
        <v>0.99009900990099009</v>
      </c>
    </row>
    <row r="35" spans="1:29" ht="20.25">
      <c r="A35" s="532"/>
      <c r="B35" s="566"/>
      <c r="C35" s="554" t="s">
        <v>3186</v>
      </c>
      <c r="D35" s="557"/>
      <c r="E35" s="576" t="s">
        <v>3170</v>
      </c>
      <c r="F35" s="555"/>
      <c r="G35" s="554" t="s">
        <v>3187</v>
      </c>
      <c r="H35" s="555"/>
      <c r="I35" s="576" t="s">
        <v>3187</v>
      </c>
      <c r="J35" s="555"/>
      <c r="K35" s="581"/>
      <c r="L35" s="2127"/>
      <c r="M35" s="2117"/>
      <c r="N35" s="2117"/>
      <c r="O35" s="2126"/>
      <c r="P35" s="3401"/>
      <c r="Q35" s="1558"/>
      <c r="R35" s="1559"/>
      <c r="S35" s="1560"/>
      <c r="T35" s="1559"/>
      <c r="U35" s="1560"/>
      <c r="V35" s="1559"/>
      <c r="W35" s="1560"/>
      <c r="X35" s="1553"/>
      <c r="Y35" s="3401"/>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1"/>
      <c r="Q36" s="1558" t="str">
        <f t="shared" si="8"/>
        <v>土地级别</v>
      </c>
      <c r="R36" s="1559" t="s">
        <v>8</v>
      </c>
      <c r="S36" s="1560">
        <f t="shared" si="10"/>
        <v>100</v>
      </c>
      <c r="T36" s="1559" t="s">
        <v>8</v>
      </c>
      <c r="U36" s="1560">
        <f t="shared" si="11"/>
        <v>100</v>
      </c>
      <c r="V36" s="1559" t="s">
        <v>8</v>
      </c>
      <c r="W36" s="1560">
        <f t="shared" si="12"/>
        <v>100</v>
      </c>
      <c r="X36" s="1553"/>
      <c r="Y36" s="3401"/>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1"/>
      <c r="Q37" s="1558">
        <f t="shared" si="8"/>
        <v>111</v>
      </c>
      <c r="R37" s="1559" t="s">
        <v>8</v>
      </c>
      <c r="S37" s="1560">
        <f t="shared" si="10"/>
        <v>100</v>
      </c>
      <c r="T37" s="1559" t="s">
        <v>8</v>
      </c>
      <c r="U37" s="1560">
        <f t="shared" si="11"/>
        <v>100</v>
      </c>
      <c r="V37" s="1559" t="s">
        <v>8</v>
      </c>
      <c r="W37" s="1560">
        <f t="shared" si="12"/>
        <v>100</v>
      </c>
      <c r="X37" s="1553"/>
      <c r="Y37" s="3401"/>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2" t="s">
        <v>550</v>
      </c>
      <c r="Q38" s="1558">
        <f t="shared" si="8"/>
        <v>111</v>
      </c>
      <c r="R38" s="1559" t="s">
        <v>8</v>
      </c>
      <c r="S38" s="1560">
        <f t="shared" si="10"/>
        <v>100</v>
      </c>
      <c r="T38" s="1559" t="s">
        <v>8</v>
      </c>
      <c r="U38" s="1560">
        <f t="shared" si="11"/>
        <v>100</v>
      </c>
      <c r="V38" s="1559" t="s">
        <v>8</v>
      </c>
      <c r="W38" s="1560">
        <f t="shared" si="12"/>
        <v>100</v>
      </c>
      <c r="X38" s="1553"/>
      <c r="Y38" s="3403"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3"/>
      <c r="Q39" s="1558">
        <f t="shared" si="8"/>
        <v>111</v>
      </c>
      <c r="R39" s="1563" t="s">
        <v>8</v>
      </c>
      <c r="S39" s="1564">
        <f t="shared" si="10"/>
        <v>100</v>
      </c>
      <c r="T39" s="1563" t="s">
        <v>8</v>
      </c>
      <c r="U39" s="1564">
        <f t="shared" si="11"/>
        <v>100</v>
      </c>
      <c r="V39" s="1563" t="s">
        <v>8</v>
      </c>
      <c r="W39" s="1564">
        <f t="shared" si="12"/>
        <v>100</v>
      </c>
      <c r="X39" s="1565"/>
      <c r="Y39" s="3403"/>
      <c r="Z39" s="1566">
        <f t="shared" si="13"/>
        <v>111</v>
      </c>
      <c r="AA39" s="1562">
        <f t="shared" si="3"/>
        <v>1</v>
      </c>
      <c r="AB39" s="1562">
        <f t="shared" si="4"/>
        <v>1</v>
      </c>
      <c r="AC39" s="1562">
        <f t="shared" si="5"/>
        <v>1</v>
      </c>
    </row>
    <row r="40" spans="1:29" ht="20.25">
      <c r="A40" s="2862" t="s">
        <v>2755</v>
      </c>
      <c r="B40" s="595" t="s">
        <v>552</v>
      </c>
      <c r="C40" s="596">
        <f>'数据-汇总表'!D3</f>
        <v>41663.440000000002</v>
      </c>
      <c r="D40" s="597">
        <v>100</v>
      </c>
      <c r="E40" s="596">
        <f>土地案例!D8</f>
        <v>76571.12</v>
      </c>
      <c r="F40" s="597">
        <f>LOOKUP(E40,119:119,120:120)-LOOKUP(C40,119:119,120:120)+100</f>
        <v>101</v>
      </c>
      <c r="G40" s="596">
        <f>土地案例!D17</f>
        <v>36338.199999999997</v>
      </c>
      <c r="H40" s="597">
        <f>LOOKUP(G40,119:119,120:120)-LOOKUP(C40,119:119,120:120)+100</f>
        <v>100</v>
      </c>
      <c r="I40" s="598">
        <f>土地案例!D36</f>
        <v>122262</v>
      </c>
      <c r="J40" s="597">
        <f>LOOKUP(I40,119:119,120:120)-LOOKUP(C40,119:119,120:120)+100</f>
        <v>103</v>
      </c>
      <c r="K40" s="581"/>
      <c r="L40" s="2127"/>
      <c r="M40" s="2117"/>
      <c r="N40" s="2117"/>
      <c r="O40" s="2126"/>
      <c r="P40" s="3403"/>
      <c r="Q40" s="1558" t="str">
        <f>B40</f>
        <v>宗地面积</v>
      </c>
      <c r="R40" s="1559" t="s">
        <v>8</v>
      </c>
      <c r="S40" s="1560">
        <f t="shared" si="10"/>
        <v>101</v>
      </c>
      <c r="T40" s="1559" t="s">
        <v>8</v>
      </c>
      <c r="U40" s="1560">
        <f t="shared" si="11"/>
        <v>100</v>
      </c>
      <c r="V40" s="1559" t="s">
        <v>8</v>
      </c>
      <c r="W40" s="1560">
        <f t="shared" si="12"/>
        <v>103</v>
      </c>
      <c r="X40" s="1553"/>
      <c r="Y40" s="3403"/>
      <c r="Z40" s="1561" t="str">
        <f t="shared" si="13"/>
        <v>宗地面积</v>
      </c>
      <c r="AA40" s="1562">
        <f t="shared" si="3"/>
        <v>0.99009900990099009</v>
      </c>
      <c r="AB40" s="1562">
        <f t="shared" si="4"/>
        <v>1</v>
      </c>
      <c r="AC40" s="1562">
        <f t="shared" si="5"/>
        <v>0.970873786407767</v>
      </c>
    </row>
    <row r="41" spans="1:29" ht="20.25">
      <c r="A41" s="594"/>
      <c r="B41" s="527" t="s">
        <v>553</v>
      </c>
      <c r="C41" s="599" t="s">
        <v>3173</v>
      </c>
      <c r="D41" s="540">
        <v>100</v>
      </c>
      <c r="E41" s="599" t="s">
        <v>3173</v>
      </c>
      <c r="F41" s="540">
        <f>SUMIF(121:121,E41,122:122)-SUMIF(121:121,C41,122:122)+100</f>
        <v>100</v>
      </c>
      <c r="G41" s="599" t="s">
        <v>3173</v>
      </c>
      <c r="H41" s="540">
        <f>SUMIF(121:121,G41,122:122)-SUMIF(121:121,C41,122:122)+100</f>
        <v>100</v>
      </c>
      <c r="I41" s="599" t="s">
        <v>3173</v>
      </c>
      <c r="J41" s="540">
        <f>SUMIF(121:121,I41,122:122)-SUMIF(121:121,C41,122:122)+100</f>
        <v>100</v>
      </c>
      <c r="K41" s="584">
        <v>1</v>
      </c>
      <c r="L41" s="2127"/>
      <c r="M41" s="2117"/>
      <c r="N41" s="2117"/>
      <c r="O41" s="2126"/>
      <c r="P41" s="3403"/>
      <c r="Q41" s="1558" t="str">
        <f t="shared" ref="Q41:Q47" si="14">B41</f>
        <v>宗地形状</v>
      </c>
      <c r="R41" s="1559" t="s">
        <v>8</v>
      </c>
      <c r="S41" s="1560">
        <f t="shared" si="10"/>
        <v>100</v>
      </c>
      <c r="T41" s="1559" t="s">
        <v>8</v>
      </c>
      <c r="U41" s="1560">
        <f t="shared" si="11"/>
        <v>100</v>
      </c>
      <c r="V41" s="1559" t="s">
        <v>8</v>
      </c>
      <c r="W41" s="1560">
        <f t="shared" si="12"/>
        <v>100</v>
      </c>
      <c r="X41" s="1553"/>
      <c r="Y41" s="3403"/>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03"/>
      <c r="Q42" s="1558" t="str">
        <f t="shared" si="14"/>
        <v>临街宽度及深度</v>
      </c>
      <c r="R42" s="1559" t="s">
        <v>8</v>
      </c>
      <c r="S42" s="1560">
        <f t="shared" si="10"/>
        <v>100</v>
      </c>
      <c r="T42" s="1559" t="s">
        <v>8</v>
      </c>
      <c r="U42" s="1560">
        <f t="shared" si="11"/>
        <v>100</v>
      </c>
      <c r="V42" s="1559" t="s">
        <v>8</v>
      </c>
      <c r="W42" s="1560">
        <f t="shared" si="12"/>
        <v>100</v>
      </c>
      <c r="X42" s="1553"/>
      <c r="Y42" s="3403"/>
      <c r="Z42" s="1561" t="str">
        <f t="shared" si="13"/>
        <v>临街宽度及深度</v>
      </c>
      <c r="AA42" s="1562">
        <f t="shared" si="3"/>
        <v>1</v>
      </c>
      <c r="AB42" s="1562">
        <f t="shared" si="4"/>
        <v>1</v>
      </c>
      <c r="AC42" s="1562">
        <f t="shared" si="5"/>
        <v>1</v>
      </c>
    </row>
    <row r="43" spans="1:29" s="1216" customFormat="1" ht="20.25">
      <c r="A43" s="600"/>
      <c r="B43" s="1880" t="s">
        <v>2424</v>
      </c>
      <c r="C43" s="601" t="s">
        <v>3179</v>
      </c>
      <c r="D43" s="255">
        <v>100</v>
      </c>
      <c r="E43" s="601" t="s">
        <v>3179</v>
      </c>
      <c r="F43" s="540">
        <f>SUMIF(125:125,E43,126:126)-SUMIF(125:125,C43,126:126)+100</f>
        <v>100</v>
      </c>
      <c r="G43" s="601" t="s">
        <v>3180</v>
      </c>
      <c r="H43" s="540">
        <f>SUMIF(125:125,G43,126:126)-SUMIF(125:125,C43,126:126)+100</f>
        <v>101.5</v>
      </c>
      <c r="I43" s="601" t="s">
        <v>3179</v>
      </c>
      <c r="J43" s="540">
        <f>SUMIF(125:125,I43,126:126)-SUMIF(125:125,C43,126:126)+100</f>
        <v>100</v>
      </c>
      <c r="K43" s="584">
        <v>0.5</v>
      </c>
      <c r="L43" s="2120"/>
      <c r="M43" s="2117"/>
      <c r="N43" s="2117"/>
      <c r="O43" s="2122"/>
      <c r="P43" s="3403"/>
      <c r="Q43" s="1558" t="str">
        <f t="shared" si="14"/>
        <v>宗地开发程度</v>
      </c>
      <c r="R43" s="1554" t="s">
        <v>8</v>
      </c>
      <c r="S43" s="1555">
        <f t="shared" si="10"/>
        <v>100</v>
      </c>
      <c r="T43" s="1554" t="s">
        <v>8</v>
      </c>
      <c r="U43" s="1555">
        <f t="shared" si="11"/>
        <v>101.5</v>
      </c>
      <c r="V43" s="1554" t="s">
        <v>8</v>
      </c>
      <c r="W43" s="1555">
        <f t="shared" si="12"/>
        <v>100</v>
      </c>
      <c r="X43" s="1556"/>
      <c r="Y43" s="3403"/>
      <c r="Z43" s="1146" t="str">
        <f t="shared" si="13"/>
        <v>宗地开发程度</v>
      </c>
      <c r="AA43" s="1557">
        <f t="shared" si="3"/>
        <v>1</v>
      </c>
      <c r="AB43" s="1557">
        <f t="shared" si="4"/>
        <v>0.98522167487684731</v>
      </c>
      <c r="AC43" s="1557">
        <f t="shared" si="5"/>
        <v>1</v>
      </c>
    </row>
    <row r="44" spans="1:29" ht="20.25">
      <c r="A44" s="594"/>
      <c r="B44" s="527" t="s">
        <v>555</v>
      </c>
      <c r="C44" s="599" t="s">
        <v>3182</v>
      </c>
      <c r="D44" s="540">
        <v>100</v>
      </c>
      <c r="E44" s="599" t="s">
        <v>3182</v>
      </c>
      <c r="F44" s="540">
        <f>SUMIF(127:127,E44,128:128)-SUMIF(127:127,C44,128:128)+100</f>
        <v>100</v>
      </c>
      <c r="G44" s="599" t="s">
        <v>3182</v>
      </c>
      <c r="H44" s="540">
        <f>SUMIF(127:127,G44,128:128)-SUMIF(127:127,C44,128:128)+100</f>
        <v>100</v>
      </c>
      <c r="I44" s="599" t="s">
        <v>3182</v>
      </c>
      <c r="J44" s="540">
        <f>SUMIF(127:127,I44,128:128)-SUMIF(127:127,C44,128:128)+100</f>
        <v>100</v>
      </c>
      <c r="K44" s="584">
        <v>1</v>
      </c>
      <c r="L44" s="2127"/>
      <c r="M44" s="2117"/>
      <c r="N44" s="2117"/>
      <c r="O44" s="2126"/>
      <c r="P44" s="3403" t="s">
        <v>550</v>
      </c>
      <c r="Q44" s="1558" t="str">
        <f t="shared" si="14"/>
        <v>工程地质条件</v>
      </c>
      <c r="R44" s="1559" t="s">
        <v>8</v>
      </c>
      <c r="S44" s="1560">
        <f t="shared" si="10"/>
        <v>100</v>
      </c>
      <c r="T44" s="1559" t="s">
        <v>8</v>
      </c>
      <c r="U44" s="1560">
        <f t="shared" si="11"/>
        <v>100</v>
      </c>
      <c r="V44" s="1559" t="s">
        <v>8</v>
      </c>
      <c r="W44" s="1560">
        <f t="shared" si="12"/>
        <v>100</v>
      </c>
      <c r="X44" s="1553"/>
      <c r="Y44" s="3403"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3"/>
      <c r="Q45" s="1558">
        <f t="shared" si="14"/>
        <v>111</v>
      </c>
      <c r="R45" s="1559" t="s">
        <v>8</v>
      </c>
      <c r="S45" s="1560">
        <f t="shared" si="10"/>
        <v>100</v>
      </c>
      <c r="T45" s="1559" t="s">
        <v>8</v>
      </c>
      <c r="U45" s="1560">
        <f t="shared" si="11"/>
        <v>100</v>
      </c>
      <c r="V45" s="1559" t="s">
        <v>8</v>
      </c>
      <c r="W45" s="1560">
        <f t="shared" si="12"/>
        <v>100</v>
      </c>
      <c r="X45" s="1553"/>
      <c r="Y45" s="3403"/>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3"/>
      <c r="Q46" s="1558">
        <f t="shared" si="14"/>
        <v>111</v>
      </c>
      <c r="R46" s="1559" t="s">
        <v>8</v>
      </c>
      <c r="S46" s="1560">
        <f t="shared" si="10"/>
        <v>100</v>
      </c>
      <c r="T46" s="1559" t="s">
        <v>8</v>
      </c>
      <c r="U46" s="1560">
        <f t="shared" si="11"/>
        <v>100</v>
      </c>
      <c r="V46" s="1559" t="s">
        <v>8</v>
      </c>
      <c r="W46" s="1560">
        <f t="shared" si="12"/>
        <v>100</v>
      </c>
      <c r="X46" s="1553"/>
      <c r="Y46" s="3403"/>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3"/>
      <c r="Q47" s="1558">
        <f t="shared" si="14"/>
        <v>111</v>
      </c>
      <c r="R47" s="1563" t="s">
        <v>8</v>
      </c>
      <c r="S47" s="1564">
        <f t="shared" si="10"/>
        <v>100</v>
      </c>
      <c r="T47" s="1563" t="s">
        <v>8</v>
      </c>
      <c r="U47" s="1564">
        <f t="shared" si="11"/>
        <v>100</v>
      </c>
      <c r="V47" s="1563" t="s">
        <v>8</v>
      </c>
      <c r="W47" s="1564">
        <f t="shared" si="12"/>
        <v>100</v>
      </c>
      <c r="X47" s="1565"/>
      <c r="Y47" s="3403"/>
      <c r="Z47" s="1566">
        <f t="shared" si="13"/>
        <v>111</v>
      </c>
      <c r="AA47" s="1562">
        <f t="shared" si="3"/>
        <v>1</v>
      </c>
      <c r="AB47" s="1562">
        <f t="shared" si="4"/>
        <v>1</v>
      </c>
      <c r="AC47" s="1562">
        <f t="shared" si="5"/>
        <v>1</v>
      </c>
    </row>
    <row r="48" spans="1:29" ht="20.25">
      <c r="A48" s="607" t="s">
        <v>556</v>
      </c>
      <c r="B48" s="608" t="s">
        <v>3194</v>
      </c>
      <c r="C48" s="609" t="s">
        <v>1</v>
      </c>
      <c r="D48" s="610"/>
      <c r="E48" s="611">
        <f>ROUND(土地案例!K8,0)</f>
        <v>14654</v>
      </c>
      <c r="F48" s="612"/>
      <c r="G48" s="613">
        <f>ROUND(土地案例!K17,0)</f>
        <v>11710</v>
      </c>
      <c r="H48" s="614"/>
      <c r="I48" s="611">
        <f>ROUND(土地案例!K36,0)</f>
        <v>11506</v>
      </c>
      <c r="J48" s="614"/>
      <c r="K48" s="1336"/>
      <c r="L48" s="2129"/>
      <c r="M48" s="2117"/>
      <c r="N48" s="2117"/>
      <c r="O48" s="2130"/>
      <c r="P48" s="3366" t="str">
        <f>A48</f>
        <v>成交单价</v>
      </c>
      <c r="Q48" s="3366"/>
      <c r="R48" s="3367">
        <f>E48</f>
        <v>14654</v>
      </c>
      <c r="S48" s="3367"/>
      <c r="T48" s="3367">
        <f>G48</f>
        <v>11710</v>
      </c>
      <c r="U48" s="3367"/>
      <c r="V48" s="3367">
        <f>I48</f>
        <v>11506</v>
      </c>
      <c r="W48" s="3367"/>
      <c r="X48" s="1545"/>
      <c r="Y48" s="1567"/>
      <c r="Z48" s="1545"/>
      <c r="AA48" s="1545"/>
      <c r="AB48" s="1545"/>
      <c r="AC48" s="1545"/>
    </row>
    <row r="49" spans="1:29" ht="21" thickBot="1">
      <c r="A49" s="615" t="s">
        <v>2693</v>
      </c>
      <c r="B49" s="616"/>
      <c r="C49" s="617">
        <f>R50</f>
        <v>11741</v>
      </c>
      <c r="D49" s="618"/>
      <c r="E49" s="617">
        <f>R49</f>
        <v>13025</v>
      </c>
      <c r="F49" s="619"/>
      <c r="G49" s="620">
        <f>T49</f>
        <v>11051</v>
      </c>
      <c r="H49" s="618"/>
      <c r="I49" s="617">
        <f>V49</f>
        <v>11146</v>
      </c>
      <c r="J49" s="618"/>
      <c r="K49" s="1337"/>
      <c r="L49" s="2129"/>
      <c r="M49" s="2117"/>
      <c r="N49" s="2117"/>
      <c r="O49" s="2130"/>
      <c r="P49" s="3366" t="str">
        <f>A49</f>
        <v>比较价格（元/平方米）</v>
      </c>
      <c r="Q49" s="3366"/>
      <c r="R49" s="3368">
        <f>ROUND(PRODUCT(R48,AA9:AA47),0)</f>
        <v>13025</v>
      </c>
      <c r="S49" s="3368"/>
      <c r="T49" s="3368">
        <f>ROUND(PRODUCT(T48,AB9:AB47),0)</f>
        <v>11051</v>
      </c>
      <c r="U49" s="3368"/>
      <c r="V49" s="3368">
        <f>ROUND(PRODUCT(V48,AC9:AC47),0)</f>
        <v>11146</v>
      </c>
      <c r="W49" s="3368"/>
      <c r="X49" s="1545"/>
      <c r="Y49" s="1545"/>
      <c r="Z49" s="1545"/>
      <c r="AA49" s="1545"/>
      <c r="AB49" s="1545"/>
      <c r="AC49" s="1545"/>
    </row>
    <row r="50" spans="1:29" ht="21" thickBot="1">
      <c r="A50" s="621" t="s">
        <v>2934</v>
      </c>
      <c r="B50" s="622"/>
      <c r="C50" s="623">
        <f>R50</f>
        <v>11741</v>
      </c>
      <c r="D50" s="623"/>
      <c r="E50" s="623"/>
      <c r="F50" s="623"/>
      <c r="G50" s="623"/>
      <c r="H50" s="623"/>
      <c r="I50" s="623"/>
      <c r="J50" s="623"/>
      <c r="K50" s="1338"/>
      <c r="L50" s="2129"/>
      <c r="M50" s="2117"/>
      <c r="N50" s="2117"/>
      <c r="O50" s="2130"/>
      <c r="P50" s="3363" t="str">
        <f>A50</f>
        <v>估价对象XX用房的比较价格（楼面单价，元/平方米）</v>
      </c>
      <c r="Q50" s="3364"/>
      <c r="R50" s="3365">
        <f>ROUND(AVERAGE(R49:V49),0)</f>
        <v>11741</v>
      </c>
      <c r="S50" s="3365"/>
      <c r="T50" s="3365"/>
      <c r="U50" s="3365"/>
      <c r="V50" s="3365"/>
      <c r="W50" s="336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0.12506717850287918</v>
      </c>
      <c r="F53" s="627" t="str">
        <f>IF(OR(E53&gt;=0.3,E53&lt;=-0.3),"超过30%","")</f>
        <v/>
      </c>
      <c r="G53" s="626">
        <f>IF(G48&lt;G49,G49/G48-1,G48/G49-1)</f>
        <v>5.963261243326401E-2</v>
      </c>
      <c r="H53" s="627" t="str">
        <f>IF(OR(G53&gt;=0.3,G53&lt;=-0.3),"超过30%","")</f>
        <v/>
      </c>
      <c r="I53" s="626">
        <f>IF(I48&lt;I49,I49/I48-1,I48/I49-1)</f>
        <v>3.2298582451103508E-2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0.1786263686544205</v>
      </c>
      <c r="F54" s="627" t="str">
        <f>IF(OR(E54&gt;=0.2,E54&lt;=-0.2),"超过20%","")</f>
        <v/>
      </c>
      <c r="G54" s="626">
        <f>IF(G49&lt;I49,I49/G49-1,G49/I49-1)</f>
        <v>8.5965071034295182E-3</v>
      </c>
      <c r="H54" s="627" t="str">
        <f>IF(OR(G54&gt;=0.2,G54&lt;=-0.2),"超过20%","")</f>
        <v/>
      </c>
      <c r="I54" s="626">
        <f>IF(I49&lt;E49,E49/I49-1,I49/E49-1)</f>
        <v>0.16858065673784317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0.25140905209222897</v>
      </c>
      <c r="F55" s="627" t="str">
        <f>IF(OR(E55&gt;=0.3,E55&lt;=-0.3),"超过30%","")</f>
        <v/>
      </c>
      <c r="G55" s="626">
        <f>IF(G48&lt;I48,I48/G48-1,G48/I48-1)</f>
        <v>1.7729880062576031E-2</v>
      </c>
      <c r="H55" s="627" t="str">
        <f>IF(OR(G55&gt;=0.3,G55&lt;=-0.3),"超过30%","")</f>
        <v/>
      </c>
      <c r="I55" s="626">
        <f>IF(I48&lt;E48,E48/I48-1,I48/E48-1)</f>
        <v>0.27359638449504597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2" t="s">
        <v>2281</v>
      </c>
      <c r="H57" s="339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11741</v>
      </c>
      <c r="C58" s="635">
        <v>1</v>
      </c>
      <c r="D58" s="2213">
        <v>1</v>
      </c>
      <c r="E58" s="635">
        <f>'数据-汇总表'!E8+'数据-汇总表'!E9</f>
        <v>70037.847999999998</v>
      </c>
      <c r="F58" s="636">
        <f t="shared" ref="F58:F67" si="15">ROUND(B58*E58/10000,0)</f>
        <v>82231</v>
      </c>
      <c r="G58" s="3394"/>
      <c r="H58" s="339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2055</v>
      </c>
      <c r="C59" s="378">
        <f t="shared" ref="C59:C67" si="16">IF($C$57="北京市系数",I59,J59)</f>
        <v>0.7</v>
      </c>
      <c r="D59" s="2214">
        <v>0.25</v>
      </c>
      <c r="E59" s="639">
        <v>0</v>
      </c>
      <c r="F59" s="636">
        <f t="shared" si="15"/>
        <v>0</v>
      </c>
      <c r="G59" s="3396" t="s">
        <v>2282</v>
      </c>
      <c r="H59" s="1933" t="str">
        <f>项目基本情况!B43</f>
        <v>七级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1174</v>
      </c>
      <c r="C60" s="378">
        <f t="shared" si="16"/>
        <v>0.4</v>
      </c>
      <c r="D60" s="2214">
        <v>0.25</v>
      </c>
      <c r="E60" s="639">
        <v>0</v>
      </c>
      <c r="F60" s="636">
        <f t="shared" si="15"/>
        <v>0</v>
      </c>
      <c r="G60" s="3396"/>
      <c r="H60" s="1933" t="str">
        <f>项目基本情况!B43</f>
        <v>七级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822</v>
      </c>
      <c r="C61" s="378">
        <f t="shared" si="16"/>
        <v>0.28000000000000003</v>
      </c>
      <c r="D61" s="2214">
        <v>0.25</v>
      </c>
      <c r="E61" s="639">
        <v>0</v>
      </c>
      <c r="F61" s="636">
        <f t="shared" si="15"/>
        <v>0</v>
      </c>
      <c r="G61" s="3396"/>
      <c r="H61" s="1933" t="str">
        <f>项目基本情况!B43</f>
        <v>七级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734</v>
      </c>
      <c r="C62" s="378">
        <f t="shared" si="16"/>
        <v>0.25</v>
      </c>
      <c r="D62" s="2214">
        <v>0.25</v>
      </c>
      <c r="E62" s="639">
        <v>0</v>
      </c>
      <c r="F62" s="636">
        <f t="shared" si="15"/>
        <v>0</v>
      </c>
      <c r="G62" s="3396"/>
      <c r="H62" s="1933" t="str">
        <f>项目基本情况!B43</f>
        <v>七级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734</v>
      </c>
      <c r="C63" s="378">
        <f t="shared" si="16"/>
        <v>0.25</v>
      </c>
      <c r="D63" s="2214">
        <v>0.25</v>
      </c>
      <c r="E63" s="641">
        <f>'数据-汇总表'!E11</f>
        <v>0</v>
      </c>
      <c r="F63" s="636">
        <f t="shared" si="15"/>
        <v>0</v>
      </c>
      <c r="G63" s="1930" t="s">
        <v>2283</v>
      </c>
      <c r="H63" s="1933" t="str">
        <f>项目基本情况!C43</f>
        <v>七级</v>
      </c>
      <c r="I63" s="1542">
        <f>SUMIF(修正!$A$45:$A$56,H63,修正!F45:F56)</f>
        <v>0.25</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734</v>
      </c>
      <c r="C64" s="378">
        <f t="shared" si="16"/>
        <v>0.25</v>
      </c>
      <c r="D64" s="2214">
        <v>0.25</v>
      </c>
      <c r="E64" s="641">
        <f>'数据-汇总表'!E12</f>
        <v>6930.98</v>
      </c>
      <c r="F64" s="636">
        <f t="shared" si="15"/>
        <v>509</v>
      </c>
      <c r="G64" s="1931" t="s">
        <v>1677</v>
      </c>
      <c r="H64" s="1929" t="str">
        <f>IF(G64="商业",项目基本情况!B43,IF(G64="办公",项目基本情况!C43,IF(G64="住宅",项目基本情况!D43,项目基本情况!E43)))</f>
        <v>七级</v>
      </c>
      <c r="I64" s="1542">
        <f>SUMIF(修正!$A$45:$A$56,H64,修正!G45:G56)</f>
        <v>0.25</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587</v>
      </c>
      <c r="C65" s="378">
        <f t="shared" si="16"/>
        <v>0.2</v>
      </c>
      <c r="D65" s="2214">
        <v>0.25</v>
      </c>
      <c r="E65" s="641">
        <f>'数据-汇总表'!E13</f>
        <v>19258.47</v>
      </c>
      <c r="F65" s="636">
        <f t="shared" si="15"/>
        <v>1130</v>
      </c>
      <c r="G65" s="1931" t="s">
        <v>923</v>
      </c>
      <c r="H65" s="1929" t="str">
        <f>IF(G65="商业",项目基本情况!B43,IF(G65="办公",项目基本情况!C43,IF(G65="住宅",项目基本情况!D43,项目基本情况!E43)))</f>
        <v>七级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587</v>
      </c>
      <c r="C66" s="378">
        <f t="shared" si="16"/>
        <v>0.2</v>
      </c>
      <c r="D66" s="2214">
        <v>0.25</v>
      </c>
      <c r="E66" s="641">
        <f>'数据-汇总表'!E14</f>
        <v>0</v>
      </c>
      <c r="F66" s="636">
        <f t="shared" si="15"/>
        <v>0</v>
      </c>
      <c r="G66" s="1930" t="s">
        <v>2282</v>
      </c>
      <c r="H66" s="1933" t="str">
        <f>项目基本情况!B43</f>
        <v>七级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587</v>
      </c>
      <c r="C67" s="378">
        <f t="shared" si="16"/>
        <v>0.2</v>
      </c>
      <c r="D67" s="2214">
        <v>0.25</v>
      </c>
      <c r="E67" s="641">
        <f>'数据-汇总表'!E15</f>
        <v>0</v>
      </c>
      <c r="F67" s="636">
        <f t="shared" si="15"/>
        <v>0</v>
      </c>
      <c r="G67" s="1932" t="s">
        <v>2283</v>
      </c>
      <c r="H67" s="1934" t="str">
        <f>项目基本情况!C43</f>
        <v>七级</v>
      </c>
      <c r="I67" s="1542">
        <f>SUMIF(修正!$A$45:$A$56,H67,修正!H45:H56)</f>
        <v>0.2</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96227.297999999995</v>
      </c>
      <c r="F68" s="644">
        <f>IF(B48="楼面地价",SUM(F58:F67),ROUND(C50*E68/10000,0))</f>
        <v>83870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北京市平均增长率2.06%</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8" t="s">
        <v>3162</v>
      </c>
      <c r="D77" s="3188" t="s">
        <v>3164</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3189" t="s">
        <v>3184</v>
      </c>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9" t="s">
        <v>3167</v>
      </c>
      <c r="D108" s="3189" t="s">
        <v>3168</v>
      </c>
      <c r="E108" s="3189" t="s">
        <v>3169</v>
      </c>
      <c r="F108" s="3189" t="s">
        <v>3171</v>
      </c>
      <c r="G108" s="3189" t="s">
        <v>3188</v>
      </c>
      <c r="H108" s="3190" t="s">
        <v>3189</v>
      </c>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0(含)-10000</v>
      </c>
      <c r="D118" s="704" t="str">
        <f t="shared" si="26"/>
        <v>10000(含)-30000</v>
      </c>
      <c r="E118" s="704" t="str">
        <f t="shared" si="26"/>
        <v>30000(含)-50000</v>
      </c>
      <c r="F118" s="704" t="str">
        <f t="shared" si="26"/>
        <v>50000(含)-80000</v>
      </c>
      <c r="G118" s="704" t="str">
        <f t="shared" si="26"/>
        <v>80000(含)-100000</v>
      </c>
      <c r="H118" s="704" t="str">
        <f t="shared" si="26"/>
        <v>100000(含)-150000</v>
      </c>
      <c r="I118" s="704" t="str">
        <f t="shared" si="26"/>
        <v>150000(含)-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3172</v>
      </c>
      <c r="D121" s="3190" t="s">
        <v>3174</v>
      </c>
      <c r="E121" s="3190" t="s">
        <v>3176</v>
      </c>
      <c r="F121" s="3190" t="s">
        <v>3177</v>
      </c>
      <c r="G121" s="3190" t="s">
        <v>3178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3207</v>
      </c>
      <c r="D125" s="1371" t="s">
        <v>3208</v>
      </c>
      <c r="E125" s="1371" t="s">
        <v>3209</v>
      </c>
      <c r="F125" s="1371" t="s">
        <v>3210</v>
      </c>
      <c r="G125" s="1371" t="s">
        <v>3211</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3183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2" t="s">
        <v>522</v>
      </c>
      <c r="D6" s="3373"/>
      <c r="E6" s="3406" t="s">
        <v>523</v>
      </c>
      <c r="F6" s="3407"/>
      <c r="G6" s="3372" t="s">
        <v>524</v>
      </c>
      <c r="H6" s="3373"/>
      <c r="I6" s="3372" t="s">
        <v>525</v>
      </c>
      <c r="J6" s="3373"/>
      <c r="K6" s="514" t="s">
        <v>526</v>
      </c>
      <c r="L6" s="2118"/>
      <c r="M6" s="2119"/>
      <c r="N6" s="2119"/>
      <c r="O6" s="2119"/>
      <c r="P6" s="3374" t="s">
        <v>527</v>
      </c>
      <c r="Q6" s="3375"/>
      <c r="R6" s="3380" t="s">
        <v>523</v>
      </c>
      <c r="S6" s="3381"/>
      <c r="T6" s="3380" t="s">
        <v>524</v>
      </c>
      <c r="U6" s="3381"/>
      <c r="V6" s="3367" t="s">
        <v>525</v>
      </c>
      <c r="W6" s="3367"/>
      <c r="X6" s="1553"/>
      <c r="Y6" s="3380" t="s">
        <v>527</v>
      </c>
      <c r="Z6" s="3381"/>
      <c r="AA6" s="3369" t="s">
        <v>523</v>
      </c>
      <c r="AB6" s="3370" t="s">
        <v>524</v>
      </c>
      <c r="AC6" s="3369" t="s">
        <v>525</v>
      </c>
    </row>
    <row r="7" spans="1:29" ht="15">
      <c r="A7" s="515"/>
      <c r="B7" s="516"/>
      <c r="C7" s="3388" t="s">
        <v>2928</v>
      </c>
      <c r="D7" s="3389"/>
      <c r="E7" s="3408" t="s">
        <v>2929</v>
      </c>
      <c r="F7" s="3409"/>
      <c r="G7" s="3388" t="s">
        <v>2930</v>
      </c>
      <c r="H7" s="3389"/>
      <c r="I7" s="3388" t="s">
        <v>2931</v>
      </c>
      <c r="J7" s="3389"/>
      <c r="K7" s="514"/>
      <c r="L7" s="2118"/>
      <c r="M7" s="2119"/>
      <c r="N7" s="2119"/>
      <c r="O7" s="2119"/>
      <c r="P7" s="3376"/>
      <c r="Q7" s="3377"/>
      <c r="R7" s="3382"/>
      <c r="S7" s="3383"/>
      <c r="T7" s="3382"/>
      <c r="U7" s="3383"/>
      <c r="V7" s="3367"/>
      <c r="W7" s="3367"/>
      <c r="X7" s="1553"/>
      <c r="Y7" s="3382"/>
      <c r="Z7" s="3383"/>
      <c r="AA7" s="3370"/>
      <c r="AB7" s="3370"/>
      <c r="AC7" s="3370"/>
    </row>
    <row r="8" spans="1:29" ht="15.75" thickBot="1">
      <c r="A8" s="517"/>
      <c r="B8" s="518"/>
      <c r="C8" s="3386" t="s">
        <v>2932</v>
      </c>
      <c r="D8" s="3387"/>
      <c r="E8" s="3404" t="s">
        <v>2932</v>
      </c>
      <c r="F8" s="3405"/>
      <c r="G8" s="3386" t="s">
        <v>2932</v>
      </c>
      <c r="H8" s="3387"/>
      <c r="I8" s="3386" t="s">
        <v>2932</v>
      </c>
      <c r="J8" s="3387"/>
      <c r="K8" s="514" t="s">
        <v>528</v>
      </c>
      <c r="L8" s="2118"/>
      <c r="M8" s="2119"/>
      <c r="N8" s="2119"/>
      <c r="O8" s="2119"/>
      <c r="P8" s="3378"/>
      <c r="Q8" s="3379"/>
      <c r="R8" s="3382"/>
      <c r="S8" s="3383"/>
      <c r="T8" s="3384"/>
      <c r="U8" s="3385"/>
      <c r="V8" s="3367"/>
      <c r="W8" s="3367"/>
      <c r="X8" s="1553"/>
      <c r="Y8" s="3384"/>
      <c r="Z8" s="3385"/>
      <c r="AA8" s="3371"/>
      <c r="AB8" s="3371"/>
      <c r="AC8" s="3371"/>
    </row>
    <row r="9" spans="1:29" s="1216" customFormat="1" ht="15.75" thickBot="1">
      <c r="A9" s="2867"/>
      <c r="B9" s="2874" t="s">
        <v>529</v>
      </c>
      <c r="C9" s="519">
        <f>'数据-取费表'!B2</f>
        <v>43572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7" t="s">
        <v>530</v>
      </c>
      <c r="Q9" s="3399"/>
      <c r="R9" s="1554" t="s">
        <v>8</v>
      </c>
      <c r="S9" s="1555">
        <f t="shared" ref="S9:S17" si="0">F9</f>
        <v>0</v>
      </c>
      <c r="T9" s="1554" t="s">
        <v>8</v>
      </c>
      <c r="U9" s="1555">
        <f t="shared" ref="U9:U17" si="1">H9</f>
        <v>0</v>
      </c>
      <c r="V9" s="1554" t="s">
        <v>8</v>
      </c>
      <c r="W9" s="1555">
        <f t="shared" ref="W9:W17" si="2">J9</f>
        <v>0</v>
      </c>
      <c r="X9" s="1556"/>
      <c r="Y9" s="3397" t="s">
        <v>530</v>
      </c>
      <c r="Z9" s="3398"/>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7" t="s">
        <v>533</v>
      </c>
      <c r="Q10" s="3398"/>
      <c r="R10" s="1554" t="s">
        <v>8</v>
      </c>
      <c r="S10" s="1555">
        <f t="shared" si="0"/>
        <v>0</v>
      </c>
      <c r="T10" s="1554" t="s">
        <v>8</v>
      </c>
      <c r="U10" s="1555">
        <f t="shared" si="1"/>
        <v>0</v>
      </c>
      <c r="V10" s="1554" t="s">
        <v>8</v>
      </c>
      <c r="W10" s="1555">
        <f t="shared" si="2"/>
        <v>0</v>
      </c>
      <c r="X10" s="1556"/>
      <c r="Y10" s="3397" t="s">
        <v>533</v>
      </c>
      <c r="Z10" s="3398"/>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6" t="s">
        <v>535</v>
      </c>
      <c r="Q11" s="1147" t="str">
        <f t="shared" ref="Q11:Q17" si="6">B11</f>
        <v>用途</v>
      </c>
      <c r="R11" s="1554" t="s">
        <v>8</v>
      </c>
      <c r="S11" s="1555">
        <f t="shared" si="0"/>
        <v>100</v>
      </c>
      <c r="T11" s="1554" t="s">
        <v>8</v>
      </c>
      <c r="U11" s="1555">
        <f t="shared" si="1"/>
        <v>100</v>
      </c>
      <c r="V11" s="1554" t="s">
        <v>8</v>
      </c>
      <c r="W11" s="1555">
        <f t="shared" si="2"/>
        <v>100</v>
      </c>
      <c r="X11" s="1556"/>
      <c r="Y11" s="3312"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66"/>
      <c r="Q12" s="1147" t="str">
        <f t="shared" si="6"/>
        <v>土地使用年限（年）</v>
      </c>
      <c r="R12" s="1554" t="s">
        <v>8</v>
      </c>
      <c r="S12" s="1555">
        <f t="shared" si="0"/>
        <v>100</v>
      </c>
      <c r="T12" s="1554" t="s">
        <v>8</v>
      </c>
      <c r="U12" s="1555">
        <f t="shared" si="1"/>
        <v>100</v>
      </c>
      <c r="V12" s="1554" t="s">
        <v>8</v>
      </c>
      <c r="W12" s="1555">
        <f t="shared" si="2"/>
        <v>100</v>
      </c>
      <c r="X12" s="1556"/>
      <c r="Y12" s="3312"/>
      <c r="Z12" s="1146"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6"/>
      <c r="Q13" s="1147" t="str">
        <f t="shared" si="6"/>
        <v>容积率</v>
      </c>
      <c r="R13" s="1554" t="s">
        <v>8</v>
      </c>
      <c r="S13" s="1555" t="e">
        <f t="shared" si="0"/>
        <v>#N/A</v>
      </c>
      <c r="T13" s="1554" t="s">
        <v>8</v>
      </c>
      <c r="U13" s="1555" t="e">
        <f t="shared" si="1"/>
        <v>#N/A</v>
      </c>
      <c r="V13" s="1554" t="s">
        <v>8</v>
      </c>
      <c r="W13" s="1555" t="e">
        <f t="shared" si="2"/>
        <v>#N/A</v>
      </c>
      <c r="X13" s="1556"/>
      <c r="Y13" s="3312"/>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6"/>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6"/>
      <c r="Q15" s="1147">
        <f t="shared" si="6"/>
        <v>111</v>
      </c>
      <c r="R15" s="1554" t="s">
        <v>8</v>
      </c>
      <c r="S15" s="1555">
        <f t="shared" si="0"/>
        <v>100</v>
      </c>
      <c r="T15" s="1554" t="s">
        <v>8</v>
      </c>
      <c r="U15" s="1555">
        <f t="shared" si="1"/>
        <v>100</v>
      </c>
      <c r="V15" s="1554" t="s">
        <v>8</v>
      </c>
      <c r="W15" s="1555">
        <f t="shared" si="2"/>
        <v>100</v>
      </c>
      <c r="X15" s="1556"/>
      <c r="Y15" s="3312"/>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6"/>
      <c r="Q16" s="1147">
        <f t="shared" si="6"/>
        <v>111</v>
      </c>
      <c r="R16" s="1554" t="s">
        <v>8</v>
      </c>
      <c r="S16" s="1555">
        <f t="shared" si="0"/>
        <v>100</v>
      </c>
      <c r="T16" s="1554" t="s">
        <v>8</v>
      </c>
      <c r="U16" s="1555">
        <f t="shared" si="1"/>
        <v>100</v>
      </c>
      <c r="V16" s="1554" t="s">
        <v>8</v>
      </c>
      <c r="W16" s="1555">
        <f t="shared" si="2"/>
        <v>100</v>
      </c>
      <c r="X16" s="1556"/>
      <c r="Y16" s="3312"/>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0" t="s">
        <v>540</v>
      </c>
      <c r="Q17" s="1558" t="str">
        <f t="shared" si="6"/>
        <v>产业集聚程度</v>
      </c>
      <c r="R17" s="1559" t="s">
        <v>8</v>
      </c>
      <c r="S17" s="1560">
        <f t="shared" si="0"/>
        <v>100</v>
      </c>
      <c r="T17" s="1559" t="s">
        <v>8</v>
      </c>
      <c r="U17" s="1560">
        <f t="shared" si="1"/>
        <v>100</v>
      </c>
      <c r="V17" s="1559" t="s">
        <v>8</v>
      </c>
      <c r="W17" s="1560">
        <f t="shared" si="2"/>
        <v>100</v>
      </c>
      <c r="X17" s="1553"/>
      <c r="Y17" s="3400"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1"/>
      <c r="Q18" s="1558"/>
      <c r="R18" s="1559"/>
      <c r="S18" s="1560"/>
      <c r="T18" s="1559"/>
      <c r="U18" s="1560"/>
      <c r="V18" s="1559"/>
      <c r="W18" s="1560"/>
      <c r="X18" s="1553"/>
      <c r="Y18" s="3401"/>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1"/>
      <c r="Q19" s="1558" t="str">
        <f>B19</f>
        <v>交通便捷度</v>
      </c>
      <c r="R19" s="1559" t="s">
        <v>8</v>
      </c>
      <c r="S19" s="1560">
        <f>F19</f>
        <v>100</v>
      </c>
      <c r="T19" s="1559" t="s">
        <v>8</v>
      </c>
      <c r="U19" s="1560">
        <f>H19</f>
        <v>100</v>
      </c>
      <c r="V19" s="1559" t="s">
        <v>8</v>
      </c>
      <c r="W19" s="1560">
        <f>J19</f>
        <v>100</v>
      </c>
      <c r="X19" s="1553"/>
      <c r="Y19" s="340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1"/>
      <c r="Q20" s="1558"/>
      <c r="R20" s="1559"/>
      <c r="S20" s="1560"/>
      <c r="T20" s="1559"/>
      <c r="U20" s="1560"/>
      <c r="V20" s="1559"/>
      <c r="W20" s="1560"/>
      <c r="X20" s="1553"/>
      <c r="Y20" s="3401"/>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1"/>
      <c r="Q21" s="1558" t="str">
        <f t="shared" ref="Q21:Q35" si="8">B21</f>
        <v>区域土地利用方向</v>
      </c>
      <c r="R21" s="1559" t="s">
        <v>8</v>
      </c>
      <c r="S21" s="1560">
        <f>F21</f>
        <v>100</v>
      </c>
      <c r="T21" s="1559" t="s">
        <v>8</v>
      </c>
      <c r="U21" s="1560">
        <f>H21</f>
        <v>100</v>
      </c>
      <c r="V21" s="1559" t="s">
        <v>8</v>
      </c>
      <c r="W21" s="1560">
        <f>J21</f>
        <v>100</v>
      </c>
      <c r="X21" s="1553"/>
      <c r="Y21" s="340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01"/>
      <c r="Q22" s="1558"/>
      <c r="R22" s="1559"/>
      <c r="S22" s="1560"/>
      <c r="T22" s="1559"/>
      <c r="U22" s="1560"/>
      <c r="V22" s="1559"/>
      <c r="W22" s="1560"/>
      <c r="X22" s="1553"/>
      <c r="Y22" s="3401"/>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1"/>
      <c r="Q23" s="1558" t="str">
        <f t="shared" si="8"/>
        <v>环境状况</v>
      </c>
      <c r="R23" s="1559" t="s">
        <v>8</v>
      </c>
      <c r="S23" s="1560">
        <f>F23</f>
        <v>100</v>
      </c>
      <c r="T23" s="1559" t="s">
        <v>8</v>
      </c>
      <c r="U23" s="1560">
        <f>H23</f>
        <v>100</v>
      </c>
      <c r="V23" s="1559" t="s">
        <v>8</v>
      </c>
      <c r="W23" s="1560">
        <f>J23</f>
        <v>100</v>
      </c>
      <c r="X23" s="1553"/>
      <c r="Y23" s="340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1"/>
      <c r="Q24" s="1558"/>
      <c r="R24" s="1559"/>
      <c r="S24" s="1560"/>
      <c r="T24" s="1559"/>
      <c r="U24" s="1560"/>
      <c r="V24" s="1559"/>
      <c r="W24" s="1560"/>
      <c r="X24" s="1553"/>
      <c r="Y24" s="3401"/>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1"/>
      <c r="Q25" s="1147" t="str">
        <f t="shared" si="8"/>
        <v>公共配套设施</v>
      </c>
      <c r="R25" s="1554" t="s">
        <v>8</v>
      </c>
      <c r="S25" s="1555">
        <f>F25</f>
        <v>100</v>
      </c>
      <c r="T25" s="1554" t="s">
        <v>8</v>
      </c>
      <c r="U25" s="1555">
        <f>H25</f>
        <v>100</v>
      </c>
      <c r="V25" s="1554" t="s">
        <v>8</v>
      </c>
      <c r="W25" s="1555">
        <f>J25</f>
        <v>100</v>
      </c>
      <c r="X25" s="1556"/>
      <c r="Y25" s="3401"/>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01"/>
      <c r="Q26" s="1147"/>
      <c r="R26" s="1554"/>
      <c r="S26" s="1555"/>
      <c r="T26" s="1554"/>
      <c r="U26" s="1555"/>
      <c r="V26" s="1554"/>
      <c r="W26" s="1555"/>
      <c r="X26" s="1556"/>
      <c r="Y26" s="3401"/>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1"/>
      <c r="Q27" s="2542" t="str">
        <f t="shared" ref="Q27" si="9">B27</f>
        <v>基础设施水平</v>
      </c>
      <c r="R27" s="1554" t="s">
        <v>8</v>
      </c>
      <c r="S27" s="1555">
        <f>F27</f>
        <v>100</v>
      </c>
      <c r="T27" s="1554" t="s">
        <v>8</v>
      </c>
      <c r="U27" s="1555">
        <f>H27</f>
        <v>100</v>
      </c>
      <c r="V27" s="1554" t="s">
        <v>8</v>
      </c>
      <c r="W27" s="1555">
        <f>J27</f>
        <v>100</v>
      </c>
      <c r="X27" s="1556"/>
      <c r="Y27" s="3401"/>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01"/>
      <c r="Q28" s="2542"/>
      <c r="R28" s="1554"/>
      <c r="S28" s="1555"/>
      <c r="T28" s="1554"/>
      <c r="U28" s="1555"/>
      <c r="V28" s="1554"/>
      <c r="W28" s="1555"/>
      <c r="X28" s="1556"/>
      <c r="Y28" s="3401"/>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1"/>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1"/>
      <c r="Q30" s="1558" t="str">
        <f t="shared" si="8"/>
        <v>毗邻道路的类型与等级</v>
      </c>
      <c r="R30" s="1559" t="s">
        <v>8</v>
      </c>
      <c r="S30" s="1560">
        <f t="shared" si="10"/>
        <v>100</v>
      </c>
      <c r="T30" s="1559" t="s">
        <v>8</v>
      </c>
      <c r="U30" s="1560">
        <f t="shared" si="11"/>
        <v>100</v>
      </c>
      <c r="V30" s="1559" t="s">
        <v>8</v>
      </c>
      <c r="W30" s="1560">
        <f t="shared" si="12"/>
        <v>100</v>
      </c>
      <c r="X30" s="1553"/>
      <c r="Y30" s="340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1"/>
      <c r="Q31" s="1558"/>
      <c r="R31" s="1559"/>
      <c r="S31" s="1560"/>
      <c r="T31" s="1559"/>
      <c r="U31" s="1560"/>
      <c r="V31" s="1559"/>
      <c r="W31" s="1560"/>
      <c r="X31" s="1553"/>
      <c r="Y31" s="3401"/>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1"/>
      <c r="Q32" s="1558" t="str">
        <f t="shared" si="8"/>
        <v>土地级别</v>
      </c>
      <c r="R32" s="1559" t="s">
        <v>8</v>
      </c>
      <c r="S32" s="1560">
        <f t="shared" si="10"/>
        <v>100</v>
      </c>
      <c r="T32" s="1559" t="s">
        <v>8</v>
      </c>
      <c r="U32" s="1560">
        <f t="shared" si="11"/>
        <v>100</v>
      </c>
      <c r="V32" s="1559" t="s">
        <v>8</v>
      </c>
      <c r="W32" s="1560">
        <f t="shared" si="12"/>
        <v>100</v>
      </c>
      <c r="X32" s="1553"/>
      <c r="Y32" s="340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1"/>
      <c r="Q33" s="1558">
        <f t="shared" si="8"/>
        <v>111</v>
      </c>
      <c r="R33" s="1559" t="s">
        <v>8</v>
      </c>
      <c r="S33" s="1560">
        <f t="shared" si="10"/>
        <v>100</v>
      </c>
      <c r="T33" s="1559" t="s">
        <v>8</v>
      </c>
      <c r="U33" s="1560">
        <f t="shared" si="11"/>
        <v>100</v>
      </c>
      <c r="V33" s="1559" t="s">
        <v>8</v>
      </c>
      <c r="W33" s="1560">
        <f t="shared" si="12"/>
        <v>100</v>
      </c>
      <c r="X33" s="1553"/>
      <c r="Y33" s="340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2" t="s">
        <v>550</v>
      </c>
      <c r="Q34" s="1558">
        <f t="shared" si="8"/>
        <v>111</v>
      </c>
      <c r="R34" s="1559" t="s">
        <v>8</v>
      </c>
      <c r="S34" s="1560">
        <f t="shared" si="10"/>
        <v>100</v>
      </c>
      <c r="T34" s="1559" t="s">
        <v>8</v>
      </c>
      <c r="U34" s="1560">
        <f t="shared" si="11"/>
        <v>100</v>
      </c>
      <c r="V34" s="1559" t="s">
        <v>8</v>
      </c>
      <c r="W34" s="1560">
        <f t="shared" si="12"/>
        <v>100</v>
      </c>
      <c r="X34" s="1553"/>
      <c r="Y34" s="3403"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3"/>
      <c r="Q35" s="1558">
        <f t="shared" si="8"/>
        <v>111</v>
      </c>
      <c r="R35" s="1563" t="s">
        <v>8</v>
      </c>
      <c r="S35" s="1564">
        <f t="shared" si="10"/>
        <v>100</v>
      </c>
      <c r="T35" s="1563" t="s">
        <v>8</v>
      </c>
      <c r="U35" s="1564">
        <f t="shared" si="11"/>
        <v>100</v>
      </c>
      <c r="V35" s="1563" t="s">
        <v>8</v>
      </c>
      <c r="W35" s="1564">
        <f t="shared" si="12"/>
        <v>100</v>
      </c>
      <c r="X35" s="1565"/>
      <c r="Y35" s="3403"/>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3"/>
      <c r="Q36" s="1558" t="str">
        <f>B36</f>
        <v>宗地面积</v>
      </c>
      <c r="R36" s="1559" t="s">
        <v>8</v>
      </c>
      <c r="S36" s="1560" t="e">
        <f t="shared" si="10"/>
        <v>#N/A</v>
      </c>
      <c r="T36" s="1559" t="s">
        <v>8</v>
      </c>
      <c r="U36" s="1560" t="e">
        <f t="shared" si="11"/>
        <v>#N/A</v>
      </c>
      <c r="V36" s="1559" t="s">
        <v>8</v>
      </c>
      <c r="W36" s="1560" t="e">
        <f t="shared" si="12"/>
        <v>#N/A</v>
      </c>
      <c r="X36" s="1553"/>
      <c r="Y36" s="3403"/>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3"/>
      <c r="Q37" s="1558" t="str">
        <f t="shared" ref="Q37:Q42" si="14">B37</f>
        <v>宗地形状</v>
      </c>
      <c r="R37" s="1559" t="s">
        <v>8</v>
      </c>
      <c r="S37" s="1560">
        <f t="shared" si="10"/>
        <v>100</v>
      </c>
      <c r="T37" s="1559" t="s">
        <v>8</v>
      </c>
      <c r="U37" s="1560">
        <f t="shared" si="11"/>
        <v>100</v>
      </c>
      <c r="V37" s="1559" t="s">
        <v>8</v>
      </c>
      <c r="W37" s="1560">
        <f t="shared" si="12"/>
        <v>100</v>
      </c>
      <c r="X37" s="1553"/>
      <c r="Y37" s="3403"/>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3"/>
      <c r="Q38" s="1558" t="str">
        <f t="shared" si="14"/>
        <v>宗地开发程度</v>
      </c>
      <c r="R38" s="1554" t="s">
        <v>8</v>
      </c>
      <c r="S38" s="1555">
        <f t="shared" si="10"/>
        <v>100</v>
      </c>
      <c r="T38" s="1554" t="s">
        <v>8</v>
      </c>
      <c r="U38" s="1555">
        <f t="shared" si="11"/>
        <v>100</v>
      </c>
      <c r="V38" s="1554" t="s">
        <v>8</v>
      </c>
      <c r="W38" s="1555">
        <f t="shared" si="12"/>
        <v>100</v>
      </c>
      <c r="X38" s="1556"/>
      <c r="Y38" s="3403"/>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3" t="s">
        <v>601</v>
      </c>
      <c r="Q39" s="1558" t="str">
        <f t="shared" si="14"/>
        <v>工程地质条件</v>
      </c>
      <c r="R39" s="1559" t="s">
        <v>8</v>
      </c>
      <c r="S39" s="1560">
        <f t="shared" si="10"/>
        <v>100</v>
      </c>
      <c r="T39" s="1559" t="s">
        <v>8</v>
      </c>
      <c r="U39" s="1560">
        <f t="shared" si="11"/>
        <v>100</v>
      </c>
      <c r="V39" s="1559" t="s">
        <v>8</v>
      </c>
      <c r="W39" s="1560">
        <f t="shared" si="12"/>
        <v>100</v>
      </c>
      <c r="X39" s="1553"/>
      <c r="Y39" s="3403"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3"/>
      <c r="Q40" s="1558">
        <f t="shared" si="14"/>
        <v>111</v>
      </c>
      <c r="R40" s="1559" t="s">
        <v>8</v>
      </c>
      <c r="S40" s="1560">
        <f t="shared" si="10"/>
        <v>100</v>
      </c>
      <c r="T40" s="1559" t="s">
        <v>8</v>
      </c>
      <c r="U40" s="1560">
        <f t="shared" si="11"/>
        <v>100</v>
      </c>
      <c r="V40" s="1559" t="s">
        <v>8</v>
      </c>
      <c r="W40" s="1560">
        <f t="shared" si="12"/>
        <v>100</v>
      </c>
      <c r="X40" s="1553"/>
      <c r="Y40" s="340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3"/>
      <c r="Q41" s="1558">
        <f t="shared" si="14"/>
        <v>111</v>
      </c>
      <c r="R41" s="1559" t="s">
        <v>8</v>
      </c>
      <c r="S41" s="1560">
        <f t="shared" si="10"/>
        <v>100</v>
      </c>
      <c r="T41" s="1559" t="s">
        <v>8</v>
      </c>
      <c r="U41" s="1560">
        <f t="shared" si="11"/>
        <v>100</v>
      </c>
      <c r="V41" s="1559" t="s">
        <v>8</v>
      </c>
      <c r="W41" s="1560">
        <f t="shared" si="12"/>
        <v>100</v>
      </c>
      <c r="X41" s="1553"/>
      <c r="Y41" s="3403"/>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3"/>
      <c r="Q42" s="1558">
        <f t="shared" si="14"/>
        <v>111</v>
      </c>
      <c r="R42" s="1563" t="s">
        <v>8</v>
      </c>
      <c r="S42" s="1564">
        <f t="shared" si="10"/>
        <v>100</v>
      </c>
      <c r="T42" s="1563" t="s">
        <v>8</v>
      </c>
      <c r="U42" s="1564">
        <f t="shared" si="11"/>
        <v>100</v>
      </c>
      <c r="V42" s="1563" t="s">
        <v>8</v>
      </c>
      <c r="W42" s="1564">
        <f t="shared" si="12"/>
        <v>100</v>
      </c>
      <c r="X42" s="1565"/>
      <c r="Y42" s="3403"/>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66" t="str">
        <f>A43</f>
        <v>成交单价</v>
      </c>
      <c r="Q43" s="3366"/>
      <c r="R43" s="3367">
        <f>E43</f>
        <v>0</v>
      </c>
      <c r="S43" s="3367"/>
      <c r="T43" s="3367">
        <f>G43</f>
        <v>0</v>
      </c>
      <c r="U43" s="3367"/>
      <c r="V43" s="3367">
        <f>I43</f>
        <v>0</v>
      </c>
      <c r="W43" s="3367"/>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66" t="str">
        <f>A44</f>
        <v>比较价格（元/平方米）</v>
      </c>
      <c r="Q44" s="3366"/>
      <c r="R44" s="3368" t="e">
        <f>ROUND(PRODUCT(R43,AA9:AA42),0)</f>
        <v>#DIV/0!</v>
      </c>
      <c r="S44" s="3368"/>
      <c r="T44" s="3368" t="e">
        <f>ROUND(PRODUCT(T43,AB9:AB42),0)</f>
        <v>#DIV/0!</v>
      </c>
      <c r="U44" s="3368"/>
      <c r="V44" s="3368" t="e">
        <f>ROUND(PRODUCT(V43,AC9:AC42),0)</f>
        <v>#DIV/0!</v>
      </c>
      <c r="W44" s="3368"/>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363" t="str">
        <f>A45</f>
        <v>估价对象XX用房的比较价格（楼面单价，元/平方米）</v>
      </c>
      <c r="Q45" s="3364"/>
      <c r="R45" s="3365" t="e">
        <f>ROUND(AVERAGE(R44:V44),0)</f>
        <v>#DIV/0!</v>
      </c>
      <c r="S45" s="3365"/>
      <c r="T45" s="3365"/>
      <c r="U45" s="3365"/>
      <c r="V45" s="3365"/>
      <c r="W45" s="336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10" t="s">
        <v>2284</v>
      </c>
      <c r="H52" s="3411"/>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70037.847999999998</v>
      </c>
      <c r="F53" s="1935" t="e">
        <f t="shared" ref="F53:F62" si="15">ROUND(B53*E53/10000,0)</f>
        <v>#DIV/0!</v>
      </c>
      <c r="G53" s="3412"/>
      <c r="H53" s="341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0.7</v>
      </c>
      <c r="D54" s="2214">
        <v>0.25</v>
      </c>
      <c r="E54" s="639"/>
      <c r="F54" s="1935" t="e">
        <f t="shared" si="15"/>
        <v>#DIV/0!</v>
      </c>
      <c r="G54" s="3414" t="s">
        <v>2285</v>
      </c>
      <c r="H54" s="1939" t="str">
        <f>项目基本情况!B43</f>
        <v>七级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0.4</v>
      </c>
      <c r="D55" s="2214">
        <v>0.25</v>
      </c>
      <c r="E55" s="639"/>
      <c r="F55" s="1935" t="e">
        <f t="shared" si="15"/>
        <v>#DIV/0!</v>
      </c>
      <c r="G55" s="3414"/>
      <c r="H55" s="1940" t="str">
        <f>项目基本情况!B43</f>
        <v>七级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0.28000000000000003</v>
      </c>
      <c r="D56" s="2214">
        <v>0.25</v>
      </c>
      <c r="E56" s="639"/>
      <c r="F56" s="1935" t="e">
        <f t="shared" si="15"/>
        <v>#DIV/0!</v>
      </c>
      <c r="G56" s="3414"/>
      <c r="H56" s="1940" t="str">
        <f>项目基本情况!B43</f>
        <v>七级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0.25</v>
      </c>
      <c r="D57" s="2214">
        <v>0.25</v>
      </c>
      <c r="E57" s="639"/>
      <c r="F57" s="1935" t="e">
        <f t="shared" si="15"/>
        <v>#DIV/0!</v>
      </c>
      <c r="G57" s="3414"/>
      <c r="H57" s="1940" t="str">
        <f>项目基本情况!B43</f>
        <v>七级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0.25</v>
      </c>
      <c r="D58" s="2214">
        <v>0.25</v>
      </c>
      <c r="E58" s="641">
        <f>'数据-汇总表'!E11</f>
        <v>0</v>
      </c>
      <c r="F58" s="1935" t="e">
        <f t="shared" si="15"/>
        <v>#DIV/0!</v>
      </c>
      <c r="G58" s="1941" t="s">
        <v>2286</v>
      </c>
      <c r="H58" s="1940" t="str">
        <f>项目基本情况!C43</f>
        <v>七级</v>
      </c>
      <c r="I58" s="1938">
        <f>SUMIF(修正!$A$45:$A$56,H58,修正!F45:F56)</f>
        <v>0.25</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0.25</v>
      </c>
      <c r="D59" s="2214">
        <v>0.25</v>
      </c>
      <c r="E59" s="641">
        <f>'数据-汇总表'!E12</f>
        <v>6930.98</v>
      </c>
      <c r="F59" s="1935" t="e">
        <f t="shared" si="15"/>
        <v>#DIV/0!</v>
      </c>
      <c r="G59" s="1931" t="s">
        <v>1677</v>
      </c>
      <c r="H59" s="1939" t="str">
        <f>IF(G59="商业",项目基本情况!B43,IF(G59="办公",项目基本情况!C43,IF(G59="住宅",项目基本情况!D43,项目基本情况!E43)))</f>
        <v>七级</v>
      </c>
      <c r="I59" s="1938">
        <f>SUMIF(修正!$A$45:$A$56,H59,修正!G45:G56)</f>
        <v>0.25</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0.2</v>
      </c>
      <c r="D60" s="2214">
        <v>0.25</v>
      </c>
      <c r="E60" s="641">
        <f>'数据-汇总表'!E13</f>
        <v>19258.47</v>
      </c>
      <c r="F60" s="1935" t="e">
        <f t="shared" si="15"/>
        <v>#DIV/0!</v>
      </c>
      <c r="G60" s="1931" t="s">
        <v>923</v>
      </c>
      <c r="H60" s="1939" t="str">
        <f>IF(G60="商业",项目基本情况!B43,IF(G60="办公",项目基本情况!C43,IF(G60="住宅",项目基本情况!D43,项目基本情况!E43)))</f>
        <v>七级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0.2</v>
      </c>
      <c r="D61" s="2214">
        <v>0.25</v>
      </c>
      <c r="E61" s="641">
        <f>'数据-汇总表'!E14</f>
        <v>0</v>
      </c>
      <c r="F61" s="1935" t="e">
        <f t="shared" si="15"/>
        <v>#DIV/0!</v>
      </c>
      <c r="G61" s="1941" t="s">
        <v>2285</v>
      </c>
      <c r="H61" s="1940" t="str">
        <f>项目基本情况!B43</f>
        <v>七级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0.2</v>
      </c>
      <c r="D62" s="2214">
        <v>0.25</v>
      </c>
      <c r="E62" s="641">
        <f>'数据-汇总表'!E15</f>
        <v>0</v>
      </c>
      <c r="F62" s="1935" t="e">
        <f t="shared" si="15"/>
        <v>#DIV/0!</v>
      </c>
      <c r="G62" s="1942" t="s">
        <v>2286</v>
      </c>
      <c r="H62" s="1943" t="str">
        <f>项目基本情况!C43</f>
        <v>七级</v>
      </c>
      <c r="I62" s="1938">
        <f>SUMIF(修正!$A$45:$A$56,H62,修正!H45:H56)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41663.440000000002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t="str">
        <f>IF(E2="商业",项目基本情况!B43,IF(E2="办公",项目基本情况!C43,IF(E2="住宅",项目基本情况!D43,项目基本情况!E43)))</f>
        <v>七级</v>
      </c>
      <c r="H2" s="1404" t="s">
        <v>926</v>
      </c>
      <c r="I2" s="1638" t="str">
        <f>IF(E2="商业",项目基本情况!B44,IF(E2="办公",项目基本情况!C44,IF(E2="住宅",项目基本情况!D44,项目基本情况!E44)))</f>
        <v>Ⅶ-顺1</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1.0788</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0.86560000000000004</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0.73709999999999998</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6"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t="e">
        <f t="shared" si="0"/>
        <v>#DIV/0!</v>
      </c>
      <c r="U7" s="2881"/>
      <c r="V7" s="2892" t="e">
        <f t="shared" si="1"/>
        <v>#DIV/0!</v>
      </c>
      <c r="W7" s="2890" t="s">
        <v>2765</v>
      </c>
      <c r="X7" s="2882" t="str">
        <f>G2</f>
        <v>七级</v>
      </c>
      <c r="Y7" s="2882" t="s">
        <v>2766</v>
      </c>
      <c r="Z7" s="2883">
        <f>G3</f>
        <v>4</v>
      </c>
      <c r="AA7" s="2177"/>
      <c r="AB7" s="2177"/>
      <c r="AC7" s="2178"/>
      <c r="AD7" s="2884"/>
      <c r="AE7" s="2884"/>
      <c r="AF7" s="2884"/>
      <c r="AG7" s="2884"/>
      <c r="AH7" s="2884"/>
      <c r="AI7" s="2884"/>
      <c r="AJ7" s="2885"/>
    </row>
    <row r="8" spans="1:39" ht="15">
      <c r="A8" s="3427"/>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6" t="s">
        <v>2783</v>
      </c>
      <c r="X8" s="3417"/>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27"/>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5"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7"/>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7"/>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5"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6"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5"/>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8"/>
      <c r="B13" s="1440" t="s">
        <v>1696</v>
      </c>
      <c r="C13" s="1441" t="s">
        <v>1697</v>
      </c>
      <c r="D13" s="1085" t="s">
        <v>1698</v>
      </c>
      <c r="E13" s="1085"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15"/>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28"/>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9"/>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6" t="s">
        <v>1838</v>
      </c>
      <c r="B16" s="1423" t="s">
        <v>950</v>
      </c>
      <c r="C16" s="1052" t="e">
        <f>ROUND(IF(F17="与级别开发程度一致",0,(G17-E17)/C17),0)</f>
        <v>#DIV/0!</v>
      </c>
      <c r="D16" s="3423" t="s">
        <v>954</v>
      </c>
      <c r="E16" s="3424"/>
      <c r="F16" s="3423" t="s">
        <v>951</v>
      </c>
      <c r="G16" s="3424"/>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0"/>
      <c r="B17" s="3180" t="s">
        <v>953</v>
      </c>
      <c r="C17" s="3181">
        <f>SUMPRODUCT((修正!A2:A5=E2)*(修正!B1:M1=G2)*(修正!B2:M5))</f>
        <v>0</v>
      </c>
      <c r="D17" s="3182" t="str">
        <f>IF(OR(G2="八级",G2="九级",G2="十级",G2="十一级",G2="十二级"),"五通一平","七通一平")</f>
        <v>七通一平</v>
      </c>
      <c r="E17" s="3172">
        <f>SUMPRODUCT((修正!B1:M1=G2)*(修正!B15:M15))</f>
        <v>300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43572</v>
      </c>
      <c r="H19" s="1463"/>
      <c r="I19" s="2740" t="str">
        <f>IF(H19="季度增幅（自定义）",SUMIF(N21:N24,E2,O21:O24),"")</f>
        <v/>
      </c>
      <c r="J19" s="1459"/>
      <c r="K19" s="3154"/>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2842</v>
      </c>
      <c r="M20" s="3163">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0.64629999999999999</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0.61499999999999999</v>
      </c>
      <c r="I22" s="1056" t="s">
        <v>977</v>
      </c>
      <c r="J22" s="1056"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0.64629999999999999</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3" t="s">
        <v>2960</v>
      </c>
      <c r="B33" s="1511" t="s">
        <v>999</v>
      </c>
      <c r="C33" s="1059" t="e">
        <f>ROUND(D5*C19*C20*C24*F33,0)</f>
        <v>#DIV/0!</v>
      </c>
      <c r="D33" s="1524"/>
      <c r="E33" s="1048" t="e">
        <f>ROUND(C33*D33/10000,0)</f>
        <v>#DIV/0!</v>
      </c>
      <c r="F33" s="1048">
        <f>SUMIF(修正!A45:A56,G2,修正!B45:B56)</f>
        <v>0.7</v>
      </c>
      <c r="G33" s="1048" t="e">
        <f t="shared" ref="G33" si="6">ROUND(IF(E2="工业",C33*$M$39,C33*$M$38),0)</f>
        <v>#DIV/0!</v>
      </c>
      <c r="H33" s="1048">
        <f>D33</f>
        <v>0</v>
      </c>
      <c r="I33" s="1048"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4"/>
      <c r="B34" s="1441" t="s">
        <v>1000</v>
      </c>
      <c r="C34" s="1059" t="e">
        <f>ROUND(D5*C19*C20*C24*F34,0)</f>
        <v>#DIV/0!</v>
      </c>
      <c r="D34" s="1524"/>
      <c r="E34" s="1048" t="e">
        <f t="shared" ref="E34:E39" si="7">ROUND(C34*D34/10000,0)</f>
        <v>#DIV/0!</v>
      </c>
      <c r="F34" s="1048">
        <f>SUMIF(修正!A45:A56,G2,修正!C45:C56)</f>
        <v>0.4</v>
      </c>
      <c r="G34" s="1048" t="e">
        <f>ROUND(IF(E2="工业",C34*$M$39,C34*$M$38),0)</f>
        <v>#DIV/0!</v>
      </c>
      <c r="H34" s="1048">
        <f t="shared" ref="H34:H39" si="8">D34</f>
        <v>0</v>
      </c>
      <c r="I34" s="1048"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4"/>
      <c r="B35" s="1441" t="s">
        <v>1001</v>
      </c>
      <c r="C35" s="1059" t="e">
        <f>ROUND(D5*C19*C20*C24*F35,0)</f>
        <v>#DIV/0!</v>
      </c>
      <c r="D35" s="1524"/>
      <c r="E35" s="1048" t="e">
        <f t="shared" si="7"/>
        <v>#DIV/0!</v>
      </c>
      <c r="F35" s="1048">
        <f>SUMIF(修正!A45:A56,G2,修正!D45:D56)</f>
        <v>0.28000000000000003</v>
      </c>
      <c r="G35" s="1048" t="e">
        <f>ROUND(IF(E2="工业",C35*$M$39,C35*$M$38),0)</f>
        <v>#DIV/0!</v>
      </c>
      <c r="H35" s="1048">
        <f t="shared" si="8"/>
        <v>0</v>
      </c>
      <c r="I35" s="1048"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5"/>
      <c r="B36" s="1441" t="s">
        <v>1002</v>
      </c>
      <c r="C36" s="1059" t="e">
        <f>ROUND(D5*C19*C20*C24*F36,0)</f>
        <v>#DIV/0!</v>
      </c>
      <c r="D36" s="1524"/>
      <c r="E36" s="1048" t="e">
        <f t="shared" si="7"/>
        <v>#DIV/0!</v>
      </c>
      <c r="F36" s="1048">
        <f>SUMIF(修正!A45:A56,G2,修正!E45:E56)</f>
        <v>0.25</v>
      </c>
      <c r="G36" s="1048" t="e">
        <f>ROUND(IF(E2="工业",C36*$M$39,C36*$M$38),0)</f>
        <v>#DIV/0!</v>
      </c>
      <c r="H36" s="1048">
        <f t="shared" si="8"/>
        <v>0</v>
      </c>
      <c r="I36" s="1048"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0.25</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0.25</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0.2</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2987</v>
      </c>
      <c r="C41" s="839" t="e">
        <f>ROUND(POWER(1+E41,H41-G41)*(POWER(1+E41,G41)-1)/(POWER(1+E41,H41)-1),4)</f>
        <v>#DIV/0!</v>
      </c>
      <c r="D41" s="378" t="s">
        <v>2985</v>
      </c>
      <c r="E41" s="3149">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1" t="s">
        <v>1633</v>
      </c>
      <c r="B90" s="3431"/>
      <c r="C90" s="3431"/>
      <c r="D90" s="3431"/>
      <c r="E90" s="3431"/>
      <c r="F90" s="3431"/>
      <c r="G90" s="3431"/>
      <c r="H90" s="3431"/>
      <c r="I90" s="3431"/>
      <c r="J90" s="3431"/>
      <c r="K90" s="2414"/>
      <c r="L90" s="2414"/>
      <c r="M90" s="2414"/>
      <c r="N90" s="2414"/>
    </row>
    <row r="91" spans="1:40">
      <c r="A91" s="3432" t="s">
        <v>1443</v>
      </c>
      <c r="B91" s="3432" t="s">
        <v>1634</v>
      </c>
      <c r="C91" s="1136" t="s">
        <v>1635</v>
      </c>
      <c r="D91" s="1137"/>
      <c r="E91" s="1137"/>
      <c r="F91" s="1137"/>
      <c r="G91" s="1137"/>
      <c r="H91" s="1137"/>
      <c r="I91" s="1137"/>
      <c r="J91" s="1138"/>
      <c r="K91" s="1130"/>
      <c r="L91" s="1130"/>
      <c r="M91" s="1130"/>
      <c r="N91" s="1130"/>
    </row>
    <row r="92" spans="1:40">
      <c r="A92" s="3432"/>
      <c r="B92" s="3432"/>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8"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8"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9"/>
      <c r="B108" s="342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0"/>
      <c r="B109" s="342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5" t="s">
        <v>1639</v>
      </c>
      <c r="B110" s="3425"/>
      <c r="C110" s="3425"/>
      <c r="D110" s="3425"/>
      <c r="E110" s="3425"/>
      <c r="F110" s="3425"/>
      <c r="G110" s="3425"/>
      <c r="H110" s="3425"/>
      <c r="I110" s="3425"/>
      <c r="J110" s="3425"/>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2" t="s">
        <v>1007</v>
      </c>
      <c r="B18" s="1150" t="s">
        <v>1446</v>
      </c>
      <c r="C18" s="1127" t="s">
        <v>1447</v>
      </c>
      <c r="D18" s="1128"/>
      <c r="E18" s="1150">
        <v>1</v>
      </c>
      <c r="F18" s="1129" t="s">
        <v>1448</v>
      </c>
      <c r="G18" s="1130"/>
      <c r="H18" s="1101"/>
      <c r="I18" s="1101"/>
    </row>
    <row r="19" spans="1:9" s="1584" customFormat="1" ht="19.5" customHeight="1">
      <c r="A19" s="3432"/>
      <c r="B19" s="3432" t="s">
        <v>1449</v>
      </c>
      <c r="C19" s="1127" t="s">
        <v>1450</v>
      </c>
      <c r="D19" s="1128"/>
      <c r="E19" s="1150">
        <v>0.9</v>
      </c>
      <c r="F19" s="1129" t="s">
        <v>1451</v>
      </c>
      <c r="G19" s="1130"/>
      <c r="H19" s="1101"/>
      <c r="I19" s="1101"/>
    </row>
    <row r="20" spans="1:9" s="1584" customFormat="1" ht="19.5" customHeight="1">
      <c r="A20" s="3432"/>
      <c r="B20" s="3432"/>
      <c r="C20" s="1127" t="s">
        <v>1452</v>
      </c>
      <c r="D20" s="1128"/>
      <c r="E20" s="1150">
        <v>1.1000000000000001</v>
      </c>
      <c r="F20" s="1129" t="s">
        <v>1453</v>
      </c>
      <c r="G20" s="1130"/>
      <c r="H20" s="1101"/>
      <c r="I20" s="1101"/>
    </row>
    <row r="21" spans="1:9" s="1584" customFormat="1" ht="19.5" customHeight="1">
      <c r="A21" s="3432"/>
      <c r="B21" s="3432"/>
      <c r="C21" s="1127" t="s">
        <v>1454</v>
      </c>
      <c r="D21" s="1128"/>
      <c r="E21" s="1150">
        <v>0.8</v>
      </c>
      <c r="F21" s="1129" t="s">
        <v>1455</v>
      </c>
      <c r="G21" s="1130"/>
      <c r="H21" s="1101"/>
      <c r="I21" s="1101"/>
    </row>
    <row r="22" spans="1:9" s="1584" customFormat="1" ht="19.5" customHeight="1">
      <c r="A22" s="3432"/>
      <c r="B22" s="3432"/>
      <c r="C22" s="1127" t="s">
        <v>1456</v>
      </c>
      <c r="D22" s="1128"/>
      <c r="E22" s="1150">
        <v>0.5</v>
      </c>
      <c r="F22" s="1129"/>
      <c r="G22" s="1130"/>
      <c r="H22" s="1101"/>
      <c r="I22" s="1101"/>
    </row>
    <row r="23" spans="1:9" s="1584" customFormat="1" ht="19.5" customHeight="1">
      <c r="A23" s="3432" t="s">
        <v>1029</v>
      </c>
      <c r="B23" s="1150" t="s">
        <v>1446</v>
      </c>
      <c r="C23" s="1127" t="s">
        <v>1457</v>
      </c>
      <c r="D23" s="1128"/>
      <c r="E23" s="1150">
        <v>1</v>
      </c>
      <c r="F23" s="1129" t="s">
        <v>1458</v>
      </c>
      <c r="G23" s="1130"/>
      <c r="H23" s="1101"/>
      <c r="I23" s="1101"/>
    </row>
    <row r="24" spans="1:9" s="1584" customFormat="1" ht="19.5" customHeight="1">
      <c r="A24" s="3432"/>
      <c r="B24" s="3432" t="s">
        <v>1449</v>
      </c>
      <c r="C24" s="1127" t="s">
        <v>1459</v>
      </c>
      <c r="D24" s="1128"/>
      <c r="E24" s="1150">
        <v>0.5</v>
      </c>
      <c r="F24" s="1129"/>
      <c r="G24" s="1130"/>
      <c r="H24" s="1101"/>
      <c r="I24" s="1101"/>
    </row>
    <row r="25" spans="1:9" s="1584" customFormat="1" ht="19.5" customHeight="1">
      <c r="A25" s="3432"/>
      <c r="B25" s="3432"/>
      <c r="C25" s="1127" t="s">
        <v>1460</v>
      </c>
      <c r="D25" s="1128"/>
      <c r="E25" s="1150">
        <v>1.1000000000000001</v>
      </c>
      <c r="F25" s="1129"/>
      <c r="G25" s="1130"/>
      <c r="H25" s="1101"/>
      <c r="I25" s="1101"/>
    </row>
    <row r="26" spans="1:9" s="1584" customFormat="1" ht="19.5" customHeight="1">
      <c r="A26" s="3432"/>
      <c r="B26" s="3432"/>
      <c r="C26" s="1127" t="s">
        <v>1461</v>
      </c>
      <c r="D26" s="1128"/>
      <c r="E26" s="1150">
        <v>1.1000000000000001</v>
      </c>
      <c r="F26" s="1129"/>
      <c r="G26" s="1130"/>
      <c r="H26" s="1101"/>
      <c r="I26" s="1101"/>
    </row>
    <row r="27" spans="1:9" s="1584" customFormat="1" ht="19.5" customHeight="1">
      <c r="A27" s="3432"/>
      <c r="B27" s="3432"/>
      <c r="C27" s="1127" t="s">
        <v>1462</v>
      </c>
      <c r="D27" s="1128"/>
      <c r="E27" s="1150">
        <v>0.9</v>
      </c>
      <c r="F27" s="1129" t="s">
        <v>1463</v>
      </c>
      <c r="G27" s="1130"/>
      <c r="H27" s="1101"/>
      <c r="I27" s="1101"/>
    </row>
    <row r="28" spans="1:9" s="1584" customFormat="1" ht="19.5" customHeight="1">
      <c r="A28" s="3432"/>
      <c r="B28" s="3432"/>
      <c r="C28" s="1127" t="s">
        <v>1464</v>
      </c>
      <c r="D28" s="1128"/>
      <c r="E28" s="1150">
        <v>0.9</v>
      </c>
      <c r="F28" s="1129" t="s">
        <v>1465</v>
      </c>
      <c r="G28" s="1130"/>
      <c r="H28" s="1101"/>
      <c r="I28" s="1101"/>
    </row>
    <row r="29" spans="1:9" s="1584" customFormat="1" ht="19.5" customHeight="1">
      <c r="A29" s="3432"/>
      <c r="B29" s="3432"/>
      <c r="C29" s="1127" t="s">
        <v>1466</v>
      </c>
      <c r="D29" s="1128"/>
      <c r="E29" s="1150">
        <v>0.9</v>
      </c>
      <c r="F29" s="1129" t="s">
        <v>1467</v>
      </c>
      <c r="G29" s="1130"/>
      <c r="H29" s="1101"/>
      <c r="I29" s="1101"/>
    </row>
    <row r="30" spans="1:9" s="1584" customFormat="1" ht="19.5" customHeight="1">
      <c r="A30" s="3432"/>
      <c r="B30" s="3432"/>
      <c r="C30" s="1127" t="s">
        <v>1468</v>
      </c>
      <c r="D30" s="1128"/>
      <c r="E30" s="1150">
        <v>0.9</v>
      </c>
      <c r="F30" s="1129" t="s">
        <v>1469</v>
      </c>
      <c r="G30" s="1130"/>
      <c r="H30" s="1101"/>
      <c r="I30" s="1101"/>
    </row>
    <row r="31" spans="1:9" s="1584" customFormat="1" ht="19.5" customHeight="1">
      <c r="A31" s="3432"/>
      <c r="B31" s="3432"/>
      <c r="C31" s="1127" t="s">
        <v>1470</v>
      </c>
      <c r="D31" s="1128"/>
      <c r="E31" s="1150">
        <v>0.8</v>
      </c>
      <c r="F31" s="1129" t="s">
        <v>1471</v>
      </c>
      <c r="G31" s="1130"/>
      <c r="H31" s="1101"/>
      <c r="I31" s="1101"/>
    </row>
    <row r="32" spans="1:9" s="1584" customFormat="1" ht="19.5" customHeight="1">
      <c r="A32" s="3432"/>
      <c r="B32" s="3432"/>
      <c r="C32" s="1127" t="s">
        <v>1472</v>
      </c>
      <c r="D32" s="1128"/>
      <c r="E32" s="1150">
        <v>0.8</v>
      </c>
      <c r="F32" s="1129" t="s">
        <v>1473</v>
      </c>
      <c r="G32" s="1130"/>
      <c r="H32" s="1101"/>
      <c r="I32" s="1101"/>
    </row>
    <row r="33" spans="1:9" s="1584" customFormat="1" ht="19.5" customHeight="1">
      <c r="A33" s="3432" t="s">
        <v>1474</v>
      </c>
      <c r="B33" s="1150" t="s">
        <v>1446</v>
      </c>
      <c r="C33" s="1127" t="s">
        <v>1475</v>
      </c>
      <c r="D33" s="1128"/>
      <c r="E33" s="1150">
        <v>1</v>
      </c>
      <c r="F33" s="1129" t="s">
        <v>1476</v>
      </c>
      <c r="G33" s="1130"/>
      <c r="H33" s="1101"/>
      <c r="I33" s="1101"/>
    </row>
    <row r="34" spans="1:9" s="1584" customFormat="1" ht="19.5" customHeight="1">
      <c r="A34" s="3432"/>
      <c r="B34" s="1150" t="s">
        <v>1449</v>
      </c>
      <c r="C34" s="1127" t="s">
        <v>1477</v>
      </c>
      <c r="D34" s="1128"/>
      <c r="E34" s="1150">
        <v>1.5</v>
      </c>
      <c r="F34" s="1129" t="s">
        <v>1478</v>
      </c>
      <c r="G34" s="1130"/>
      <c r="H34" s="1101"/>
      <c r="I34" s="1101"/>
    </row>
    <row r="35" spans="1:9" s="1584" customFormat="1" ht="19.5" customHeight="1">
      <c r="A35" s="3432" t="s">
        <v>1432</v>
      </c>
      <c r="B35" s="1150" t="s">
        <v>1446</v>
      </c>
      <c r="C35" s="1127" t="s">
        <v>1479</v>
      </c>
      <c r="D35" s="1128"/>
      <c r="E35" s="1150">
        <v>1</v>
      </c>
      <c r="F35" s="1129" t="s">
        <v>1480</v>
      </c>
      <c r="G35" s="1130"/>
      <c r="H35" s="1101"/>
      <c r="I35" s="1101"/>
    </row>
    <row r="36" spans="1:9" s="1584" customFormat="1" ht="19.5" customHeight="1">
      <c r="A36" s="3432"/>
      <c r="B36" s="3432" t="s">
        <v>1449</v>
      </c>
      <c r="C36" s="1127" t="s">
        <v>1481</v>
      </c>
      <c r="D36" s="1128"/>
      <c r="E36" s="1150">
        <v>1</v>
      </c>
      <c r="F36" s="1129" t="s">
        <v>1482</v>
      </c>
      <c r="G36" s="1130"/>
      <c r="H36" s="1101"/>
      <c r="I36" s="1101"/>
    </row>
    <row r="37" spans="1:9" s="1584" customFormat="1" ht="19.5" customHeight="1">
      <c r="A37" s="3432"/>
      <c r="B37" s="3432"/>
      <c r="C37" s="1127" t="s">
        <v>1483</v>
      </c>
      <c r="D37" s="1128"/>
      <c r="E37" s="1150">
        <v>1.5</v>
      </c>
      <c r="F37" s="1129" t="s">
        <v>1484</v>
      </c>
      <c r="G37" s="1130"/>
      <c r="H37" s="1101"/>
      <c r="I37" s="1101"/>
    </row>
    <row r="38" spans="1:9" s="1584" customFormat="1" ht="19.5" customHeight="1">
      <c r="A38" s="3432"/>
      <c r="B38" s="3432"/>
      <c r="C38" s="1127" t="s">
        <v>1485</v>
      </c>
      <c r="D38" s="1128"/>
      <c r="E38" s="1150">
        <v>1</v>
      </c>
      <c r="F38" s="1129" t="s">
        <v>1486</v>
      </c>
      <c r="G38" s="1130"/>
      <c r="H38" s="1101"/>
      <c r="I38" s="1101"/>
    </row>
    <row r="39" spans="1:9" s="1584" customFormat="1" ht="19.5" customHeight="1">
      <c r="A39" s="3432"/>
      <c r="B39" s="3432"/>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2" t="s">
        <v>1501</v>
      </c>
      <c r="C61" s="1064" t="s">
        <v>1502</v>
      </c>
      <c r="D61" s="1064" t="s">
        <v>1503</v>
      </c>
      <c r="E61" s="1135">
        <v>0.5</v>
      </c>
      <c r="F61" s="1150">
        <v>80</v>
      </c>
      <c r="H61" s="1101">
        <f>SUMIF(C59:C119,基准地价!C8,E59:E119)</f>
        <v>0</v>
      </c>
    </row>
    <row r="62" spans="1:8" s="1101" customFormat="1" ht="24">
      <c r="A62" s="1150">
        <v>2</v>
      </c>
      <c r="B62" s="3432"/>
      <c r="C62" s="1064" t="s">
        <v>1504</v>
      </c>
      <c r="D62" s="1064" t="s">
        <v>1505</v>
      </c>
      <c r="E62" s="1135">
        <v>0.5</v>
      </c>
      <c r="F62" s="1150">
        <v>80</v>
      </c>
    </row>
    <row r="63" spans="1:8" s="1101" customFormat="1" ht="36">
      <c r="A63" s="1150">
        <v>3</v>
      </c>
      <c r="B63" s="3432"/>
      <c r="C63" s="1064" t="s">
        <v>1506</v>
      </c>
      <c r="D63" s="1064" t="s">
        <v>1507</v>
      </c>
      <c r="E63" s="1135">
        <v>0.5</v>
      </c>
      <c r="F63" s="1150">
        <v>80</v>
      </c>
    </row>
    <row r="64" spans="1:8" s="1101" customFormat="1" ht="36">
      <c r="A64" s="1150">
        <v>4</v>
      </c>
      <c r="B64" s="3432"/>
      <c r="C64" s="1064" t="s">
        <v>1508</v>
      </c>
      <c r="D64" s="1064" t="s">
        <v>1509</v>
      </c>
      <c r="E64" s="1135">
        <v>0.4</v>
      </c>
      <c r="F64" s="1150">
        <v>60</v>
      </c>
    </row>
    <row r="65" spans="1:6" s="1101" customFormat="1" ht="36">
      <c r="A65" s="1150">
        <v>5</v>
      </c>
      <c r="B65" s="3432"/>
      <c r="C65" s="1064" t="s">
        <v>1510</v>
      </c>
      <c r="D65" s="1064" t="s">
        <v>1511</v>
      </c>
      <c r="E65" s="1135">
        <v>0.2</v>
      </c>
      <c r="F65" s="1150">
        <v>30</v>
      </c>
    </row>
    <row r="66" spans="1:6" s="1101" customFormat="1" ht="36">
      <c r="A66" s="1150">
        <v>6</v>
      </c>
      <c r="B66" s="3432"/>
      <c r="C66" s="1064" t="s">
        <v>1512</v>
      </c>
      <c r="D66" s="1064" t="s">
        <v>1513</v>
      </c>
      <c r="E66" s="1135">
        <v>0.3</v>
      </c>
      <c r="F66" s="1150">
        <v>50</v>
      </c>
    </row>
    <row r="67" spans="1:6" s="1101" customFormat="1" ht="36">
      <c r="A67" s="1150">
        <v>7</v>
      </c>
      <c r="B67" s="3432"/>
      <c r="C67" s="1064" t="s">
        <v>1514</v>
      </c>
      <c r="D67" s="1064" t="s">
        <v>1515</v>
      </c>
      <c r="E67" s="1135">
        <v>0.2</v>
      </c>
      <c r="F67" s="1150">
        <v>30</v>
      </c>
    </row>
    <row r="68" spans="1:6" s="1101" customFormat="1" ht="36">
      <c r="A68" s="1150">
        <v>8</v>
      </c>
      <c r="B68" s="3432"/>
      <c r="C68" s="1064" t="s">
        <v>1516</v>
      </c>
      <c r="D68" s="1064" t="s">
        <v>1517</v>
      </c>
      <c r="E68" s="1135">
        <v>0.2</v>
      </c>
      <c r="F68" s="1150">
        <v>30</v>
      </c>
    </row>
    <row r="69" spans="1:6" s="1101" customFormat="1" ht="36">
      <c r="A69" s="1150">
        <v>9</v>
      </c>
      <c r="B69" s="3432"/>
      <c r="C69" s="1064" t="s">
        <v>1518</v>
      </c>
      <c r="D69" s="1064" t="s">
        <v>1519</v>
      </c>
      <c r="E69" s="1135">
        <v>0.2</v>
      </c>
      <c r="F69" s="1150">
        <v>30</v>
      </c>
    </row>
    <row r="70" spans="1:6" s="1101" customFormat="1" ht="48">
      <c r="A70" s="1150">
        <v>10</v>
      </c>
      <c r="B70" s="3432"/>
      <c r="C70" s="1064" t="s">
        <v>1520</v>
      </c>
      <c r="D70" s="1064" t="s">
        <v>1521</v>
      </c>
      <c r="E70" s="1135">
        <v>0.2</v>
      </c>
      <c r="F70" s="1150">
        <v>30</v>
      </c>
    </row>
    <row r="71" spans="1:6" s="1101" customFormat="1" ht="48">
      <c r="A71" s="1150">
        <v>11</v>
      </c>
      <c r="B71" s="3432"/>
      <c r="C71" s="1064" t="s">
        <v>1522</v>
      </c>
      <c r="D71" s="1064" t="s">
        <v>1523</v>
      </c>
      <c r="E71" s="1135">
        <v>0.2</v>
      </c>
      <c r="F71" s="1150">
        <v>30</v>
      </c>
    </row>
    <row r="72" spans="1:6" s="1101" customFormat="1" ht="36">
      <c r="A72" s="1150">
        <v>12</v>
      </c>
      <c r="B72" s="3432"/>
      <c r="C72" s="1064" t="s">
        <v>1524</v>
      </c>
      <c r="D72" s="1064" t="s">
        <v>1525</v>
      </c>
      <c r="E72" s="1135">
        <v>0.5</v>
      </c>
      <c r="F72" s="1150">
        <v>80</v>
      </c>
    </row>
    <row r="73" spans="1:6" s="1101" customFormat="1" ht="24">
      <c r="A73" s="1150">
        <v>13</v>
      </c>
      <c r="B73" s="3432"/>
      <c r="C73" s="1064" t="s">
        <v>1526</v>
      </c>
      <c r="D73" s="1064" t="s">
        <v>1527</v>
      </c>
      <c r="E73" s="1135">
        <v>0.4</v>
      </c>
      <c r="F73" s="1150">
        <v>60</v>
      </c>
    </row>
    <row r="74" spans="1:6" s="1101" customFormat="1" ht="24">
      <c r="A74" s="1150">
        <v>14</v>
      </c>
      <c r="B74" s="3432"/>
      <c r="C74" s="1064" t="s">
        <v>1528</v>
      </c>
      <c r="D74" s="1064" t="s">
        <v>1529</v>
      </c>
      <c r="E74" s="1135">
        <v>0.2</v>
      </c>
      <c r="F74" s="1150">
        <v>30</v>
      </c>
    </row>
    <row r="75" spans="1:6" s="1101" customFormat="1" ht="24">
      <c r="A75" s="1150">
        <v>15</v>
      </c>
      <c r="B75" s="3432"/>
      <c r="C75" s="1064" t="s">
        <v>1530</v>
      </c>
      <c r="D75" s="1064" t="s">
        <v>1531</v>
      </c>
      <c r="E75" s="1135">
        <v>0.2</v>
      </c>
      <c r="F75" s="1150">
        <v>30</v>
      </c>
    </row>
    <row r="76" spans="1:6" s="1101" customFormat="1" ht="24">
      <c r="A76" s="1150">
        <v>16</v>
      </c>
      <c r="B76" s="3432" t="s">
        <v>1532</v>
      </c>
      <c r="C76" s="1064" t="s">
        <v>1533</v>
      </c>
      <c r="D76" s="1064" t="s">
        <v>1534</v>
      </c>
      <c r="E76" s="1135">
        <v>0.5</v>
      </c>
      <c r="F76" s="1150">
        <v>80</v>
      </c>
    </row>
    <row r="77" spans="1:6" s="1101" customFormat="1" ht="24">
      <c r="A77" s="1150">
        <v>17</v>
      </c>
      <c r="B77" s="3432"/>
      <c r="C77" s="1064" t="s">
        <v>1535</v>
      </c>
      <c r="D77" s="1064" t="s">
        <v>1536</v>
      </c>
      <c r="E77" s="1135">
        <v>0.5</v>
      </c>
      <c r="F77" s="1150">
        <v>80</v>
      </c>
    </row>
    <row r="78" spans="1:6" s="1101" customFormat="1" ht="24">
      <c r="A78" s="1150">
        <v>18</v>
      </c>
      <c r="B78" s="3432"/>
      <c r="C78" s="1064" t="s">
        <v>1537</v>
      </c>
      <c r="D78" s="1064" t="s">
        <v>1538</v>
      </c>
      <c r="E78" s="1135">
        <v>0.2</v>
      </c>
      <c r="F78" s="1150">
        <v>30</v>
      </c>
    </row>
    <row r="79" spans="1:6" s="1101" customFormat="1" ht="24">
      <c r="A79" s="1150">
        <v>19</v>
      </c>
      <c r="B79" s="3432"/>
      <c r="C79" s="1064" t="s">
        <v>1539</v>
      </c>
      <c r="D79" s="1064" t="s">
        <v>1540</v>
      </c>
      <c r="E79" s="1135">
        <v>0.5</v>
      </c>
      <c r="F79" s="1150">
        <v>80</v>
      </c>
    </row>
    <row r="80" spans="1:6" s="1101" customFormat="1" ht="36">
      <c r="A80" s="1150">
        <v>20</v>
      </c>
      <c r="B80" s="3432"/>
      <c r="C80" s="1064" t="s">
        <v>1541</v>
      </c>
      <c r="D80" s="1064" t="s">
        <v>1542</v>
      </c>
      <c r="E80" s="1135">
        <v>0.2</v>
      </c>
      <c r="F80" s="1150">
        <v>30</v>
      </c>
    </row>
    <row r="81" spans="1:6" s="1101" customFormat="1" ht="36">
      <c r="A81" s="1150">
        <v>21</v>
      </c>
      <c r="B81" s="3432"/>
      <c r="C81" s="1064" t="s">
        <v>1543</v>
      </c>
      <c r="D81" s="1064" t="s">
        <v>1544</v>
      </c>
      <c r="E81" s="1135">
        <v>0.2</v>
      </c>
      <c r="F81" s="1150">
        <v>30</v>
      </c>
    </row>
    <row r="82" spans="1:6" s="1101" customFormat="1" ht="48">
      <c r="A82" s="1150">
        <v>22</v>
      </c>
      <c r="B82" s="3432"/>
      <c r="C82" s="1064" t="s">
        <v>1545</v>
      </c>
      <c r="D82" s="1064" t="s">
        <v>1546</v>
      </c>
      <c r="E82" s="1135">
        <v>0.2</v>
      </c>
      <c r="F82" s="1150">
        <v>30</v>
      </c>
    </row>
    <row r="83" spans="1:6" s="1101" customFormat="1" ht="48">
      <c r="A83" s="1150">
        <v>23</v>
      </c>
      <c r="B83" s="3432"/>
      <c r="C83" s="1064" t="s">
        <v>1547</v>
      </c>
      <c r="D83" s="1064" t="s">
        <v>1548</v>
      </c>
      <c r="E83" s="1135">
        <v>0.2</v>
      </c>
      <c r="F83" s="1150">
        <v>30</v>
      </c>
    </row>
    <row r="84" spans="1:6" s="1101" customFormat="1" ht="36">
      <c r="A84" s="1150">
        <v>24</v>
      </c>
      <c r="B84" s="3432"/>
      <c r="C84" s="1064" t="s">
        <v>1549</v>
      </c>
      <c r="D84" s="1064" t="s">
        <v>1550</v>
      </c>
      <c r="E84" s="1135">
        <v>0.2</v>
      </c>
      <c r="F84" s="1150">
        <v>30</v>
      </c>
    </row>
    <row r="85" spans="1:6" s="1101" customFormat="1" ht="36">
      <c r="A85" s="1150">
        <v>25</v>
      </c>
      <c r="B85" s="3432"/>
      <c r="C85" s="1064" t="s">
        <v>1551</v>
      </c>
      <c r="D85" s="1064" t="s">
        <v>1552</v>
      </c>
      <c r="E85" s="1135">
        <v>0.5</v>
      </c>
      <c r="F85" s="1150">
        <v>80</v>
      </c>
    </row>
    <row r="86" spans="1:6" s="1101" customFormat="1" ht="36">
      <c r="A86" s="1150">
        <v>26</v>
      </c>
      <c r="B86" s="3432"/>
      <c r="C86" s="1064" t="s">
        <v>1553</v>
      </c>
      <c r="D86" s="1064" t="s">
        <v>1554</v>
      </c>
      <c r="E86" s="1135">
        <v>0.2</v>
      </c>
      <c r="F86" s="1150">
        <v>30</v>
      </c>
    </row>
    <row r="87" spans="1:6" s="1101" customFormat="1" ht="36">
      <c r="A87" s="1150">
        <v>27</v>
      </c>
      <c r="B87" s="3432"/>
      <c r="C87" s="1064" t="s">
        <v>1555</v>
      </c>
      <c r="D87" s="1064" t="s">
        <v>1556</v>
      </c>
      <c r="E87" s="1135">
        <v>0.2</v>
      </c>
      <c r="F87" s="1150">
        <v>30</v>
      </c>
    </row>
    <row r="88" spans="1:6" s="1101" customFormat="1" ht="36">
      <c r="A88" s="1150">
        <v>28</v>
      </c>
      <c r="B88" s="3432"/>
      <c r="C88" s="1064" t="s">
        <v>1557</v>
      </c>
      <c r="D88" s="1064" t="s">
        <v>1558</v>
      </c>
      <c r="E88" s="1135">
        <v>0.2</v>
      </c>
      <c r="F88" s="1150">
        <v>30</v>
      </c>
    </row>
    <row r="89" spans="1:6" s="1101" customFormat="1" ht="24">
      <c r="A89" s="1150">
        <v>29</v>
      </c>
      <c r="B89" s="3432"/>
      <c r="C89" s="1064" t="s">
        <v>1559</v>
      </c>
      <c r="D89" s="1064" t="s">
        <v>1560</v>
      </c>
      <c r="E89" s="1135">
        <v>0.2</v>
      </c>
      <c r="F89" s="1150">
        <v>30</v>
      </c>
    </row>
    <row r="90" spans="1:6" s="1101" customFormat="1" ht="24">
      <c r="A90" s="1150">
        <v>30</v>
      </c>
      <c r="B90" s="3432"/>
      <c r="C90" s="1064" t="s">
        <v>1561</v>
      </c>
      <c r="D90" s="1064" t="s">
        <v>1562</v>
      </c>
      <c r="E90" s="1135">
        <v>0.2</v>
      </c>
      <c r="F90" s="1150">
        <v>30</v>
      </c>
    </row>
    <row r="91" spans="1:6" s="1101" customFormat="1" ht="36">
      <c r="A91" s="1150">
        <v>31</v>
      </c>
      <c r="B91" s="3432"/>
      <c r="C91" s="1064" t="s">
        <v>1563</v>
      </c>
      <c r="D91" s="1064" t="s">
        <v>1564</v>
      </c>
      <c r="E91" s="1135">
        <v>0.2</v>
      </c>
      <c r="F91" s="1150">
        <v>30</v>
      </c>
    </row>
    <row r="92" spans="1:6" s="1101" customFormat="1" ht="24">
      <c r="A92" s="1150">
        <v>32</v>
      </c>
      <c r="B92" s="3432" t="s">
        <v>1565</v>
      </c>
      <c r="C92" s="1150" t="s">
        <v>1566</v>
      </c>
      <c r="D92" s="1064" t="s">
        <v>1567</v>
      </c>
      <c r="E92" s="1135">
        <v>0.2</v>
      </c>
      <c r="F92" s="1150">
        <v>30</v>
      </c>
    </row>
    <row r="93" spans="1:6" s="1101" customFormat="1" ht="36">
      <c r="A93" s="1150">
        <v>33</v>
      </c>
      <c r="B93" s="3432"/>
      <c r="C93" s="1150" t="s">
        <v>1568</v>
      </c>
      <c r="D93" s="1064" t="s">
        <v>1569</v>
      </c>
      <c r="E93" s="1135">
        <v>0.2</v>
      </c>
      <c r="F93" s="1150">
        <v>30</v>
      </c>
    </row>
    <row r="94" spans="1:6" s="1101" customFormat="1" ht="48">
      <c r="A94" s="1150">
        <v>34</v>
      </c>
      <c r="B94" s="3432"/>
      <c r="C94" s="1150" t="s">
        <v>1570</v>
      </c>
      <c r="D94" s="1064" t="s">
        <v>1571</v>
      </c>
      <c r="E94" s="1135">
        <v>0.2</v>
      </c>
      <c r="F94" s="1150">
        <v>30</v>
      </c>
    </row>
    <row r="95" spans="1:6" s="1101" customFormat="1" ht="36">
      <c r="A95" s="1150">
        <v>35</v>
      </c>
      <c r="B95" s="3432"/>
      <c r="C95" s="1150" t="s">
        <v>1572</v>
      </c>
      <c r="D95" s="1064" t="s">
        <v>1573</v>
      </c>
      <c r="E95" s="1135">
        <v>0.2</v>
      </c>
      <c r="F95" s="1150">
        <v>30</v>
      </c>
    </row>
    <row r="96" spans="1:6" s="1101" customFormat="1" ht="48">
      <c r="A96" s="1150">
        <v>36</v>
      </c>
      <c r="B96" s="3432"/>
      <c r="C96" s="1064" t="s">
        <v>1574</v>
      </c>
      <c r="D96" s="1064" t="s">
        <v>1575</v>
      </c>
      <c r="E96" s="1135">
        <v>0.2</v>
      </c>
      <c r="F96" s="1150">
        <v>30</v>
      </c>
    </row>
    <row r="97" spans="1:6" s="1101" customFormat="1" ht="36">
      <c r="A97" s="1150">
        <v>37</v>
      </c>
      <c r="B97" s="3432"/>
      <c r="C97" s="1150" t="s">
        <v>1576</v>
      </c>
      <c r="D97" s="1064" t="s">
        <v>1577</v>
      </c>
      <c r="E97" s="1135">
        <v>0.2</v>
      </c>
      <c r="F97" s="1150">
        <v>30</v>
      </c>
    </row>
    <row r="98" spans="1:6" s="1101" customFormat="1" ht="36">
      <c r="A98" s="1150">
        <v>38</v>
      </c>
      <c r="B98" s="3432"/>
      <c r="C98" s="1150" t="s">
        <v>1578</v>
      </c>
      <c r="D98" s="1064" t="s">
        <v>1579</v>
      </c>
      <c r="E98" s="1135">
        <v>0.2</v>
      </c>
      <c r="F98" s="1150">
        <v>30</v>
      </c>
    </row>
    <row r="99" spans="1:6" s="1101" customFormat="1" ht="36">
      <c r="A99" s="1150">
        <v>39</v>
      </c>
      <c r="B99" s="3432" t="s">
        <v>1580</v>
      </c>
      <c r="C99" s="1150" t="s">
        <v>1581</v>
      </c>
      <c r="D99" s="1064" t="s">
        <v>1582</v>
      </c>
      <c r="E99" s="1135">
        <v>0.3</v>
      </c>
      <c r="F99" s="1150">
        <v>50</v>
      </c>
    </row>
    <row r="100" spans="1:6" s="1101" customFormat="1" ht="24">
      <c r="A100" s="1150">
        <v>40</v>
      </c>
      <c r="B100" s="3432"/>
      <c r="C100" s="1150" t="s">
        <v>1583</v>
      </c>
      <c r="D100" s="1064" t="s">
        <v>1584</v>
      </c>
      <c r="E100" s="1135">
        <v>0.2</v>
      </c>
      <c r="F100" s="1150">
        <v>30</v>
      </c>
    </row>
    <row r="101" spans="1:6" s="1101" customFormat="1" ht="36">
      <c r="A101" s="1150">
        <v>41</v>
      </c>
      <c r="B101" s="343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2" t="s">
        <v>1595</v>
      </c>
      <c r="C105" s="1150" t="s">
        <v>1596</v>
      </c>
      <c r="D105" s="1064" t="s">
        <v>1597</v>
      </c>
      <c r="E105" s="1135">
        <v>0.2</v>
      </c>
      <c r="F105" s="1150">
        <v>30</v>
      </c>
    </row>
    <row r="106" spans="1:6" s="1101" customFormat="1" ht="36">
      <c r="A106" s="1150">
        <v>46</v>
      </c>
      <c r="B106" s="3432"/>
      <c r="C106" s="1150" t="s">
        <v>1598</v>
      </c>
      <c r="D106" s="1064" t="s">
        <v>1599</v>
      </c>
      <c r="E106" s="1135">
        <v>0.2</v>
      </c>
      <c r="F106" s="1150">
        <v>30</v>
      </c>
    </row>
    <row r="107" spans="1:6" s="1101" customFormat="1" ht="36">
      <c r="A107" s="1150">
        <v>47</v>
      </c>
      <c r="B107" s="3432" t="s">
        <v>1600</v>
      </c>
      <c r="C107" s="1150" t="s">
        <v>1601</v>
      </c>
      <c r="D107" s="1064" t="s">
        <v>1602</v>
      </c>
      <c r="E107" s="1135">
        <v>0.3</v>
      </c>
      <c r="F107" s="1150">
        <v>50</v>
      </c>
    </row>
    <row r="108" spans="1:6" s="1101" customFormat="1" ht="36">
      <c r="A108" s="1150">
        <v>48</v>
      </c>
      <c r="B108" s="343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2" t="s">
        <v>1611</v>
      </c>
      <c r="C111" s="1150" t="s">
        <v>1612</v>
      </c>
      <c r="D111" s="1064" t="s">
        <v>1613</v>
      </c>
      <c r="E111" s="1135">
        <v>0.2</v>
      </c>
      <c r="F111" s="1150">
        <v>30</v>
      </c>
    </row>
    <row r="112" spans="1:6" s="1101" customFormat="1" ht="24">
      <c r="A112" s="1150">
        <v>52</v>
      </c>
      <c r="B112" s="3432"/>
      <c r="C112" s="1150" t="s">
        <v>1614</v>
      </c>
      <c r="D112" s="1064" t="s">
        <v>1615</v>
      </c>
      <c r="E112" s="1135">
        <v>0.2</v>
      </c>
      <c r="F112" s="1150">
        <v>30</v>
      </c>
    </row>
    <row r="113" spans="1:14" s="1101" customFormat="1" ht="24">
      <c r="A113" s="1150">
        <v>53</v>
      </c>
      <c r="B113" s="343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2" t="s">
        <v>1624</v>
      </c>
      <c r="C116" s="1150" t="s">
        <v>1625</v>
      </c>
      <c r="D116" s="1064" t="s">
        <v>1626</v>
      </c>
      <c r="E116" s="1135">
        <v>0.2</v>
      </c>
      <c r="F116" s="1150">
        <v>30</v>
      </c>
    </row>
    <row r="117" spans="1:14" ht="36">
      <c r="A117" s="1150">
        <v>57</v>
      </c>
      <c r="B117" s="343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1" t="s">
        <v>1633</v>
      </c>
      <c r="B121" s="3431"/>
      <c r="C121" s="3431"/>
      <c r="D121" s="3431"/>
      <c r="E121" s="3431"/>
      <c r="F121" s="3431"/>
      <c r="G121" s="3431"/>
      <c r="H121" s="3431"/>
      <c r="I121" s="3431"/>
      <c r="J121" s="343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6" t="s">
        <v>1039</v>
      </c>
      <c r="B1" s="3436"/>
      <c r="C1" s="3436"/>
      <c r="D1" s="3436"/>
      <c r="E1" s="3436"/>
      <c r="F1" s="343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7" t="s">
        <v>1052</v>
      </c>
      <c r="B2" s="3437"/>
      <c r="C2" s="3437"/>
      <c r="D2" s="3437"/>
      <c r="E2" s="3437"/>
      <c r="F2" s="343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0.86580000000000001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0" t="s">
        <v>2079</v>
      </c>
      <c r="B1" s="3440"/>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2576</v>
      </c>
      <c r="C1" s="3448"/>
      <c r="D1" s="3448"/>
      <c r="E1" s="3448"/>
      <c r="F1" s="3448"/>
      <c r="G1" s="3447" t="s">
        <v>2577</v>
      </c>
      <c r="H1" s="3447"/>
      <c r="I1" s="3447"/>
      <c r="J1" s="3447"/>
      <c r="K1" s="3447"/>
      <c r="L1" s="3447"/>
      <c r="N1" s="3447" t="s">
        <v>2578</v>
      </c>
      <c r="O1" s="3447"/>
      <c r="P1" s="3447"/>
      <c r="Q1" s="3447"/>
      <c r="R1" s="2618"/>
      <c r="S1" s="3447" t="s">
        <v>2579</v>
      </c>
      <c r="T1" s="3447"/>
      <c r="U1" s="3447"/>
      <c r="V1" s="3447"/>
      <c r="X1" s="3446" t="s">
        <v>2639</v>
      </c>
      <c r="Y1" s="3447"/>
      <c r="Z1" s="3447"/>
      <c r="AA1" s="3447"/>
      <c r="AB1" s="3447"/>
      <c r="AD1" s="3446" t="s">
        <v>2643</v>
      </c>
      <c r="AE1" s="3447"/>
      <c r="AF1" s="3447"/>
      <c r="AG1" s="3447"/>
      <c r="AH1" s="3447"/>
    </row>
    <row r="2" spans="1:34" s="2719" customFormat="1" ht="14.25" thickBot="1">
      <c r="B2" s="2727" t="s">
        <v>2580</v>
      </c>
      <c r="C2" s="2727" t="s">
        <v>2641</v>
      </c>
      <c r="D2" s="2720" t="s">
        <v>1644</v>
      </c>
      <c r="E2" s="2720" t="s">
        <v>1949</v>
      </c>
      <c r="F2" s="2727" t="s">
        <v>2642</v>
      </c>
      <c r="G2" s="2723"/>
      <c r="H2" s="2722"/>
      <c r="I2" s="2727" t="s">
        <v>2955</v>
      </c>
      <c r="J2" s="2720" t="s">
        <v>2957</v>
      </c>
      <c r="K2" s="2720" t="s">
        <v>2958</v>
      </c>
      <c r="L2" s="2727" t="s">
        <v>2959</v>
      </c>
      <c r="N2" s="2727" t="s">
        <v>2580</v>
      </c>
      <c r="O2" s="2720" t="s">
        <v>2956</v>
      </c>
      <c r="P2" s="2720" t="s">
        <v>1949</v>
      </c>
      <c r="Q2" s="2727" t="s">
        <v>2642</v>
      </c>
      <c r="R2" s="2721"/>
      <c r="S2" s="2727" t="s">
        <v>2580</v>
      </c>
      <c r="T2" s="2720" t="s">
        <v>2956</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25">
      <c r="A3" s="3095" t="s">
        <v>2968</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2991</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2992</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2988</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2">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2978</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2"/>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2979</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2"/>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2975</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43"/>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2966</v>
      </c>
      <c r="B11" s="3097">
        <v>439</v>
      </c>
      <c r="C11" s="3097">
        <v>327</v>
      </c>
      <c r="D11" s="3097">
        <f t="shared" si="54"/>
        <v>327</v>
      </c>
      <c r="E11" s="3097">
        <v>627</v>
      </c>
      <c r="F11" s="3098">
        <v>283</v>
      </c>
      <c r="G11" s="3441">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2970</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2"/>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42"/>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43"/>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41">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2"/>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42"/>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45"/>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44">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2"/>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42"/>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45"/>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44">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2"/>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42"/>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45"/>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2583</v>
      </c>
      <c r="B27" s="2624">
        <v>299</v>
      </c>
      <c r="C27" s="2624">
        <v>252</v>
      </c>
      <c r="D27" s="2624">
        <f t="shared" si="76"/>
        <v>252</v>
      </c>
      <c r="E27" s="2624">
        <v>409</v>
      </c>
      <c r="F27" s="2625">
        <v>227</v>
      </c>
      <c r="G27" s="3449">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0"/>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50"/>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51"/>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2587</v>
      </c>
      <c r="B31" s="2662">
        <v>278</v>
      </c>
      <c r="C31" s="2662">
        <v>234</v>
      </c>
      <c r="D31" s="2662">
        <f t="shared" si="76"/>
        <v>234</v>
      </c>
      <c r="E31" s="2662">
        <v>379</v>
      </c>
      <c r="F31" s="2663">
        <v>220</v>
      </c>
      <c r="G31" s="3444">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42"/>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42"/>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2590</v>
      </c>
      <c r="B34" s="2632">
        <f>B33/(1+N33)</f>
        <v>275.19025476197027</v>
      </c>
      <c r="C34" s="2664">
        <v>232</v>
      </c>
      <c r="D34" s="2664">
        <f t="shared" si="76"/>
        <v>232</v>
      </c>
      <c r="E34" s="2632">
        <f t="shared" si="87"/>
        <v>375.65990977608692</v>
      </c>
      <c r="F34" s="2632">
        <f t="shared" si="87"/>
        <v>214.12518283971252</v>
      </c>
      <c r="G34" s="3445"/>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2591</v>
      </c>
      <c r="B35" s="2624">
        <v>275</v>
      </c>
      <c r="C35" s="2624">
        <v>232</v>
      </c>
      <c r="D35" s="2624">
        <f t="shared" si="76"/>
        <v>232</v>
      </c>
      <c r="E35" s="2624">
        <v>376</v>
      </c>
      <c r="F35" s="2625">
        <v>213</v>
      </c>
      <c r="G35" s="3444">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2">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42">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45">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2595</v>
      </c>
      <c r="B39" s="2624">
        <v>269</v>
      </c>
      <c r="C39" s="2624">
        <v>221</v>
      </c>
      <c r="D39" s="2624">
        <f t="shared" si="76"/>
        <v>221</v>
      </c>
      <c r="E39" s="2624">
        <v>373</v>
      </c>
      <c r="F39" s="2625">
        <v>196</v>
      </c>
      <c r="G39" s="3444">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2">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42">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45">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2599</v>
      </c>
      <c r="B43" s="2624">
        <v>220</v>
      </c>
      <c r="C43" s="2624">
        <v>187</v>
      </c>
      <c r="D43" s="2624">
        <f t="shared" si="76"/>
        <v>187</v>
      </c>
      <c r="E43" s="2624">
        <v>301</v>
      </c>
      <c r="F43" s="2625">
        <v>168</v>
      </c>
      <c r="G43" s="3444">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2">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42">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45">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2603</v>
      </c>
      <c r="B47" s="2662">
        <v>214</v>
      </c>
      <c r="C47" s="2662">
        <v>188</v>
      </c>
      <c r="D47" s="2662">
        <f t="shared" si="76"/>
        <v>188</v>
      </c>
      <c r="E47" s="2662">
        <v>289</v>
      </c>
      <c r="F47" s="2663">
        <v>166</v>
      </c>
      <c r="G47" s="3444">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2">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42">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45">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2607</v>
      </c>
      <c r="B51" s="2624">
        <v>188</v>
      </c>
      <c r="C51" s="2624">
        <v>165</v>
      </c>
      <c r="D51" s="2624">
        <f t="shared" si="76"/>
        <v>165</v>
      </c>
      <c r="E51" s="2624">
        <v>254</v>
      </c>
      <c r="F51" s="2625">
        <v>148</v>
      </c>
      <c r="G51" s="3444">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2">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42">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45">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2611</v>
      </c>
      <c r="B55" s="2646">
        <v>159</v>
      </c>
      <c r="C55" s="2646">
        <v>141</v>
      </c>
      <c r="D55" s="2646">
        <f t="shared" si="76"/>
        <v>141</v>
      </c>
      <c r="E55" s="2646">
        <v>195</v>
      </c>
      <c r="F55" s="2647">
        <v>122</v>
      </c>
      <c r="G55" s="3444">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2">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42">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45">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2615</v>
      </c>
      <c r="B59" s="2646">
        <v>138</v>
      </c>
      <c r="C59" s="2646">
        <v>131</v>
      </c>
      <c r="D59" s="2646">
        <f t="shared" si="76"/>
        <v>131</v>
      </c>
      <c r="E59" s="2646">
        <v>155</v>
      </c>
      <c r="F59" s="2647">
        <v>114</v>
      </c>
      <c r="G59" s="3444">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2">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42">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45">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2619</v>
      </c>
      <c r="B63" s="2662">
        <v>121</v>
      </c>
      <c r="C63" s="2662">
        <v>122</v>
      </c>
      <c r="D63" s="2662">
        <f t="shared" si="76"/>
        <v>122</v>
      </c>
      <c r="E63" s="2662">
        <v>124</v>
      </c>
      <c r="F63" s="2663">
        <v>107</v>
      </c>
      <c r="G63" s="3444">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2">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42">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45">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2623</v>
      </c>
      <c r="B67" s="2683">
        <v>111</v>
      </c>
      <c r="C67" s="2683">
        <v>114</v>
      </c>
      <c r="D67" s="2683">
        <f t="shared" si="76"/>
        <v>114</v>
      </c>
      <c r="E67" s="2683">
        <v>108</v>
      </c>
      <c r="F67" s="2684">
        <v>104</v>
      </c>
      <c r="G67" s="3444">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42">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42">
        <v>2003</v>
      </c>
      <c r="H69" s="2623">
        <v>2</v>
      </c>
      <c r="I69" s="2685"/>
      <c r="J69" s="2685"/>
      <c r="K69" s="2685"/>
      <c r="L69" s="2685"/>
      <c r="X69" s="2677"/>
      <c r="Y69" s="2677"/>
      <c r="Z69" s="2677"/>
    </row>
    <row r="70" spans="1:26" ht="13.5" thickBot="1">
      <c r="A70" s="2619" t="s">
        <v>2626</v>
      </c>
      <c r="B70" s="2687">
        <f t="shared" si="112"/>
        <v>107.25</v>
      </c>
      <c r="C70" s="2687">
        <f t="shared" si="112"/>
        <v>108.75</v>
      </c>
      <c r="D70" s="2687">
        <f t="shared" si="76"/>
        <v>108.75</v>
      </c>
      <c r="E70" s="2687">
        <f t="shared" si="113"/>
        <v>105.75</v>
      </c>
      <c r="F70" s="2687">
        <f t="shared" si="113"/>
        <v>102.5</v>
      </c>
      <c r="G70" s="3445">
        <v>2003</v>
      </c>
      <c r="H70" s="2688">
        <v>1</v>
      </c>
      <c r="I70" s="2685"/>
      <c r="J70" s="2685"/>
      <c r="K70" s="2685"/>
      <c r="L70" s="2685"/>
      <c r="S70" s="2627"/>
      <c r="T70" s="2628"/>
      <c r="U70" s="2628"/>
      <c r="X70" s="2677"/>
      <c r="Y70" s="2677"/>
      <c r="Z70" s="2677"/>
    </row>
    <row r="71" spans="1:26" ht="13.5" thickBot="1">
      <c r="A71" s="2619" t="s">
        <v>2627</v>
      </c>
      <c r="B71" s="2689">
        <v>106</v>
      </c>
      <c r="C71" s="2689">
        <v>107</v>
      </c>
      <c r="D71" s="2689">
        <f t="shared" si="76"/>
        <v>107</v>
      </c>
      <c r="E71" s="2689">
        <v>105</v>
      </c>
      <c r="F71" s="2690">
        <v>102</v>
      </c>
      <c r="G71" s="3444">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42">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42">
        <v>2002</v>
      </c>
      <c r="H73" s="2623">
        <v>2</v>
      </c>
      <c r="I73" s="2685"/>
      <c r="J73" s="2685"/>
      <c r="K73" s="2685"/>
      <c r="L73" s="2685"/>
      <c r="X73" s="2677"/>
      <c r="Y73" s="2677"/>
      <c r="Z73" s="2677"/>
    </row>
    <row r="74" spans="1:26" s="2654" customFormat="1" ht="13.5" thickBot="1">
      <c r="A74" s="2650" t="s">
        <v>2630</v>
      </c>
      <c r="B74" s="2691">
        <f t="shared" si="114"/>
        <v>103</v>
      </c>
      <c r="C74" s="2691">
        <f t="shared" si="114"/>
        <v>104</v>
      </c>
      <c r="D74" s="2691">
        <f t="shared" si="76"/>
        <v>104</v>
      </c>
      <c r="E74" s="2691">
        <f t="shared" si="115"/>
        <v>103.5</v>
      </c>
      <c r="F74" s="2691">
        <f t="shared" si="115"/>
        <v>100.5</v>
      </c>
      <c r="G74" s="3445">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5"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2948</v>
      </c>
      <c r="B1" s="3057"/>
      <c r="C1" s="3057"/>
      <c r="D1" s="3057"/>
      <c r="E1" s="3057"/>
      <c r="F1" s="3057"/>
    </row>
    <row r="2" spans="1:6" ht="14.25">
      <c r="A2" s="3058" t="s">
        <v>2943</v>
      </c>
      <c r="B2" s="3059" t="e">
        <f ca="1">SUMIF(B7:B14,"&lt;&gt;#ref!",B7:B14)</f>
        <v>#DIV/0!</v>
      </c>
      <c r="C2" s="3058" t="s">
        <v>2944</v>
      </c>
      <c r="D2" s="3057"/>
      <c r="E2" s="3057"/>
      <c r="F2" s="3057"/>
    </row>
    <row r="3" spans="1:6" ht="14.25">
      <c r="A3" s="3058" t="s">
        <v>2976</v>
      </c>
      <c r="B3" s="3059" t="e">
        <f ca="1">ROUND(B2*10000/E3,0)</f>
        <v>#DIV/0!</v>
      </c>
      <c r="C3" s="3058" t="s">
        <v>2078</v>
      </c>
      <c r="D3" s="3058" t="s">
        <v>2945</v>
      </c>
      <c r="E3" s="3059">
        <f ca="1">SUMIF(E7:E14,"&lt;&gt;#ref!",E7:E14)</f>
        <v>0</v>
      </c>
      <c r="F3" s="3057"/>
    </row>
    <row r="4" spans="1:6" ht="14.25">
      <c r="A4" s="3058" t="s">
        <v>2952</v>
      </c>
      <c r="B4" s="3059" t="e">
        <f ca="1">ROUND(B2*10000/E4,0)</f>
        <v>#DIV/0!</v>
      </c>
      <c r="C4" s="3058" t="s">
        <v>2078</v>
      </c>
      <c r="D4" s="3058" t="s">
        <v>2953</v>
      </c>
      <c r="E4" s="3059">
        <f ca="1">SUMIF(F7:F14,"&lt;&gt;#ref!",F7:F14)</f>
        <v>0</v>
      </c>
      <c r="F4" s="3057"/>
    </row>
    <row r="5" spans="1:6" ht="14.25">
      <c r="A5" s="3060"/>
      <c r="B5" s="1866"/>
      <c r="C5" s="1866"/>
      <c r="D5" s="1866"/>
      <c r="E5" s="1866"/>
      <c r="F5" s="3057"/>
    </row>
    <row r="6" spans="1:6" ht="28.5">
      <c r="A6" s="3061" t="s">
        <v>2949</v>
      </c>
      <c r="B6" s="3058" t="s">
        <v>2946</v>
      </c>
      <c r="C6" s="3059"/>
      <c r="D6" s="1866"/>
      <c r="E6" s="3058" t="s">
        <v>2947</v>
      </c>
      <c r="F6" s="3058" t="s">
        <v>2951</v>
      </c>
    </row>
    <row r="7" spans="1:6" ht="14.25">
      <c r="A7" s="260" t="s">
        <v>2950</v>
      </c>
      <c r="B7" s="3062" t="e">
        <f ca="1">SUMIF(INDIRECT("'"&amp;A7&amp;"'"&amp;"!A:A"),"总价",INDIRECT("'"&amp;A7&amp;"'"&amp;"!B:B"))</f>
        <v>#DIV/0!</v>
      </c>
      <c r="C7" s="3058" t="s">
        <v>2944</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2944</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2944</v>
      </c>
      <c r="D9" s="1866"/>
      <c r="E9" s="3063" t="e">
        <f t="shared" ca="1" si="1"/>
        <v>#REF!</v>
      </c>
      <c r="F9" s="3063" t="e">
        <f t="shared" ca="1" si="2"/>
        <v>#REF!</v>
      </c>
    </row>
    <row r="10" spans="1:6" ht="14.25">
      <c r="A10" s="260"/>
      <c r="B10" s="3062" t="e">
        <f t="shared" ca="1" si="0"/>
        <v>#REF!</v>
      </c>
      <c r="C10" s="3058" t="s">
        <v>2944</v>
      </c>
      <c r="D10" s="1866"/>
      <c r="E10" s="3063" t="e">
        <f t="shared" ca="1" si="1"/>
        <v>#REF!</v>
      </c>
      <c r="F10" s="3063" t="e">
        <f t="shared" ca="1" si="2"/>
        <v>#REF!</v>
      </c>
    </row>
    <row r="11" spans="1:6" ht="14.25">
      <c r="A11" s="260"/>
      <c r="B11" s="3062" t="e">
        <f t="shared" ca="1" si="0"/>
        <v>#REF!</v>
      </c>
      <c r="C11" s="3058" t="s">
        <v>2944</v>
      </c>
      <c r="D11" s="1866"/>
      <c r="E11" s="3063" t="e">
        <f t="shared" ca="1" si="1"/>
        <v>#REF!</v>
      </c>
      <c r="F11" s="3063" t="e">
        <f t="shared" ca="1" si="2"/>
        <v>#REF!</v>
      </c>
    </row>
    <row r="12" spans="1:6" ht="14.25">
      <c r="A12" s="260"/>
      <c r="B12" s="3062" t="e">
        <f t="shared" ca="1" si="0"/>
        <v>#REF!</v>
      </c>
      <c r="C12" s="3058" t="s">
        <v>2944</v>
      </c>
      <c r="D12" s="1866"/>
      <c r="E12" s="3063" t="e">
        <f t="shared" ca="1" si="1"/>
        <v>#REF!</v>
      </c>
      <c r="F12" s="3063" t="e">
        <f t="shared" ca="1" si="2"/>
        <v>#REF!</v>
      </c>
    </row>
    <row r="13" spans="1:6" ht="14.25">
      <c r="A13" s="260"/>
      <c r="B13" s="3062" t="e">
        <f t="shared" ca="1" si="0"/>
        <v>#REF!</v>
      </c>
      <c r="C13" s="3058" t="s">
        <v>2944</v>
      </c>
      <c r="D13" s="1866"/>
      <c r="E13" s="3063" t="e">
        <f t="shared" ca="1" si="1"/>
        <v>#REF!</v>
      </c>
      <c r="F13" s="3063" t="e">
        <f t="shared" ca="1" si="2"/>
        <v>#REF!</v>
      </c>
    </row>
    <row r="14" spans="1:6" ht="14.25">
      <c r="A14" s="3056"/>
      <c r="B14" s="3062" t="e">
        <f t="shared" ca="1" si="0"/>
        <v>#REF!</v>
      </c>
      <c r="C14" s="3058" t="s">
        <v>2944</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3" t="s">
        <v>2463</v>
      </c>
      <c r="C8" s="1810">
        <f ca="1">ROUND(F8*F10*F9*(1-F11)/10000,0)</f>
        <v>0</v>
      </c>
      <c r="D8" s="1807" t="s">
        <v>2534</v>
      </c>
      <c r="E8" s="61" t="s">
        <v>637</v>
      </c>
      <c r="F8" s="785">
        <f ca="1">INDIRECT("'数据-取费表'!u"&amp;$G$1)</f>
        <v>0</v>
      </c>
      <c r="G8" s="1578"/>
      <c r="H8" s="2468" t="s">
        <v>1824</v>
      </c>
      <c r="I8" s="3453" t="s">
        <v>2463</v>
      </c>
      <c r="J8" s="783">
        <f ca="1">ROUND(M8*M10*M9*(1-M11)/10000,0)</f>
        <v>0</v>
      </c>
      <c r="K8" s="341" t="s">
        <v>2534</v>
      </c>
      <c r="L8" s="784" t="s">
        <v>1738</v>
      </c>
      <c r="M8" s="785">
        <f ca="1">INDIRECT("'数据-取费表'!z"&amp;$G$1)</f>
        <v>0</v>
      </c>
    </row>
    <row r="9" spans="1:25" ht="18" customHeight="1">
      <c r="A9" s="2464"/>
      <c r="B9" s="3454"/>
      <c r="C9" s="1811"/>
      <c r="D9" s="1808"/>
      <c r="E9" s="61" t="s">
        <v>638</v>
      </c>
      <c r="F9" s="785">
        <f ca="1">IF(INDIRECT("'数据-取费表'!ah"&amp;$G$1)="",INDIRECT("'数据-取费表'!k"&amp;$G$1),INDIRECT("'数据-取费表'!ah"&amp;$G$1))</f>
        <v>0</v>
      </c>
      <c r="G9" s="1578"/>
      <c r="H9" s="2453"/>
      <c r="I9" s="3454"/>
      <c r="J9" s="788"/>
      <c r="K9" s="789"/>
      <c r="L9" s="784" t="s">
        <v>1739</v>
      </c>
      <c r="M9" s="785">
        <f ca="1">F9</f>
        <v>0</v>
      </c>
    </row>
    <row r="10" spans="1:25" ht="18" customHeight="1">
      <c r="A10" s="2457"/>
      <c r="B10" s="3455"/>
      <c r="C10" s="1811"/>
      <c r="D10" s="1808"/>
      <c r="E10" s="61" t="s">
        <v>639</v>
      </c>
      <c r="F10" s="785">
        <f ca="1">INDIRECT("'数据-取费表'!ai"&amp;$G$1)</f>
        <v>0</v>
      </c>
      <c r="G10" s="1578"/>
      <c r="H10" s="2453"/>
      <c r="I10" s="3455"/>
      <c r="J10" s="788"/>
      <c r="K10" s="789"/>
      <c r="L10" s="784" t="s">
        <v>1740</v>
      </c>
      <c r="M10" s="785">
        <f ca="1">INDIRECT("'数据-取费表'!ai"&amp;$G$1)</f>
        <v>0</v>
      </c>
    </row>
    <row r="11" spans="1:25" ht="18" customHeight="1">
      <c r="A11" s="786"/>
      <c r="B11" s="3456"/>
      <c r="C11" s="1811"/>
      <c r="D11" s="1808"/>
      <c r="E11" s="61" t="s">
        <v>640</v>
      </c>
      <c r="F11" s="794">
        <f ca="1">INDIRECT("'数据-取费表'!w"&amp;$G$1)</f>
        <v>0</v>
      </c>
      <c r="G11" s="1578"/>
      <c r="H11" s="2469"/>
      <c r="I11" s="3455"/>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2973</v>
      </c>
      <c r="E12" s="2462" t="s">
        <v>2464</v>
      </c>
      <c r="F12" s="2585"/>
      <c r="G12" s="1578"/>
      <c r="H12" s="2525" t="s">
        <v>1825</v>
      </c>
      <c r="I12" s="2530" t="s">
        <v>2459</v>
      </c>
      <c r="J12" s="783">
        <f ca="1">ROUND(IF(M12="押一",J8/12*M13,IF(M12="押二",J8/12*2*M13,IF(M12="押三",J8/12*3*M13,J13*M13))),0)</f>
        <v>0</v>
      </c>
      <c r="K12" s="2465" t="s">
        <v>2973</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8.9999999999999998E-4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2"/>
      <c r="J36" s="2064"/>
      <c r="K36" s="2065"/>
      <c r="L36" s="2064"/>
      <c r="M36" s="2064"/>
    </row>
    <row r="37" spans="1:18" ht="18" customHeight="1">
      <c r="A37" s="815"/>
      <c r="B37" s="793"/>
      <c r="C37" s="69"/>
      <c r="D37" s="816"/>
      <c r="E37" s="784" t="s">
        <v>674</v>
      </c>
      <c r="F37" s="785">
        <f ca="1">INDIRECT("'数据-取费表'!r"&amp;$G$1)</f>
        <v>0</v>
      </c>
      <c r="G37" s="2047"/>
      <c r="H37" s="2050"/>
      <c r="I37" s="3452"/>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2961</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2977</v>
      </c>
      <c r="J54" s="3105">
        <f ca="1">IF(M48="住宅",MAX(J52,L49-'数据-取费表'!B20),MIN(J52,L49-'数据-取费表'!B20))</f>
        <v>-2.5</v>
      </c>
      <c r="K54" s="3457"/>
      <c r="L54" s="3458"/>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2941</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6">
        <v>0</v>
      </c>
      <c r="O65" s="2368" t="s">
        <v>2415</v>
      </c>
      <c r="P65" s="1578"/>
      <c r="Q65" s="1589"/>
      <c r="R65" s="1578"/>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北京致顺房地产开发有限公司：</v>
      </c>
    </row>
    <row r="4" spans="1:4" ht="37.5">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7" spans="1:4" ht="56.25">
      <c r="A7" s="1780" t="s">
        <v>2747</v>
      </c>
    </row>
    <row r="8" spans="1:4" ht="18.75">
      <c r="A8" s="1779" t="s">
        <v>1906</v>
      </c>
    </row>
    <row r="9" spans="1:4" ht="56.25">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2019年4月17日（评估专业人员勘察现场之日）</v>
      </c>
    </row>
    <row r="12" spans="1:4" ht="18.75">
      <c r="A12" s="1782" t="s">
        <v>2025</v>
      </c>
    </row>
    <row r="13" spans="1:4" ht="18.75">
      <c r="A13" s="1776" t="s">
        <v>2940</v>
      </c>
    </row>
    <row r="14" spans="1:4" ht="37.5">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根据《国有土地使用证》[]，估价对象（分摊）出让国有建设用地使用权面积为41663.44平方米。根据《建设工程规划许可证》[]、《出让合同》[]，估价对象规划建筑面积为104375.848平方米。</v>
      </c>
    </row>
    <row r="21" spans="1:1" ht="18.75">
      <c r="A21" s="1776" t="s">
        <v>2074</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0005353号]、，土地终止日期为住宅2088年12月9日地下车库2068年12月9日、地下仓储2068年12月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H29" sqref="H2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3214</v>
      </c>
      <c r="D1" s="3077" t="s">
        <v>3217</v>
      </c>
      <c r="E1" s="2351" t="s">
        <v>2374</v>
      </c>
      <c r="F1" s="2352">
        <f ca="1">J53</f>
        <v>47.18</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6873</v>
      </c>
      <c r="C2" s="2042"/>
      <c r="D2" s="2040"/>
      <c r="E2" s="2041"/>
      <c r="F2" s="2041"/>
      <c r="G2" s="1576"/>
      <c r="H2" s="2042"/>
      <c r="I2" s="2042"/>
      <c r="J2" s="2042"/>
      <c r="K2" s="2043"/>
      <c r="L2" s="2042"/>
      <c r="M2" s="2042"/>
    </row>
    <row r="3" spans="1:33" ht="18" customHeight="1" thickBot="1">
      <c r="A3" s="833" t="s">
        <v>1727</v>
      </c>
      <c r="B3" s="834">
        <f ca="1">IF(ISERROR(B2*10000/F43),0,ROUND(B2*10000/F43,0))</f>
        <v>9916</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342</v>
      </c>
      <c r="D5" s="2460" t="s">
        <v>2461</v>
      </c>
      <c r="E5" s="2454"/>
      <c r="F5" s="2455"/>
      <c r="G5" s="1578"/>
      <c r="H5" s="781">
        <v>1</v>
      </c>
      <c r="I5" s="782" t="s">
        <v>2458</v>
      </c>
      <c r="J5" s="55">
        <f ca="1">J6+J10+J12</f>
        <v>0</v>
      </c>
      <c r="K5" s="2460" t="s">
        <v>2461</v>
      </c>
      <c r="L5" s="2454"/>
      <c r="M5" s="2455"/>
    </row>
    <row r="6" spans="1:33" ht="18" customHeight="1">
      <c r="A6" s="1815" t="s">
        <v>1824</v>
      </c>
      <c r="B6" s="3453" t="s">
        <v>2463</v>
      </c>
      <c r="C6" s="783">
        <f ca="1">ROUND(F6*F8*F7*(1-F9)/10000,0)</f>
        <v>342</v>
      </c>
      <c r="D6" s="2461" t="s">
        <v>2462</v>
      </c>
      <c r="E6" s="784" t="s">
        <v>1738</v>
      </c>
      <c r="F6" s="785">
        <f ca="1">INDIRECT("'数据-取费表'!u"&amp;$G$1)</f>
        <v>1.5</v>
      </c>
      <c r="G6" s="1578"/>
      <c r="H6" s="2468" t="s">
        <v>2468</v>
      </c>
      <c r="I6" s="3453" t="s">
        <v>2463</v>
      </c>
      <c r="J6" s="783">
        <f ca="1">ROUND(M6*M8*M7*(1-M9)/10000,0)</f>
        <v>0</v>
      </c>
      <c r="K6" s="341" t="s">
        <v>1737</v>
      </c>
      <c r="L6" s="784" t="s">
        <v>1738</v>
      </c>
      <c r="M6" s="785">
        <f ca="1">INDIRECT("'数据-取费表'!z"&amp;$G$1)</f>
        <v>0</v>
      </c>
    </row>
    <row r="7" spans="1:33" ht="18" customHeight="1">
      <c r="A7" s="2464"/>
      <c r="B7" s="3454"/>
      <c r="C7" s="788"/>
      <c r="D7" s="789"/>
      <c r="E7" s="784" t="s">
        <v>1739</v>
      </c>
      <c r="F7" s="785">
        <f ca="1">IF(INDIRECT("'数据-取费表'!ah"&amp;$G$1)="",INDIRECT("'数据-取费表'!k"&amp;$G$1),INDIRECT("'数据-取费表'!ah"&amp;$G$1))</f>
        <v>6930.98</v>
      </c>
      <c r="G7" s="1578"/>
      <c r="H7" s="2453"/>
      <c r="I7" s="3454"/>
      <c r="J7" s="788"/>
      <c r="K7" s="789"/>
      <c r="L7" s="784" t="s">
        <v>1739</v>
      </c>
      <c r="M7" s="785">
        <f ca="1">F7</f>
        <v>6930.98</v>
      </c>
    </row>
    <row r="8" spans="1:33" ht="18" customHeight="1">
      <c r="A8" s="2457"/>
      <c r="B8" s="3455"/>
      <c r="C8" s="788"/>
      <c r="D8" s="789"/>
      <c r="E8" s="784" t="s">
        <v>1740</v>
      </c>
      <c r="F8" s="785">
        <f ca="1">INDIRECT("'数据-取费表'!ai"&amp;$G$1)</f>
        <v>365</v>
      </c>
      <c r="G8" s="1578"/>
      <c r="H8" s="2453"/>
      <c r="I8" s="3455"/>
      <c r="J8" s="788"/>
      <c r="K8" s="789"/>
      <c r="L8" s="784" t="s">
        <v>1740</v>
      </c>
      <c r="M8" s="785">
        <f ca="1">INDIRECT("'数据-取费表'!ai"&amp;$G$1)</f>
        <v>365</v>
      </c>
    </row>
    <row r="9" spans="1:33" ht="18" customHeight="1">
      <c r="A9" s="786"/>
      <c r="B9" s="3456"/>
      <c r="C9" s="788"/>
      <c r="D9" s="789"/>
      <c r="E9" s="784" t="s">
        <v>1741</v>
      </c>
      <c r="F9" s="794">
        <f ca="1">INDIRECT("'数据-取费表'!w"&amp;$G$1)</f>
        <v>0.1</v>
      </c>
      <c r="G9" s="1578"/>
      <c r="H9" s="2469"/>
      <c r="I9" s="3455"/>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2973</v>
      </c>
      <c r="E10" s="2462" t="s">
        <v>2464</v>
      </c>
      <c r="F10" s="2585" t="s">
        <v>3216</v>
      </c>
      <c r="G10" s="1578"/>
      <c r="H10" s="2525" t="s">
        <v>2469</v>
      </c>
      <c r="I10" s="2530" t="s">
        <v>2459</v>
      </c>
      <c r="J10" s="783">
        <f ca="1">ROUND(IF(M10="押一",J6/12*M11,IF(M10="押二",J6/12*2*M11,IF(M10="押三",J6/12*3*M11,J11*M11))),0)</f>
        <v>0</v>
      </c>
      <c r="K10" s="2465" t="s">
        <v>2973</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4388</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3329</v>
      </c>
      <c r="D14" s="1964" t="s">
        <v>1745</v>
      </c>
      <c r="E14" s="1965"/>
      <c r="F14" s="805"/>
      <c r="G14" s="1578"/>
      <c r="H14" s="1634" t="s">
        <v>1830</v>
      </c>
      <c r="I14" s="2216" t="s">
        <v>2826</v>
      </c>
      <c r="J14" s="53">
        <f ca="1">C29</f>
        <v>4388</v>
      </c>
      <c r="K14" s="26"/>
      <c r="L14" s="801"/>
      <c r="M14" s="802"/>
    </row>
    <row r="15" spans="1:33" s="2049" customFormat="1" ht="18" customHeight="1" thickBot="1">
      <c r="A15" s="1633" t="s">
        <v>1885</v>
      </c>
      <c r="B15" s="784" t="s">
        <v>647</v>
      </c>
      <c r="C15" s="53">
        <f ca="1">ROUND(C14*F15,0)</f>
        <v>100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391</v>
      </c>
      <c r="K16" s="1806" t="s">
        <v>1750</v>
      </c>
      <c r="L16" s="2450"/>
      <c r="M16" s="2455"/>
    </row>
    <row r="17" spans="1:33" s="2049" customFormat="1" ht="18" customHeight="1">
      <c r="A17" s="1633" t="s">
        <v>1887</v>
      </c>
      <c r="B17" s="784" t="s">
        <v>653</v>
      </c>
      <c r="C17" s="53">
        <f ca="1">ROUND(F17*(F43+INDIRECT("'数据-取费表'!S"&amp;$G$1))/10000,0)</f>
        <v>148</v>
      </c>
      <c r="D17" s="784" t="s">
        <v>1751</v>
      </c>
      <c r="E17" s="784" t="s">
        <v>1752</v>
      </c>
      <c r="F17" s="56">
        <f>'数据-取费表'!B35</f>
        <v>200</v>
      </c>
      <c r="G17" s="1579"/>
      <c r="H17" s="1634" t="s">
        <v>1830</v>
      </c>
      <c r="I17" s="784" t="s">
        <v>656</v>
      </c>
      <c r="J17" s="53">
        <f ca="1">ROUND(IF(项目基本情况!B11="自然人",J5*M17,J18+J19+J20),0)</f>
        <v>369</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50</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3627</v>
      </c>
      <c r="D19" s="261" t="s">
        <v>1757</v>
      </c>
      <c r="E19" s="1967"/>
      <c r="F19" s="56"/>
      <c r="G19" s="1578"/>
      <c r="H19" s="1633" t="s">
        <v>1885</v>
      </c>
      <c r="I19" s="784" t="s">
        <v>1758</v>
      </c>
      <c r="J19" s="53">
        <f ca="1">IF(K19="按租金收入计税",ROUND(J5*M19,1),ROUND(C29*F33*0.7,1))</f>
        <v>368.6</v>
      </c>
      <c r="K19" s="811" t="s">
        <v>665</v>
      </c>
      <c r="L19" s="784" t="s">
        <v>1747</v>
      </c>
      <c r="M19" s="809">
        <f>IF(K19="按租金收入计税",'数据-取费表'!B51,'数据-取费表'!B50)</f>
        <v>1.2E-2</v>
      </c>
    </row>
    <row r="20" spans="1:33" s="2049" customFormat="1" ht="18" customHeight="1">
      <c r="A20" s="1634" t="s">
        <v>1889</v>
      </c>
      <c r="B20" s="784" t="s">
        <v>666</v>
      </c>
      <c r="C20" s="53">
        <f ca="1">ROUND(C19*F20,0)</f>
        <v>54</v>
      </c>
      <c r="D20" s="812" t="s">
        <v>1759</v>
      </c>
      <c r="E20" s="784" t="s">
        <v>1747</v>
      </c>
      <c r="F20" s="809">
        <f>'数据-取费表'!B37</f>
        <v>1.4999999999999999E-2</v>
      </c>
      <c r="G20" s="1579"/>
      <c r="H20" s="1636" t="s">
        <v>1880</v>
      </c>
      <c r="I20" s="341" t="s">
        <v>1760</v>
      </c>
      <c r="J20" s="54">
        <f ca="1">ROUND(M20*M21/10000,0)</f>
        <v>0</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2952.7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22</v>
      </c>
      <c r="K22" s="2448" t="s">
        <v>1769</v>
      </c>
      <c r="L22" s="784" t="s">
        <v>1747</v>
      </c>
      <c r="M22" s="817">
        <f ca="1">INDIRECT("'数据-取费表'!Ak"&amp;$G$1)</f>
        <v>5.0000000000000001E-3</v>
      </c>
    </row>
    <row r="23" spans="1:33" s="2049" customFormat="1" ht="18" customHeight="1">
      <c r="A23" s="1633" t="s">
        <v>1831</v>
      </c>
      <c r="B23" s="784" t="s">
        <v>2535</v>
      </c>
      <c r="C23" s="53">
        <f ca="1">ROUND(IF('数据-取费表'!B22&lt;=1,(C19+C20)*F24*F23/2,(C19+C20)*(POWER((1+F24),F23/2)-1)),0)</f>
        <v>220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8.9999999999999998E-4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-391</v>
      </c>
      <c r="K25" s="2512" t="s">
        <v>1777</v>
      </c>
      <c r="L25" s="2513"/>
      <c r="M25" s="2514"/>
    </row>
    <row r="26" spans="1:33" ht="18" customHeight="1">
      <c r="A26" s="1633" t="s">
        <v>1831</v>
      </c>
      <c r="B26" s="784" t="s">
        <v>2438</v>
      </c>
      <c r="C26" s="53">
        <f ca="1">ROUND((C19+C20)*F26,0)</f>
        <v>184</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8.0000000000000004E-4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4388</v>
      </c>
      <c r="D29" s="2509"/>
      <c r="E29" s="2510"/>
      <c r="F29" s="2511"/>
      <c r="G29" s="1579"/>
      <c r="H29" s="823" t="s">
        <v>1787</v>
      </c>
      <c r="I29" s="824" t="s">
        <v>1788</v>
      </c>
      <c r="J29" s="825">
        <f ca="1">ROUND(J26/(1+F40)^F41,0)</f>
        <v>0</v>
      </c>
      <c r="K29" s="826" t="s">
        <v>1789</v>
      </c>
      <c r="L29" s="827"/>
      <c r="M29" s="828">
        <f ca="1">INDIRECT("'数据-取费表'!k"&amp;$G$1)</f>
        <v>6930.98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89</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59.3</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17.899999999999999</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41</v>
      </c>
      <c r="D33" s="811" t="s">
        <v>3160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0.4</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2952.7</v>
      </c>
      <c r="G35" s="2047"/>
      <c r="H35" s="2050"/>
      <c r="I35" s="837" t="s">
        <v>1814</v>
      </c>
      <c r="J35" s="838">
        <f ca="1">ROUND(C13*J36,0)</f>
        <v>373</v>
      </c>
      <c r="K35" s="2063"/>
      <c r="L35" s="2062"/>
      <c r="M35" s="2062"/>
    </row>
    <row r="36" spans="1:18" ht="18" customHeight="1">
      <c r="A36" s="1634" t="s">
        <v>1889</v>
      </c>
      <c r="B36" s="784" t="s">
        <v>1802</v>
      </c>
      <c r="C36" s="53">
        <f ca="1">ROUND(C29*F36,1)</f>
        <v>21.9</v>
      </c>
      <c r="D36" s="1962" t="s">
        <v>1803</v>
      </c>
      <c r="E36" s="784" t="s">
        <v>1796</v>
      </c>
      <c r="F36" s="817">
        <f ca="1">INDIRECT("'数据-取费表'!Ak"&amp;$G$1)</f>
        <v>5.0000000000000001E-3</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4.4000000000000004</v>
      </c>
      <c r="D37" s="1962" t="s">
        <v>1804</v>
      </c>
      <c r="E37" s="784" t="s">
        <v>1796</v>
      </c>
      <c r="F37" s="818">
        <f ca="1">INDIRECT("'数据-取费表'!Al"&amp;$G$1)</f>
        <v>1E-3</v>
      </c>
      <c r="G37" s="2047"/>
      <c r="H37" s="2062"/>
      <c r="I37" s="841" t="s">
        <v>1816</v>
      </c>
      <c r="J37" s="842"/>
      <c r="K37" s="2067"/>
      <c r="L37" s="2062"/>
      <c r="M37" s="2062"/>
    </row>
    <row r="38" spans="1:18" ht="18" customHeight="1" thickBot="1">
      <c r="A38" s="2515" t="s">
        <v>1891</v>
      </c>
      <c r="B38" s="2510" t="s">
        <v>666</v>
      </c>
      <c r="C38" s="2508">
        <f ca="1">ROUND(C5*F38,1)</f>
        <v>3.4</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253</v>
      </c>
      <c r="D39" s="2512" t="s">
        <v>1806</v>
      </c>
      <c r="E39" s="2513"/>
      <c r="F39" s="2514"/>
      <c r="G39" s="2047"/>
      <c r="H39" s="2062"/>
      <c r="I39" s="837" t="s">
        <v>1818</v>
      </c>
      <c r="J39" s="845">
        <f ca="1">ROUND(J35/C39,3)</f>
        <v>1.474</v>
      </c>
      <c r="K39" s="2068"/>
      <c r="L39" s="2062"/>
      <c r="M39" s="2062"/>
    </row>
    <row r="40" spans="1:18" ht="18" customHeight="1">
      <c r="A40" s="781" t="s">
        <v>1895</v>
      </c>
      <c r="B40" s="2217" t="s">
        <v>2301</v>
      </c>
      <c r="C40" s="783">
        <f ca="1">ROUND(C39*(1-((1+F42)/(1+F40))^F41)/(F40-F42),0)</f>
        <v>6873</v>
      </c>
      <c r="D40" s="814" t="s">
        <v>1807</v>
      </c>
      <c r="E40" s="784" t="s">
        <v>2419</v>
      </c>
      <c r="F40" s="794">
        <f ca="1">INDIRECT("'数据-取费表'!I"&amp;$G$1)</f>
        <v>0.05</v>
      </c>
      <c r="G40" s="2047"/>
      <c r="H40" s="2047"/>
      <c r="I40" s="837" t="s">
        <v>1819</v>
      </c>
      <c r="J40" s="845">
        <f ca="1">1-J39</f>
        <v>-0.47399999999999998</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47.18</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0.63800000000000001</v>
      </c>
      <c r="K42" s="2067"/>
      <c r="L42" s="1973"/>
      <c r="M42" s="1973"/>
    </row>
    <row r="43" spans="1:18" ht="18" customHeight="1" thickBot="1">
      <c r="A43" s="823" t="s">
        <v>1787</v>
      </c>
      <c r="B43" s="824" t="s">
        <v>1810</v>
      </c>
      <c r="C43" s="825">
        <f ca="1">ROUND(C40*10000/F43,0)</f>
        <v>9916</v>
      </c>
      <c r="D43" s="826" t="s">
        <v>1811</v>
      </c>
      <c r="E43" s="827" t="s">
        <v>1812</v>
      </c>
      <c r="F43" s="828">
        <f ca="1">INDIRECT("'数据-取费表'!k"&amp;$G$1)</f>
        <v>6930.98</v>
      </c>
      <c r="G43" s="2047"/>
      <c r="H43" s="1973"/>
      <c r="I43" s="847" t="s">
        <v>1822</v>
      </c>
      <c r="J43" s="848">
        <f ca="1">1-J42</f>
        <v>0.36199999999999999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-7359</v>
      </c>
      <c r="D46" s="2070"/>
      <c r="E46" s="2070"/>
      <c r="F46" s="2070"/>
      <c r="I46" s="2342" t="s">
        <v>2343</v>
      </c>
      <c r="J46" s="2343"/>
      <c r="K46" s="2344"/>
      <c r="L46" s="3109">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3161</v>
      </c>
      <c r="K47" s="3106" t="s">
        <v>2349</v>
      </c>
      <c r="L47" s="3110">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7" t="s">
        <v>2351</v>
      </c>
      <c r="L48" s="1893">
        <f ca="1">INDIRECT("'数据-取费表'!f"&amp;$G$1)</f>
        <v>49.68</v>
      </c>
      <c r="O48" s="2362" t="s">
        <v>2379</v>
      </c>
      <c r="P48" s="2363" t="s">
        <v>2405</v>
      </c>
      <c r="Q48" s="2364">
        <f ca="1">C40+J29</f>
        <v>6873</v>
      </c>
      <c r="R48" s="2363" t="s">
        <v>2380</v>
      </c>
    </row>
    <row r="49" spans="1:18" s="2044" customFormat="1" ht="18" customHeight="1" thickBot="1">
      <c r="A49" s="786"/>
      <c r="B49" s="787"/>
      <c r="C49" s="788"/>
      <c r="D49" s="789"/>
      <c r="E49" s="784" t="s">
        <v>1739</v>
      </c>
      <c r="F49" s="785">
        <f ca="1">F7</f>
        <v>6930.98</v>
      </c>
      <c r="G49" s="2075"/>
      <c r="H49" s="2078"/>
      <c r="I49" s="3078" t="s">
        <v>2346</v>
      </c>
      <c r="J49" s="2347">
        <v>2021</v>
      </c>
      <c r="K49" s="3108"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4388</v>
      </c>
      <c r="R50" s="2363" t="s">
        <v>2380</v>
      </c>
    </row>
    <row r="51" spans="1:18" s="2044" customFormat="1" ht="18" customHeight="1" thickBot="1">
      <c r="A51" s="786"/>
      <c r="B51" s="787"/>
      <c r="C51" s="788"/>
      <c r="D51" s="789"/>
      <c r="E51" s="784" t="s">
        <v>640</v>
      </c>
      <c r="F51" s="2335"/>
      <c r="H51" s="2078"/>
      <c r="I51" s="3100" t="s">
        <v>2348</v>
      </c>
      <c r="J51" s="3104">
        <f>IF(J49="",J50,J49+J50-YEAR('数据-取费表'!B2))</f>
        <v>62</v>
      </c>
      <c r="K51" s="3078" t="s">
        <v>2354</v>
      </c>
      <c r="L51" s="3111">
        <f ca="1">ROUND(-PV(INDIRECT("'数据-取费表'!h"&amp;$G$1),L48,(C39-C13*J36),0),0)</f>
        <v>-2367</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2974</v>
      </c>
      <c r="E52" s="2462" t="s">
        <v>2464</v>
      </c>
      <c r="F52" s="2585"/>
      <c r="I52" s="3101" t="s">
        <v>2421</v>
      </c>
      <c r="J52" s="2349">
        <v>0.09</v>
      </c>
      <c r="K52" s="3101"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102" t="s">
        <v>2977</v>
      </c>
      <c r="J53" s="3105">
        <f ca="1">IF(M47="住宅",IF(D1="——",MAX(J51,L48),MAX(J51,L48-'数据-取费表'!B20)),IF(D1="——",MIN(J51,L48),MIN(J51,L48-'数据-取费表'!B20)))</f>
        <v>47.18</v>
      </c>
      <c r="K53" s="3459" t="s">
        <v>2965</v>
      </c>
      <c r="L53" s="3460"/>
      <c r="O53" s="2365" t="s">
        <v>2388</v>
      </c>
      <c r="P53" s="2363" t="s">
        <v>2389</v>
      </c>
      <c r="Q53" s="2364">
        <f ca="1">J53</f>
        <v>47.18</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6873</v>
      </c>
      <c r="R54" s="2367" t="s">
        <v>2392</v>
      </c>
    </row>
    <row r="55" spans="1:18" s="2044" customFormat="1" ht="18" customHeight="1" thickTop="1" thickBot="1">
      <c r="A55" s="797">
        <v>2</v>
      </c>
      <c r="B55" s="798" t="s">
        <v>644</v>
      </c>
      <c r="C55" s="799">
        <f ca="1">C13</f>
        <v>4388</v>
      </c>
      <c r="D55" s="795"/>
      <c r="E55" s="795"/>
      <c r="F55" s="800"/>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4388</v>
      </c>
      <c r="D56" s="2603"/>
      <c r="E56" s="784"/>
      <c r="F56" s="809"/>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27</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6873</v>
      </c>
      <c r="R57" s="2363" t="s">
        <v>2380</v>
      </c>
    </row>
    <row r="58" spans="1:18" s="2044" customFormat="1" ht="28.5" customHeight="1" thickBot="1">
      <c r="A58" s="1634" t="s">
        <v>1824</v>
      </c>
      <c r="B58" s="784" t="s">
        <v>656</v>
      </c>
      <c r="C58" s="53">
        <f ca="1">ROUND(IF(项目基本情况!B11="自然人",C47*F58,C59+C60+C61),1)</f>
        <v>0.4</v>
      </c>
      <c r="D58" s="2602" t="s">
        <v>657</v>
      </c>
      <c r="E58" s="2603" t="s">
        <v>690</v>
      </c>
      <c r="F58" s="810"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7" t="s">
        <v>2360</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0.4</v>
      </c>
      <c r="D61" s="814" t="s">
        <v>669</v>
      </c>
      <c r="E61" s="784" t="s">
        <v>670</v>
      </c>
      <c r="F61" s="640">
        <f t="shared" si="0"/>
        <v>1.5</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2952.7</v>
      </c>
      <c r="I62" s="3122" t="s">
        <v>2367</v>
      </c>
      <c r="J62" s="3123" t="s">
        <v>2368</v>
      </c>
      <c r="K62" s="3123" t="s">
        <v>2369</v>
      </c>
      <c r="L62" s="3123" t="s">
        <v>2350</v>
      </c>
      <c r="M62" s="3124"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21.9</v>
      </c>
      <c r="D63" s="2603" t="s">
        <v>1803</v>
      </c>
      <c r="E63" s="784" t="s">
        <v>1747</v>
      </c>
      <c r="F63" s="817">
        <f t="shared" ca="1" si="0"/>
        <v>5.0000000000000001E-3</v>
      </c>
      <c r="I63" s="3122" t="s">
        <v>2370</v>
      </c>
      <c r="J63" s="3123">
        <v>70</v>
      </c>
      <c r="K63" s="3123">
        <v>50</v>
      </c>
      <c r="L63" s="3123">
        <v>80</v>
      </c>
      <c r="M63" s="3125">
        <v>0.02</v>
      </c>
      <c r="O63" s="2362" t="s">
        <v>2391</v>
      </c>
      <c r="P63" s="2363" t="s">
        <v>2408</v>
      </c>
      <c r="Q63" s="2364">
        <f ca="1">Q57+Q58</f>
        <v>6873</v>
      </c>
      <c r="R63" s="2367" t="s">
        <v>2392</v>
      </c>
    </row>
    <row r="64" spans="1:18" s="2044" customFormat="1" ht="16.5" thickBot="1">
      <c r="A64" s="1634" t="s">
        <v>1890</v>
      </c>
      <c r="B64" s="784" t="s">
        <v>679</v>
      </c>
      <c r="C64" s="53">
        <f ca="1">ROUND(C55*F64,1)</f>
        <v>4.4000000000000004</v>
      </c>
      <c r="D64" s="2603" t="s">
        <v>680</v>
      </c>
      <c r="E64" s="784" t="s">
        <v>1747</v>
      </c>
      <c r="F64" s="818">
        <f t="shared" ca="1" si="0"/>
        <v>1E-3</v>
      </c>
      <c r="I64" s="3122" t="s">
        <v>2371</v>
      </c>
      <c r="J64" s="3123">
        <v>50</v>
      </c>
      <c r="K64" s="3123">
        <v>35</v>
      </c>
      <c r="L64" s="3123">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2822</v>
      </c>
      <c r="C66" s="799">
        <f ca="1">C47-C57</f>
        <v>-27</v>
      </c>
      <c r="D66" s="2602" t="s">
        <v>700</v>
      </c>
      <c r="E66" s="2601"/>
      <c r="F66" s="820"/>
      <c r="K66" s="2071"/>
      <c r="O66" s="2362" t="s">
        <v>2379</v>
      </c>
      <c r="P66" s="2363" t="s">
        <v>2409</v>
      </c>
      <c r="Q66" s="2364">
        <f ca="1">C40+J29</f>
        <v>6873</v>
      </c>
      <c r="R66" s="2363" t="s">
        <v>2380</v>
      </c>
    </row>
    <row r="67" spans="1:18" s="2044" customFormat="1" ht="20.25" thickBot="1">
      <c r="A67" s="781" t="s">
        <v>1780</v>
      </c>
      <c r="B67" s="2217" t="s">
        <v>2301</v>
      </c>
      <c r="C67" s="783">
        <f ca="1">ROUND(C66*(1-((1+F69)/(1+F67))^F68)/(F67-F69),0)</f>
        <v>-486</v>
      </c>
      <c r="D67" s="814" t="s">
        <v>704</v>
      </c>
      <c r="E67" s="784" t="s">
        <v>705</v>
      </c>
      <c r="F67" s="794">
        <f ca="1">F40</f>
        <v>0.05</v>
      </c>
      <c r="K67" s="2071"/>
      <c r="O67" s="2362" t="s">
        <v>2381</v>
      </c>
      <c r="P67" s="2363" t="s">
        <v>2412</v>
      </c>
      <c r="Q67" s="2364">
        <f ca="1">L60</f>
        <v>0</v>
      </c>
      <c r="R67" s="2367" t="s">
        <v>2414</v>
      </c>
    </row>
    <row r="68" spans="1:18" ht="21.75" thickBot="1">
      <c r="A68" s="786"/>
      <c r="B68" s="787"/>
      <c r="C68" s="788"/>
      <c r="D68" s="821" t="s">
        <v>1808</v>
      </c>
      <c r="E68" s="784" t="s">
        <v>1784</v>
      </c>
      <c r="F68" s="822">
        <f ca="1">F41</f>
        <v>47.18</v>
      </c>
      <c r="O68" s="2365" t="s">
        <v>2383</v>
      </c>
      <c r="P68" s="2363" t="s">
        <v>2413</v>
      </c>
      <c r="Q68" s="2369">
        <f ca="1">L51</f>
        <v>-2367</v>
      </c>
      <c r="R68" s="2370" t="s">
        <v>2416</v>
      </c>
    </row>
    <row r="69" spans="1:18" ht="20.25" thickBot="1">
      <c r="A69" s="790"/>
      <c r="B69" s="791"/>
      <c r="C69" s="792"/>
      <c r="D69" s="816"/>
      <c r="E69" s="784" t="s">
        <v>710</v>
      </c>
      <c r="F69" s="2335"/>
      <c r="O69" s="2365" t="s">
        <v>2384</v>
      </c>
      <c r="P69" s="2371" t="s">
        <v>2398</v>
      </c>
      <c r="Q69" s="2364">
        <f ca="1">ROUND(Q70-Q71*Q72,0)</f>
        <v>-120</v>
      </c>
      <c r="R69" s="2367"/>
    </row>
    <row r="70" spans="1:18" ht="15.75" thickBot="1">
      <c r="A70" s="823" t="s">
        <v>1787</v>
      </c>
      <c r="B70" s="824" t="s">
        <v>1810</v>
      </c>
      <c r="C70" s="825">
        <f ca="1">ROUND(C67*10000/F70,0)</f>
        <v>-701</v>
      </c>
      <c r="D70" s="826" t="s">
        <v>1811</v>
      </c>
      <c r="E70" s="827" t="s">
        <v>1812</v>
      </c>
      <c r="F70" s="828">
        <f ca="1">F43</f>
        <v>6930.98</v>
      </c>
      <c r="O70" s="2365" t="s">
        <v>2399</v>
      </c>
      <c r="P70" s="2371" t="s">
        <v>2400</v>
      </c>
      <c r="Q70" s="2364">
        <f ca="1">C39</f>
        <v>253</v>
      </c>
      <c r="R70" s="2363" t="s">
        <v>2380</v>
      </c>
    </row>
    <row r="71" spans="1:18" ht="15.75" thickBot="1">
      <c r="O71" s="2365" t="s">
        <v>2401</v>
      </c>
      <c r="P71" s="2371" t="s">
        <v>2402</v>
      </c>
      <c r="Q71" s="2364">
        <f ca="1">C13</f>
        <v>4388</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6873</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1" t="s">
        <v>2471</v>
      </c>
      <c r="B1" s="3462"/>
      <c r="C1" s="3463"/>
      <c r="D1" s="3464">
        <f>SUM(I10,I15,I20,I21,I23)</f>
        <v>0</v>
      </c>
      <c r="E1" s="3464"/>
      <c r="F1" s="3464"/>
      <c r="G1" s="3464"/>
      <c r="H1" s="3464"/>
      <c r="I1" s="3465"/>
    </row>
    <row r="2" spans="1:9">
      <c r="A2" s="3466" t="s">
        <v>2472</v>
      </c>
      <c r="B2" s="3467" t="s">
        <v>2473</v>
      </c>
      <c r="C2" s="3467"/>
      <c r="D2" s="2471" t="s">
        <v>2474</v>
      </c>
      <c r="E2" s="2471" t="s">
        <v>2475</v>
      </c>
      <c r="F2" s="2471" t="s">
        <v>2476</v>
      </c>
      <c r="G2" s="2471" t="s">
        <v>2477</v>
      </c>
      <c r="H2" s="2471" t="s">
        <v>2478</v>
      </c>
      <c r="I2" s="2472" t="s">
        <v>2479</v>
      </c>
    </row>
    <row r="3" spans="1:9">
      <c r="A3" s="3466"/>
      <c r="B3" s="3467" t="s">
        <v>2480</v>
      </c>
      <c r="C3" s="3467"/>
      <c r="D3" s="2473"/>
      <c r="E3" s="2471"/>
      <c r="F3" s="2474"/>
      <c r="G3" s="2474"/>
      <c r="H3" s="2475"/>
      <c r="I3" s="2476">
        <f>ROUND(D3*E3*F3*G3*H3/10000,0)</f>
        <v>0</v>
      </c>
    </row>
    <row r="4" spans="1:9">
      <c r="A4" s="3466"/>
      <c r="B4" s="3467" t="s">
        <v>2481</v>
      </c>
      <c r="C4" s="3467"/>
      <c r="D4" s="2473"/>
      <c r="E4" s="2471"/>
      <c r="F4" s="2474"/>
      <c r="G4" s="2474"/>
      <c r="H4" s="2475"/>
      <c r="I4" s="2476">
        <f t="shared" ref="I4:I9" si="0">ROUND(D4*E4*F4*G4*H4/10000,0)</f>
        <v>0</v>
      </c>
    </row>
    <row r="5" spans="1:9">
      <c r="A5" s="3466"/>
      <c r="B5" s="3467" t="s">
        <v>2482</v>
      </c>
      <c r="C5" s="3467"/>
      <c r="D5" s="2473"/>
      <c r="E5" s="2471"/>
      <c r="F5" s="2474"/>
      <c r="G5" s="2474"/>
      <c r="H5" s="2475"/>
      <c r="I5" s="2476">
        <f t="shared" si="0"/>
        <v>0</v>
      </c>
    </row>
    <row r="6" spans="1:9">
      <c r="A6" s="3466"/>
      <c r="B6" s="3467" t="s">
        <v>2483</v>
      </c>
      <c r="C6" s="3467"/>
      <c r="D6" s="2473"/>
      <c r="E6" s="2471"/>
      <c r="F6" s="2474"/>
      <c r="G6" s="2474"/>
      <c r="H6" s="2475"/>
      <c r="I6" s="2476">
        <f t="shared" si="0"/>
        <v>0</v>
      </c>
    </row>
    <row r="7" spans="1:9">
      <c r="A7" s="3466"/>
      <c r="B7" s="3467" t="s">
        <v>2484</v>
      </c>
      <c r="C7" s="3467"/>
      <c r="D7" s="2473"/>
      <c r="E7" s="2471"/>
      <c r="F7" s="2474"/>
      <c r="G7" s="2474"/>
      <c r="H7" s="2475"/>
      <c r="I7" s="2476">
        <f t="shared" si="0"/>
        <v>0</v>
      </c>
    </row>
    <row r="8" spans="1:9">
      <c r="A8" s="3466"/>
      <c r="B8" s="3467" t="s">
        <v>2485</v>
      </c>
      <c r="C8" s="3467"/>
      <c r="D8" s="2473"/>
      <c r="E8" s="2471"/>
      <c r="F8" s="2474"/>
      <c r="G8" s="2474"/>
      <c r="H8" s="2475"/>
      <c r="I8" s="2476">
        <f t="shared" si="0"/>
        <v>0</v>
      </c>
    </row>
    <row r="9" spans="1:9">
      <c r="A9" s="3466"/>
      <c r="B9" s="3467" t="s">
        <v>2486</v>
      </c>
      <c r="C9" s="3467"/>
      <c r="D9" s="2473"/>
      <c r="E9" s="2471"/>
      <c r="F9" s="2474"/>
      <c r="G9" s="2474"/>
      <c r="H9" s="2475"/>
      <c r="I9" s="2476">
        <f t="shared" si="0"/>
        <v>0</v>
      </c>
    </row>
    <row r="10" spans="1:9">
      <c r="A10" s="3466"/>
      <c r="B10" s="3468" t="s">
        <v>2487</v>
      </c>
      <c r="C10" s="3468"/>
      <c r="D10" s="2477">
        <v>527</v>
      </c>
      <c r="E10" s="2477" t="e">
        <f>ROUND(D1*10000/D10/H9,0)</f>
        <v>#DIV/0!</v>
      </c>
      <c r="F10" s="2478"/>
      <c r="G10" s="2478"/>
      <c r="H10" s="2479"/>
      <c r="I10" s="2480">
        <f>SUM(I3:I9)</f>
        <v>0</v>
      </c>
    </row>
    <row r="11" spans="1:9" ht="14.25">
      <c r="A11" s="3466" t="s">
        <v>2488</v>
      </c>
      <c r="B11" s="3467" t="s">
        <v>2489</v>
      </c>
      <c r="C11" s="3467"/>
      <c r="D11" s="2473" t="s">
        <v>2490</v>
      </c>
      <c r="E11" s="2473" t="s">
        <v>2491</v>
      </c>
      <c r="F11" s="2474" t="s">
        <v>2492</v>
      </c>
      <c r="G11" s="2474" t="s">
        <v>2493</v>
      </c>
      <c r="H11" s="2481" t="s">
        <v>2494</v>
      </c>
      <c r="I11" s="2472" t="s">
        <v>2495</v>
      </c>
    </row>
    <row r="12" spans="1:9">
      <c r="A12" s="3466"/>
      <c r="B12" s="3467" t="s">
        <v>2496</v>
      </c>
      <c r="C12" s="3467"/>
      <c r="D12" s="2473"/>
      <c r="E12" s="2473"/>
      <c r="F12" s="2474"/>
      <c r="G12" s="2475"/>
      <c r="H12" s="2482"/>
      <c r="I12" s="2472">
        <f>ROUND(D12*E12*F12*G12/10000,0)</f>
        <v>0</v>
      </c>
    </row>
    <row r="13" spans="1:9">
      <c r="A13" s="3466"/>
      <c r="B13" s="3467" t="s">
        <v>2497</v>
      </c>
      <c r="C13" s="3467"/>
      <c r="D13" s="2473"/>
      <c r="E13" s="2473"/>
      <c r="F13" s="2474"/>
      <c r="G13" s="2475"/>
      <c r="H13" s="2482"/>
      <c r="I13" s="2472">
        <f>ROUND(D13*E13*F13*G13/10000,0)</f>
        <v>0</v>
      </c>
    </row>
    <row r="14" spans="1:9">
      <c r="A14" s="3466"/>
      <c r="B14" s="3467" t="s">
        <v>2498</v>
      </c>
      <c r="C14" s="3467"/>
      <c r="D14" s="2473"/>
      <c r="E14" s="2473"/>
      <c r="F14" s="2474"/>
      <c r="G14" s="2475"/>
      <c r="H14" s="2482"/>
      <c r="I14" s="2472">
        <f>ROUND(D14*E14*F14*G14/10000,0)</f>
        <v>0</v>
      </c>
    </row>
    <row r="15" spans="1:9">
      <c r="A15" s="3466"/>
      <c r="B15" s="3468" t="s">
        <v>2487</v>
      </c>
      <c r="C15" s="3468"/>
      <c r="D15" s="2477"/>
      <c r="E15" s="2477">
        <f>SUM(E12:E14)</f>
        <v>0</v>
      </c>
      <c r="F15" s="2478"/>
      <c r="G15" s="2475"/>
      <c r="H15" s="2482"/>
      <c r="I15" s="2483">
        <f>SUM(I12:I14)</f>
        <v>0</v>
      </c>
    </row>
    <row r="16" spans="1:9" ht="24">
      <c r="A16" s="3466" t="s">
        <v>2499</v>
      </c>
      <c r="B16" s="3467" t="s">
        <v>2500</v>
      </c>
      <c r="C16" s="3467"/>
      <c r="D16" s="2473" t="s">
        <v>2501</v>
      </c>
      <c r="E16" s="2484" t="s">
        <v>2502</v>
      </c>
      <c r="F16" s="2474" t="s">
        <v>2503</v>
      </c>
      <c r="G16" s="2475" t="s">
        <v>2493</v>
      </c>
      <c r="H16" s="2481" t="s">
        <v>2494</v>
      </c>
      <c r="I16" s="2472" t="s">
        <v>2495</v>
      </c>
    </row>
    <row r="17" spans="1:9" ht="14.25">
      <c r="A17" s="3466"/>
      <c r="B17" s="3467" t="s">
        <v>2504</v>
      </c>
      <c r="C17" s="3467"/>
      <c r="D17" s="2473"/>
      <c r="E17" s="2473"/>
      <c r="F17" s="2474"/>
      <c r="G17" s="2475"/>
      <c r="H17" s="2485"/>
      <c r="I17" s="2486">
        <f>ROUND(D17*E17*F17*G17/10000,0)</f>
        <v>0</v>
      </c>
    </row>
    <row r="18" spans="1:9" ht="14.25">
      <c r="A18" s="3466"/>
      <c r="B18" s="3467" t="s">
        <v>2505</v>
      </c>
      <c r="C18" s="3467"/>
      <c r="D18" s="2473"/>
      <c r="E18" s="2473"/>
      <c r="F18" s="2474"/>
      <c r="G18" s="2475"/>
      <c r="H18" s="2485"/>
      <c r="I18" s="2486">
        <f>ROUND(D18*E18*F18*G18/10000,0)</f>
        <v>0</v>
      </c>
    </row>
    <row r="19" spans="1:9" ht="14.25">
      <c r="A19" s="3466"/>
      <c r="B19" s="3467" t="s">
        <v>2506</v>
      </c>
      <c r="C19" s="3467"/>
      <c r="D19" s="2473"/>
      <c r="E19" s="2473"/>
      <c r="F19" s="2474"/>
      <c r="G19" s="2475"/>
      <c r="H19" s="2485"/>
      <c r="I19" s="2486">
        <f>ROUND(D19*E19*F19*G19/10000,0)</f>
        <v>0</v>
      </c>
    </row>
    <row r="20" spans="1:9">
      <c r="A20" s="3466"/>
      <c r="B20" s="3468" t="s">
        <v>2487</v>
      </c>
      <c r="C20" s="3468"/>
      <c r="D20" s="2477">
        <f>SUM(D17:D19)</f>
        <v>0</v>
      </c>
      <c r="E20" s="2477"/>
      <c r="F20" s="2478"/>
      <c r="G20" s="2475"/>
      <c r="H20" s="2482"/>
      <c r="I20" s="2483">
        <f>SUM(I17:I19)</f>
        <v>0</v>
      </c>
    </row>
    <row r="21" spans="1:9">
      <c r="A21" s="3466" t="s">
        <v>2507</v>
      </c>
      <c r="B21" s="3470"/>
      <c r="C21" s="3470"/>
      <c r="D21" s="3470"/>
      <c r="E21" s="3470"/>
      <c r="F21" s="3470"/>
      <c r="G21" s="3470"/>
      <c r="H21" s="2487">
        <v>0.1</v>
      </c>
      <c r="I21" s="2480">
        <f>ROUND(I10*H21,0)</f>
        <v>0</v>
      </c>
    </row>
    <row r="22" spans="1:9" ht="14.25">
      <c r="A22" s="3471" t="s">
        <v>2508</v>
      </c>
      <c r="B22" s="3472"/>
      <c r="C22" s="3473"/>
      <c r="D22" s="2488" t="s">
        <v>2509</v>
      </c>
      <c r="E22" s="2488" t="s">
        <v>2510</v>
      </c>
      <c r="F22" s="2489" t="s">
        <v>2511</v>
      </c>
      <c r="G22" s="2489" t="s">
        <v>2512</v>
      </c>
      <c r="H22" s="2481" t="s">
        <v>2513</v>
      </c>
      <c r="I22" s="2472" t="s">
        <v>2514</v>
      </c>
    </row>
    <row r="23" spans="1:9" ht="14.25" thickBot="1">
      <c r="A23" s="3474"/>
      <c r="B23" s="3475"/>
      <c r="C23" s="3476"/>
      <c r="D23" s="2490"/>
      <c r="E23" s="2490"/>
      <c r="F23" s="2490"/>
      <c r="G23" s="2491"/>
      <c r="H23" s="2492"/>
      <c r="I23" s="2493">
        <f>ROUND(E23*D23*F23*(1-G23)/10000,0)</f>
        <v>0</v>
      </c>
    </row>
    <row r="26" spans="1:9">
      <c r="A26" s="2494" t="s">
        <v>2515</v>
      </c>
      <c r="B26" s="2494"/>
      <c r="C26" s="2494"/>
      <c r="D26" s="2494"/>
      <c r="E26" s="3477">
        <f>C27-C30-C31-C32</f>
        <v>0</v>
      </c>
      <c r="F26" s="3477"/>
      <c r="G26" s="3477"/>
      <c r="H26" s="2995" t="s">
        <v>2843</v>
      </c>
    </row>
    <row r="27" spans="1:9">
      <c r="A27" s="2495">
        <v>1</v>
      </c>
      <c r="B27" s="2496" t="s">
        <v>2516</v>
      </c>
      <c r="C27" s="2496"/>
      <c r="D27" s="2496"/>
      <c r="E27" s="3478"/>
      <c r="F27" s="3478"/>
      <c r="G27" s="3478"/>
    </row>
    <row r="28" spans="1:9">
      <c r="A28" s="2497" t="s">
        <v>2517</v>
      </c>
      <c r="B28" s="2496" t="s">
        <v>2518</v>
      </c>
      <c r="C28" s="2496"/>
      <c r="D28" s="2496"/>
      <c r="E28" s="3478"/>
      <c r="F28" s="3478"/>
      <c r="G28" s="3478"/>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9"/>
      <c r="F32" s="3469"/>
      <c r="G32" s="3469"/>
    </row>
    <row r="33" spans="1:7" hidden="1">
      <c r="A33" s="3479" t="s">
        <v>2526</v>
      </c>
      <c r="B33" s="3480"/>
      <c r="C33" s="3480"/>
      <c r="D33" s="3481"/>
      <c r="E33" s="3477"/>
      <c r="F33" s="3477"/>
      <c r="G33" s="3477"/>
    </row>
    <row r="34" spans="1:7" hidden="1">
      <c r="A34" s="2499">
        <v>1</v>
      </c>
      <c r="B34" s="2496" t="s">
        <v>2527</v>
      </c>
      <c r="C34" s="2496"/>
      <c r="D34" s="2496"/>
      <c r="E34" s="3478"/>
      <c r="F34" s="3478"/>
      <c r="G34" s="3478"/>
    </row>
    <row r="35" spans="1:7" hidden="1">
      <c r="A35" s="2499">
        <v>2</v>
      </c>
      <c r="B35" s="2496" t="s">
        <v>2528</v>
      </c>
      <c r="C35" s="2496"/>
      <c r="D35" s="2496"/>
      <c r="E35" s="3478"/>
      <c r="F35" s="3478"/>
      <c r="G35" s="3478"/>
    </row>
    <row r="36" spans="1:7" hidden="1">
      <c r="A36" s="2499">
        <v>3</v>
      </c>
      <c r="B36" s="2496" t="s">
        <v>2529</v>
      </c>
      <c r="C36" s="2496"/>
      <c r="D36" s="2496"/>
      <c r="E36" s="3478"/>
      <c r="F36" s="3478"/>
      <c r="G36" s="3478"/>
    </row>
    <row r="37" spans="1:7" hidden="1">
      <c r="A37" s="2499">
        <v>4</v>
      </c>
      <c r="B37" s="2496" t="s">
        <v>2530</v>
      </c>
      <c r="C37" s="2496"/>
      <c r="D37" s="2496"/>
      <c r="E37" s="3478"/>
      <c r="F37" s="3478"/>
      <c r="G37" s="3478"/>
    </row>
    <row r="38" spans="1:7" hidden="1">
      <c r="A38" s="3479" t="s">
        <v>2531</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104375.848</v>
      </c>
      <c r="E10" s="749">
        <f>'数据-取费表'!B31</f>
        <v>50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70037.847999999998</v>
      </c>
      <c r="E12" s="757">
        <f>'数据-取费表'!B27</f>
        <v>0</v>
      </c>
      <c r="F12" s="755"/>
      <c r="G12" s="759"/>
    </row>
    <row r="13" spans="1:25" s="2168" customFormat="1" ht="13.5" customHeight="1">
      <c r="A13" s="2440" t="s">
        <v>2447</v>
      </c>
      <c r="B13" s="756" t="s">
        <v>612</v>
      </c>
      <c r="C13" s="757">
        <f>ROUND(D13*E13/10000,0)</f>
        <v>0</v>
      </c>
      <c r="D13" s="758">
        <f>'数据-汇总表'!E6</f>
        <v>34338</v>
      </c>
      <c r="E13" s="757">
        <f>'数据-取费表'!B28</f>
        <v>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2" t="s">
        <v>522</v>
      </c>
      <c r="D4" s="3373"/>
      <c r="E4" s="3406" t="s">
        <v>523</v>
      </c>
      <c r="F4" s="3407"/>
      <c r="G4" s="3372" t="s">
        <v>524</v>
      </c>
      <c r="H4" s="3373"/>
      <c r="I4" s="3372" t="s">
        <v>525</v>
      </c>
      <c r="J4" s="3373"/>
      <c r="K4" s="853" t="s">
        <v>526</v>
      </c>
      <c r="L4" s="2118"/>
      <c r="M4" s="2119"/>
      <c r="N4" s="2119"/>
      <c r="O4" s="2119"/>
      <c r="P4" s="3374" t="s">
        <v>527</v>
      </c>
      <c r="Q4" s="3375"/>
      <c r="R4" s="3380" t="s">
        <v>523</v>
      </c>
      <c r="S4" s="3381"/>
      <c r="T4" s="3380" t="s">
        <v>524</v>
      </c>
      <c r="U4" s="3381"/>
      <c r="V4" s="3367" t="s">
        <v>525</v>
      </c>
      <c r="W4" s="3367"/>
      <c r="X4" s="1553"/>
      <c r="Y4" s="3380" t="s">
        <v>527</v>
      </c>
      <c r="Z4" s="3381"/>
      <c r="AA4" s="3369" t="s">
        <v>523</v>
      </c>
      <c r="AB4" s="3369" t="s">
        <v>524</v>
      </c>
      <c r="AC4" s="3369" t="s">
        <v>525</v>
      </c>
    </row>
    <row r="5" spans="1:29" ht="15">
      <c r="A5" s="515"/>
      <c r="B5" s="516"/>
      <c r="C5" s="3388" t="s">
        <v>2928</v>
      </c>
      <c r="D5" s="3389"/>
      <c r="E5" s="3408" t="s">
        <v>2929</v>
      </c>
      <c r="F5" s="3409"/>
      <c r="G5" s="3388" t="s">
        <v>2930</v>
      </c>
      <c r="H5" s="3389"/>
      <c r="I5" s="3388" t="s">
        <v>2931</v>
      </c>
      <c r="J5" s="3389"/>
      <c r="K5" s="854"/>
      <c r="L5" s="2118"/>
      <c r="M5" s="2119"/>
      <c r="N5" s="2119"/>
      <c r="O5" s="2119"/>
      <c r="P5" s="3376"/>
      <c r="Q5" s="3377"/>
      <c r="R5" s="3382"/>
      <c r="S5" s="3383"/>
      <c r="T5" s="3382"/>
      <c r="U5" s="3383"/>
      <c r="V5" s="3367"/>
      <c r="W5" s="3367"/>
      <c r="X5" s="1553"/>
      <c r="Y5" s="3382"/>
      <c r="Z5" s="3383"/>
      <c r="AA5" s="3370"/>
      <c r="AB5" s="3370"/>
      <c r="AC5" s="3370"/>
    </row>
    <row r="6" spans="1:29" ht="15.75" thickBot="1">
      <c r="A6" s="517"/>
      <c r="B6" s="518"/>
      <c r="C6" s="3386" t="s">
        <v>2932</v>
      </c>
      <c r="D6" s="3387"/>
      <c r="E6" s="3404" t="s">
        <v>2932</v>
      </c>
      <c r="F6" s="3405"/>
      <c r="G6" s="3386" t="s">
        <v>2932</v>
      </c>
      <c r="H6" s="3387"/>
      <c r="I6" s="3386" t="s">
        <v>2932</v>
      </c>
      <c r="J6" s="3387"/>
      <c r="K6" s="854" t="s">
        <v>528</v>
      </c>
      <c r="L6" s="2118"/>
      <c r="M6" s="2119"/>
      <c r="N6" s="2119"/>
      <c r="O6" s="2119"/>
      <c r="P6" s="3378"/>
      <c r="Q6" s="3379"/>
      <c r="R6" s="3382"/>
      <c r="S6" s="3383"/>
      <c r="T6" s="3384"/>
      <c r="U6" s="3385"/>
      <c r="V6" s="3367"/>
      <c r="W6" s="3367"/>
      <c r="X6" s="1553"/>
      <c r="Y6" s="3384"/>
      <c r="Z6" s="3385"/>
      <c r="AA6" s="3371"/>
      <c r="AB6" s="3371"/>
      <c r="AC6" s="3371"/>
    </row>
    <row r="7" spans="1:29" s="1216" customFormat="1" ht="15.75" thickBot="1">
      <c r="A7" s="2867"/>
      <c r="B7" s="2874" t="s">
        <v>529</v>
      </c>
      <c r="C7" s="519">
        <f>'数据-取费表'!B2</f>
        <v>43572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7" t="s">
        <v>530</v>
      </c>
      <c r="Q7" s="3399"/>
      <c r="R7" s="1554" t="s">
        <v>13</v>
      </c>
      <c r="S7" s="1555">
        <f t="shared" ref="S7:S15" si="0">F7</f>
        <v>0</v>
      </c>
      <c r="T7" s="1554" t="s">
        <v>13</v>
      </c>
      <c r="U7" s="1555">
        <f t="shared" ref="U7:U15" si="1">H7</f>
        <v>0</v>
      </c>
      <c r="V7" s="1554" t="s">
        <v>13</v>
      </c>
      <c r="W7" s="1555">
        <f t="shared" ref="W7:W15" si="2">J7</f>
        <v>0</v>
      </c>
      <c r="X7" s="1556"/>
      <c r="Y7" s="3397" t="s">
        <v>530</v>
      </c>
      <c r="Z7" s="3398"/>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7" t="s">
        <v>533</v>
      </c>
      <c r="Q8" s="3398"/>
      <c r="R8" s="1554" t="s">
        <v>13</v>
      </c>
      <c r="S8" s="1555">
        <f t="shared" si="0"/>
        <v>0</v>
      </c>
      <c r="T8" s="1554" t="s">
        <v>13</v>
      </c>
      <c r="U8" s="1555">
        <f t="shared" si="1"/>
        <v>0</v>
      </c>
      <c r="V8" s="1554" t="s">
        <v>13</v>
      </c>
      <c r="W8" s="1555">
        <f t="shared" si="2"/>
        <v>0</v>
      </c>
      <c r="X8" s="1556"/>
      <c r="Y8" s="3397" t="s">
        <v>533</v>
      </c>
      <c r="Z8" s="3398"/>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6"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6"/>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6"/>
      <c r="Q11" s="1147" t="str">
        <f t="shared" si="6"/>
        <v>容积率</v>
      </c>
      <c r="R11" s="1554" t="s">
        <v>11</v>
      </c>
      <c r="S11" s="1555" t="e">
        <f t="shared" si="0"/>
        <v>#N/A</v>
      </c>
      <c r="T11" s="1554" t="s">
        <v>11</v>
      </c>
      <c r="U11" s="1555" t="e">
        <f t="shared" si="1"/>
        <v>#N/A</v>
      </c>
      <c r="V11" s="1554" t="s">
        <v>11</v>
      </c>
      <c r="W11" s="1555" t="e">
        <f t="shared" si="2"/>
        <v>#N/A</v>
      </c>
      <c r="X11" s="1556"/>
      <c r="Y11" s="331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6"/>
      <c r="Q12" s="1147">
        <f t="shared" si="6"/>
        <v>111</v>
      </c>
      <c r="R12" s="1554" t="s">
        <v>11</v>
      </c>
      <c r="S12" s="1555">
        <f t="shared" si="0"/>
        <v>100</v>
      </c>
      <c r="T12" s="1554" t="s">
        <v>11</v>
      </c>
      <c r="U12" s="1555">
        <f t="shared" si="1"/>
        <v>100</v>
      </c>
      <c r="V12" s="1554" t="s">
        <v>11</v>
      </c>
      <c r="W12" s="1555">
        <f t="shared" si="2"/>
        <v>100</v>
      </c>
      <c r="X12" s="1556"/>
      <c r="Y12" s="3312"/>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6"/>
      <c r="Q13" s="1147">
        <f t="shared" si="6"/>
        <v>111</v>
      </c>
      <c r="R13" s="1554" t="s">
        <v>11</v>
      </c>
      <c r="S13" s="1555">
        <f t="shared" si="0"/>
        <v>100</v>
      </c>
      <c r="T13" s="1554" t="s">
        <v>11</v>
      </c>
      <c r="U13" s="1555">
        <f t="shared" si="1"/>
        <v>100</v>
      </c>
      <c r="V13" s="1554" t="s">
        <v>11</v>
      </c>
      <c r="W13" s="1555">
        <f t="shared" si="2"/>
        <v>100</v>
      </c>
      <c r="X13" s="1556"/>
      <c r="Y13" s="3312"/>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6"/>
      <c r="Q14" s="1147">
        <f t="shared" si="6"/>
        <v>111</v>
      </c>
      <c r="R14" s="1554" t="s">
        <v>11</v>
      </c>
      <c r="S14" s="1555">
        <f t="shared" si="0"/>
        <v>100</v>
      </c>
      <c r="T14" s="1554" t="s">
        <v>11</v>
      </c>
      <c r="U14" s="1555">
        <f t="shared" si="1"/>
        <v>100</v>
      </c>
      <c r="V14" s="1554" t="s">
        <v>11</v>
      </c>
      <c r="W14" s="1555">
        <f t="shared" si="2"/>
        <v>100</v>
      </c>
      <c r="X14" s="1556"/>
      <c r="Y14" s="3312"/>
      <c r="Z14" s="1146">
        <f t="shared" si="7"/>
        <v>111</v>
      </c>
      <c r="AA14" s="1557">
        <f t="shared" si="3"/>
        <v>1</v>
      </c>
      <c r="AB14" s="1557">
        <f t="shared" si="4"/>
        <v>1</v>
      </c>
      <c r="AC14" s="1557">
        <f t="shared" si="5"/>
        <v>1</v>
      </c>
    </row>
    <row r="15" spans="1:29" ht="99.75">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0" t="s">
        <v>540</v>
      </c>
      <c r="Q15" s="1558" t="str">
        <f t="shared" si="6"/>
        <v>居住社区成熟度</v>
      </c>
      <c r="R15" s="1559" t="s">
        <v>11</v>
      </c>
      <c r="S15" s="1560">
        <f t="shared" si="0"/>
        <v>100</v>
      </c>
      <c r="T15" s="1559" t="s">
        <v>11</v>
      </c>
      <c r="U15" s="1560">
        <f t="shared" si="1"/>
        <v>100</v>
      </c>
      <c r="V15" s="1559" t="s">
        <v>11</v>
      </c>
      <c r="W15" s="1560">
        <f t="shared" si="2"/>
        <v>100</v>
      </c>
      <c r="X15" s="1553"/>
      <c r="Y15" s="3400"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01"/>
      <c r="Q16" s="1558"/>
      <c r="R16" s="1559"/>
      <c r="S16" s="1560"/>
      <c r="T16" s="1559"/>
      <c r="U16" s="1560"/>
      <c r="V16" s="1559"/>
      <c r="W16" s="1560"/>
      <c r="X16" s="1553"/>
      <c r="Y16" s="340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1"/>
      <c r="Q17" s="1558" t="str">
        <f>B17</f>
        <v>交通便捷度</v>
      </c>
      <c r="R17" s="1559" t="s">
        <v>11</v>
      </c>
      <c r="S17" s="1560">
        <f>F17</f>
        <v>100</v>
      </c>
      <c r="T17" s="1559" t="s">
        <v>11</v>
      </c>
      <c r="U17" s="1560">
        <f>H17</f>
        <v>100</v>
      </c>
      <c r="V17" s="1559" t="s">
        <v>11</v>
      </c>
      <c r="W17" s="1560">
        <f>J17</f>
        <v>100</v>
      </c>
      <c r="X17" s="1553"/>
      <c r="Y17" s="340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01"/>
      <c r="Q18" s="1558"/>
      <c r="R18" s="1559"/>
      <c r="S18" s="1560"/>
      <c r="T18" s="1559"/>
      <c r="U18" s="1560"/>
      <c r="V18" s="1559"/>
      <c r="W18" s="1560"/>
      <c r="X18" s="1553"/>
      <c r="Y18" s="3401"/>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1"/>
      <c r="Q19" s="1558" t="str">
        <f>B19</f>
        <v>公共配套设施</v>
      </c>
      <c r="R19" s="1559" t="s">
        <v>11</v>
      </c>
      <c r="S19" s="1560">
        <f>F19</f>
        <v>100</v>
      </c>
      <c r="T19" s="1559" t="s">
        <v>11</v>
      </c>
      <c r="U19" s="1560">
        <f>H19</f>
        <v>100</v>
      </c>
      <c r="V19" s="1559" t="s">
        <v>11</v>
      </c>
      <c r="W19" s="1560">
        <f>J19</f>
        <v>100</v>
      </c>
      <c r="X19" s="1553"/>
      <c r="Y19" s="340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01"/>
      <c r="Q20" s="1558"/>
      <c r="R20" s="1559"/>
      <c r="S20" s="1560"/>
      <c r="T20" s="1559"/>
      <c r="U20" s="1560"/>
      <c r="V20" s="1559"/>
      <c r="W20" s="1560"/>
      <c r="X20" s="1553"/>
      <c r="Y20" s="3401"/>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1"/>
      <c r="Q21" s="2543" t="str">
        <f>B21</f>
        <v>基础设施水平</v>
      </c>
      <c r="R21" s="1559" t="s">
        <v>11</v>
      </c>
      <c r="S21" s="1560">
        <f>F21</f>
        <v>100</v>
      </c>
      <c r="T21" s="1559" t="s">
        <v>11</v>
      </c>
      <c r="U21" s="1560">
        <f>H21</f>
        <v>100</v>
      </c>
      <c r="V21" s="1559" t="s">
        <v>11</v>
      </c>
      <c r="W21" s="1560">
        <f>J21</f>
        <v>100</v>
      </c>
      <c r="X21" s="2545"/>
      <c r="Y21" s="3401"/>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01"/>
      <c r="Q22" s="2543"/>
      <c r="R22" s="1559"/>
      <c r="S22" s="1560"/>
      <c r="T22" s="1559"/>
      <c r="U22" s="1560"/>
      <c r="V22" s="1559"/>
      <c r="W22" s="1560"/>
      <c r="X22" s="2545"/>
      <c r="Y22" s="3401"/>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1"/>
      <c r="Q23" s="1558" t="str">
        <f>B23</f>
        <v>自然及人文环境</v>
      </c>
      <c r="R23" s="1559" t="s">
        <v>11</v>
      </c>
      <c r="S23" s="1560">
        <f>F23</f>
        <v>100</v>
      </c>
      <c r="T23" s="1559" t="s">
        <v>11</v>
      </c>
      <c r="U23" s="1560">
        <f>H23</f>
        <v>100</v>
      </c>
      <c r="V23" s="1559" t="s">
        <v>11</v>
      </c>
      <c r="W23" s="1560">
        <f>J23</f>
        <v>100</v>
      </c>
      <c r="X23" s="1553"/>
      <c r="Y23" s="340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01"/>
      <c r="Q24" s="1558"/>
      <c r="R24" s="1559"/>
      <c r="S24" s="1560"/>
      <c r="T24" s="1559"/>
      <c r="U24" s="1560"/>
      <c r="V24" s="1559"/>
      <c r="W24" s="1560"/>
      <c r="X24" s="1553"/>
      <c r="Y24" s="3401"/>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1"/>
      <c r="Q25" s="1558" t="str">
        <f t="shared" ref="Q25:Q46" si="11">B25</f>
        <v>楼层-1</v>
      </c>
      <c r="R25" s="1559" t="s">
        <v>11</v>
      </c>
      <c r="S25" s="1560">
        <f>F25</f>
        <v>100</v>
      </c>
      <c r="T25" s="1559" t="s">
        <v>11</v>
      </c>
      <c r="U25" s="1560">
        <f>H25</f>
        <v>100</v>
      </c>
      <c r="V25" s="1559" t="s">
        <v>11</v>
      </c>
      <c r="W25" s="1560">
        <f>J25</f>
        <v>100</v>
      </c>
      <c r="X25" s="1553"/>
      <c r="Y25" s="3401"/>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1"/>
      <c r="Q26" s="1558" t="str">
        <f t="shared" si="11"/>
        <v>朝向</v>
      </c>
      <c r="R26" s="1559" t="s">
        <v>11</v>
      </c>
      <c r="S26" s="1560">
        <f>F26</f>
        <v>100</v>
      </c>
      <c r="T26" s="1559" t="s">
        <v>11</v>
      </c>
      <c r="U26" s="1560">
        <f>H26</f>
        <v>100</v>
      </c>
      <c r="V26" s="1559" t="s">
        <v>11</v>
      </c>
      <c r="W26" s="1560">
        <f>J26</f>
        <v>100</v>
      </c>
      <c r="X26" s="1553"/>
      <c r="Y26" s="3401"/>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1"/>
      <c r="Q27" s="1147" t="str">
        <f t="shared" si="11"/>
        <v>道路级别</v>
      </c>
      <c r="R27" s="1554" t="s">
        <v>11</v>
      </c>
      <c r="S27" s="1555">
        <f>F27</f>
        <v>100</v>
      </c>
      <c r="T27" s="1554" t="s">
        <v>11</v>
      </c>
      <c r="U27" s="1555">
        <f>H27</f>
        <v>100</v>
      </c>
      <c r="V27" s="1554" t="s">
        <v>11</v>
      </c>
      <c r="W27" s="1555">
        <f>J27</f>
        <v>100</v>
      </c>
      <c r="X27" s="1556"/>
      <c r="Y27" s="3401"/>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1"/>
      <c r="Q29" s="1558">
        <f t="shared" si="11"/>
        <v>111</v>
      </c>
      <c r="R29" s="1559" t="s">
        <v>11</v>
      </c>
      <c r="S29" s="1560">
        <f t="shared" si="12"/>
        <v>100</v>
      </c>
      <c r="T29" s="1559" t="s">
        <v>11</v>
      </c>
      <c r="U29" s="1560">
        <f t="shared" si="13"/>
        <v>100</v>
      </c>
      <c r="V29" s="1559" t="s">
        <v>11</v>
      </c>
      <c r="W29" s="1560">
        <f t="shared" si="14"/>
        <v>100</v>
      </c>
      <c r="X29" s="1553"/>
      <c r="Y29" s="340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1"/>
      <c r="Q30" s="1558">
        <f t="shared" si="11"/>
        <v>111</v>
      </c>
      <c r="R30" s="1559" t="s">
        <v>11</v>
      </c>
      <c r="S30" s="1560">
        <f t="shared" si="12"/>
        <v>100</v>
      </c>
      <c r="T30" s="1559" t="s">
        <v>11</v>
      </c>
      <c r="U30" s="1560">
        <f t="shared" si="13"/>
        <v>100</v>
      </c>
      <c r="V30" s="1559" t="s">
        <v>11</v>
      </c>
      <c r="W30" s="1560">
        <f t="shared" si="14"/>
        <v>100</v>
      </c>
      <c r="X30" s="1553"/>
      <c r="Y30" s="340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1"/>
      <c r="Q31" s="1558">
        <f t="shared" si="11"/>
        <v>111</v>
      </c>
      <c r="R31" s="1559" t="s">
        <v>11</v>
      </c>
      <c r="S31" s="1560">
        <f t="shared" si="12"/>
        <v>100</v>
      </c>
      <c r="T31" s="1559" t="s">
        <v>11</v>
      </c>
      <c r="U31" s="1560">
        <f t="shared" si="13"/>
        <v>100</v>
      </c>
      <c r="V31" s="1559" t="s">
        <v>11</v>
      </c>
      <c r="W31" s="1560">
        <f t="shared" si="14"/>
        <v>100</v>
      </c>
      <c r="X31" s="1553"/>
      <c r="Y31" s="3401"/>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2" t="s">
        <v>550</v>
      </c>
      <c r="Q32" s="1558" t="str">
        <f t="shared" si="11"/>
        <v>建筑类型</v>
      </c>
      <c r="R32" s="1559" t="s">
        <v>11</v>
      </c>
      <c r="S32" s="1560">
        <f t="shared" si="12"/>
        <v>100</v>
      </c>
      <c r="T32" s="1559" t="s">
        <v>11</v>
      </c>
      <c r="U32" s="1560">
        <f t="shared" si="13"/>
        <v>100</v>
      </c>
      <c r="V32" s="1559" t="s">
        <v>11</v>
      </c>
      <c r="W32" s="1560">
        <f t="shared" si="14"/>
        <v>100</v>
      </c>
      <c r="X32" s="1553"/>
      <c r="Y32" s="3403"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3"/>
      <c r="Q33" s="1590" t="str">
        <f t="shared" si="11"/>
        <v>项目建筑规模</v>
      </c>
      <c r="R33" s="1563" t="s">
        <v>11</v>
      </c>
      <c r="S33" s="1564" t="e">
        <f t="shared" si="12"/>
        <v>#N/A</v>
      </c>
      <c r="T33" s="1563" t="s">
        <v>11</v>
      </c>
      <c r="U33" s="1564" t="e">
        <f t="shared" si="13"/>
        <v>#N/A</v>
      </c>
      <c r="V33" s="1563" t="s">
        <v>11</v>
      </c>
      <c r="W33" s="1564" t="e">
        <f t="shared" si="14"/>
        <v>#N/A</v>
      </c>
      <c r="X33" s="1565"/>
      <c r="Y33" s="340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3"/>
      <c r="Q34" s="1558" t="str">
        <f t="shared" si="11"/>
        <v>建筑结构</v>
      </c>
      <c r="R34" s="1559" t="s">
        <v>11</v>
      </c>
      <c r="S34" s="1560">
        <f t="shared" si="12"/>
        <v>100</v>
      </c>
      <c r="T34" s="1559" t="s">
        <v>11</v>
      </c>
      <c r="U34" s="1560">
        <f t="shared" si="13"/>
        <v>100</v>
      </c>
      <c r="V34" s="1559" t="s">
        <v>11</v>
      </c>
      <c r="W34" s="1560">
        <f t="shared" si="14"/>
        <v>100</v>
      </c>
      <c r="X34" s="1553"/>
      <c r="Y34" s="3403"/>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3"/>
      <c r="Q35" s="1558" t="str">
        <f t="shared" si="11"/>
        <v>建筑品质</v>
      </c>
      <c r="R35" s="1559" t="s">
        <v>11</v>
      </c>
      <c r="S35" s="1560">
        <f t="shared" si="12"/>
        <v>100</v>
      </c>
      <c r="T35" s="1559" t="s">
        <v>11</v>
      </c>
      <c r="U35" s="1560">
        <f t="shared" si="13"/>
        <v>100</v>
      </c>
      <c r="V35" s="1559" t="s">
        <v>11</v>
      </c>
      <c r="W35" s="1560">
        <f t="shared" si="14"/>
        <v>100</v>
      </c>
      <c r="X35" s="1553"/>
      <c r="Y35" s="3403"/>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3"/>
      <c r="Q36" s="1558" t="str">
        <f t="shared" si="11"/>
        <v>公共部分装修</v>
      </c>
      <c r="R36" s="1559" t="s">
        <v>11</v>
      </c>
      <c r="S36" s="1560">
        <f t="shared" si="12"/>
        <v>100</v>
      </c>
      <c r="T36" s="1559" t="s">
        <v>11</v>
      </c>
      <c r="U36" s="1560">
        <f t="shared" si="13"/>
        <v>100</v>
      </c>
      <c r="V36" s="1559" t="s">
        <v>11</v>
      </c>
      <c r="W36" s="1560">
        <f t="shared" si="14"/>
        <v>100</v>
      </c>
      <c r="X36" s="1553"/>
      <c r="Y36" s="3403"/>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3"/>
      <c r="Q37" s="1147" t="str">
        <f t="shared" si="11"/>
        <v>成新度</v>
      </c>
      <c r="R37" s="1554" t="s">
        <v>11</v>
      </c>
      <c r="S37" s="1555" t="e">
        <f t="shared" si="12"/>
        <v>#N/A</v>
      </c>
      <c r="T37" s="1554" t="s">
        <v>11</v>
      </c>
      <c r="U37" s="1555" t="e">
        <f t="shared" si="13"/>
        <v>#N/A</v>
      </c>
      <c r="V37" s="1554" t="s">
        <v>11</v>
      </c>
      <c r="W37" s="1555" t="e">
        <f t="shared" si="14"/>
        <v>#N/A</v>
      </c>
      <c r="X37" s="1556"/>
      <c r="Y37" s="3403"/>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3" t="s">
        <v>550</v>
      </c>
      <c r="Q38" s="1558" t="str">
        <f t="shared" si="11"/>
        <v>物业管理</v>
      </c>
      <c r="R38" s="1559" t="s">
        <v>11</v>
      </c>
      <c r="S38" s="1560">
        <f t="shared" si="12"/>
        <v>100</v>
      </c>
      <c r="T38" s="1559" t="s">
        <v>11</v>
      </c>
      <c r="U38" s="1560">
        <f t="shared" si="13"/>
        <v>100</v>
      </c>
      <c r="V38" s="1559" t="s">
        <v>11</v>
      </c>
      <c r="W38" s="1560">
        <f t="shared" si="14"/>
        <v>100</v>
      </c>
      <c r="X38" s="1553"/>
      <c r="Y38" s="3403"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3"/>
      <c r="Q39" s="1558" t="str">
        <f t="shared" si="11"/>
        <v>市政基础设施</v>
      </c>
      <c r="R39" s="1559" t="s">
        <v>11</v>
      </c>
      <c r="S39" s="1560">
        <f t="shared" si="12"/>
        <v>100</v>
      </c>
      <c r="T39" s="1559" t="s">
        <v>11</v>
      </c>
      <c r="U39" s="1560">
        <f t="shared" si="13"/>
        <v>100</v>
      </c>
      <c r="V39" s="1559" t="s">
        <v>11</v>
      </c>
      <c r="W39" s="1560">
        <f t="shared" si="14"/>
        <v>100</v>
      </c>
      <c r="X39" s="1553"/>
      <c r="Y39" s="3403"/>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3"/>
      <c r="Q40" s="1558" t="str">
        <f t="shared" si="11"/>
        <v>房型</v>
      </c>
      <c r="R40" s="1559" t="s">
        <v>11</v>
      </c>
      <c r="S40" s="1560">
        <f t="shared" si="12"/>
        <v>100</v>
      </c>
      <c r="T40" s="1559" t="s">
        <v>11</v>
      </c>
      <c r="U40" s="1560">
        <f t="shared" si="13"/>
        <v>100</v>
      </c>
      <c r="V40" s="1559" t="s">
        <v>11</v>
      </c>
      <c r="W40" s="1560">
        <f t="shared" si="14"/>
        <v>100</v>
      </c>
      <c r="X40" s="1553"/>
      <c r="Y40" s="3403"/>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3"/>
      <c r="Q41" s="1590" t="str">
        <f t="shared" si="11"/>
        <v>单套/主力户型建筑面积</v>
      </c>
      <c r="R41" s="1563" t="s">
        <v>11</v>
      </c>
      <c r="S41" s="1564">
        <f t="shared" si="12"/>
        <v>100</v>
      </c>
      <c r="T41" s="1563" t="s">
        <v>11</v>
      </c>
      <c r="U41" s="1564">
        <f t="shared" si="13"/>
        <v>100</v>
      </c>
      <c r="V41" s="1563" t="s">
        <v>11</v>
      </c>
      <c r="W41" s="1564">
        <f t="shared" si="14"/>
        <v>100</v>
      </c>
      <c r="X41" s="1565"/>
      <c r="Y41" s="3403"/>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3"/>
      <c r="Q42" s="1558" t="str">
        <f t="shared" si="11"/>
        <v>内部装修</v>
      </c>
      <c r="R42" s="1559" t="s">
        <v>11</v>
      </c>
      <c r="S42" s="1560">
        <f t="shared" si="12"/>
        <v>100</v>
      </c>
      <c r="T42" s="1559" t="s">
        <v>11</v>
      </c>
      <c r="U42" s="1560">
        <f t="shared" si="13"/>
        <v>100</v>
      </c>
      <c r="V42" s="1559" t="s">
        <v>11</v>
      </c>
      <c r="W42" s="1560">
        <f t="shared" si="14"/>
        <v>100</v>
      </c>
      <c r="X42" s="1553"/>
      <c r="Y42" s="3403"/>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3"/>
      <c r="Q43" s="1558" t="str">
        <f t="shared" si="11"/>
        <v>内部装修维护情况</v>
      </c>
      <c r="R43" s="1559" t="s">
        <v>11</v>
      </c>
      <c r="S43" s="1560">
        <f t="shared" si="12"/>
        <v>100</v>
      </c>
      <c r="T43" s="1559" t="s">
        <v>11</v>
      </c>
      <c r="U43" s="1560">
        <f t="shared" si="13"/>
        <v>100</v>
      </c>
      <c r="V43" s="1559" t="s">
        <v>11</v>
      </c>
      <c r="W43" s="1560">
        <f t="shared" si="14"/>
        <v>100</v>
      </c>
      <c r="X43" s="1553"/>
      <c r="Y43" s="340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3"/>
      <c r="Q44" s="1147">
        <f t="shared" si="11"/>
        <v>111</v>
      </c>
      <c r="R44" s="1554" t="s">
        <v>11</v>
      </c>
      <c r="S44" s="1555">
        <f t="shared" si="12"/>
        <v>100</v>
      </c>
      <c r="T44" s="1554" t="s">
        <v>11</v>
      </c>
      <c r="U44" s="1555">
        <f t="shared" si="13"/>
        <v>100</v>
      </c>
      <c r="V44" s="1554" t="s">
        <v>11</v>
      </c>
      <c r="W44" s="1555">
        <f t="shared" si="14"/>
        <v>100</v>
      </c>
      <c r="X44" s="1556"/>
      <c r="Y44" s="340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3"/>
      <c r="Q45" s="1558">
        <f t="shared" si="11"/>
        <v>111</v>
      </c>
      <c r="R45" s="1559" t="s">
        <v>11</v>
      </c>
      <c r="S45" s="1560">
        <f t="shared" si="12"/>
        <v>100</v>
      </c>
      <c r="T45" s="1559" t="s">
        <v>11</v>
      </c>
      <c r="U45" s="1560">
        <f t="shared" si="13"/>
        <v>100</v>
      </c>
      <c r="V45" s="1559" t="s">
        <v>11</v>
      </c>
      <c r="W45" s="1560">
        <f t="shared" si="14"/>
        <v>100</v>
      </c>
      <c r="X45" s="1553"/>
      <c r="Y45" s="3403"/>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6" t="str">
        <f>A47</f>
        <v>成交单价（元/平方米）</v>
      </c>
      <c r="Q47" s="3366"/>
      <c r="R47" s="3483">
        <f>E47</f>
        <v>0</v>
      </c>
      <c r="S47" s="3483"/>
      <c r="T47" s="3483">
        <f>G47</f>
        <v>0</v>
      </c>
      <c r="U47" s="3483"/>
      <c r="V47" s="3483">
        <f>I47</f>
        <v>0</v>
      </c>
      <c r="W47" s="3483"/>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3"/>
      <c r="L49" s="2129"/>
      <c r="M49" s="2130"/>
      <c r="N49" s="2130"/>
      <c r="O49" s="2130"/>
      <c r="P49" s="3363" t="str">
        <f>A49</f>
        <v>估价对象XX用房的比较价格（楼面单价，元/平方米）</v>
      </c>
      <c r="Q49" s="3364"/>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2" t="s">
        <v>522</v>
      </c>
      <c r="D4" s="3373"/>
      <c r="E4" s="3406" t="s">
        <v>523</v>
      </c>
      <c r="F4" s="3407"/>
      <c r="G4" s="3372" t="s">
        <v>524</v>
      </c>
      <c r="H4" s="3373"/>
      <c r="I4" s="3372" t="s">
        <v>525</v>
      </c>
      <c r="J4" s="3373"/>
      <c r="K4" s="514" t="s">
        <v>526</v>
      </c>
      <c r="L4" s="2118"/>
      <c r="M4" s="2119"/>
      <c r="N4" s="2119"/>
      <c r="O4" s="2119"/>
      <c r="P4" s="3374" t="s">
        <v>527</v>
      </c>
      <c r="Q4" s="3375"/>
      <c r="R4" s="3380" t="s">
        <v>523</v>
      </c>
      <c r="S4" s="3381"/>
      <c r="T4" s="3380" t="s">
        <v>524</v>
      </c>
      <c r="U4" s="3381"/>
      <c r="V4" s="3367" t="s">
        <v>525</v>
      </c>
      <c r="W4" s="3367"/>
      <c r="X4" s="1553"/>
      <c r="Y4" s="3380" t="s">
        <v>527</v>
      </c>
      <c r="Z4" s="3381"/>
      <c r="AA4" s="3369" t="s">
        <v>523</v>
      </c>
      <c r="AB4" s="3367" t="s">
        <v>524</v>
      </c>
      <c r="AC4" s="3369" t="s">
        <v>525</v>
      </c>
    </row>
    <row r="5" spans="1:29" ht="15">
      <c r="A5" s="515"/>
      <c r="B5" s="516"/>
      <c r="C5" s="3388" t="s">
        <v>2928</v>
      </c>
      <c r="D5" s="3389"/>
      <c r="E5" s="3408" t="s">
        <v>2929</v>
      </c>
      <c r="F5" s="3409"/>
      <c r="G5" s="3388" t="s">
        <v>2930</v>
      </c>
      <c r="H5" s="3389"/>
      <c r="I5" s="3388" t="s">
        <v>2931</v>
      </c>
      <c r="J5" s="3389"/>
      <c r="K5" s="514"/>
      <c r="L5" s="2118"/>
      <c r="M5" s="2119"/>
      <c r="N5" s="2119"/>
      <c r="O5" s="2119"/>
      <c r="P5" s="3376"/>
      <c r="Q5" s="3377"/>
      <c r="R5" s="3382"/>
      <c r="S5" s="3383"/>
      <c r="T5" s="3382"/>
      <c r="U5" s="3383"/>
      <c r="V5" s="3367"/>
      <c r="W5" s="3367"/>
      <c r="X5" s="1553"/>
      <c r="Y5" s="3382"/>
      <c r="Z5" s="3383"/>
      <c r="AA5" s="3370"/>
      <c r="AB5" s="3367"/>
      <c r="AC5" s="3370"/>
    </row>
    <row r="6" spans="1:29" ht="15.75" thickBot="1">
      <c r="A6" s="517"/>
      <c r="B6" s="518"/>
      <c r="C6" s="3386" t="s">
        <v>2932</v>
      </c>
      <c r="D6" s="3387"/>
      <c r="E6" s="3404" t="s">
        <v>2932</v>
      </c>
      <c r="F6" s="3405"/>
      <c r="G6" s="3386" t="s">
        <v>2932</v>
      </c>
      <c r="H6" s="3387"/>
      <c r="I6" s="3386" t="s">
        <v>2932</v>
      </c>
      <c r="J6" s="3387"/>
      <c r="K6" s="514" t="s">
        <v>528</v>
      </c>
      <c r="L6" s="2118"/>
      <c r="M6" s="2119"/>
      <c r="N6" s="2119"/>
      <c r="O6" s="2119"/>
      <c r="P6" s="3378"/>
      <c r="Q6" s="3379"/>
      <c r="R6" s="3382"/>
      <c r="S6" s="3383"/>
      <c r="T6" s="3384"/>
      <c r="U6" s="3385"/>
      <c r="V6" s="3367"/>
      <c r="W6" s="3367"/>
      <c r="X6" s="1553"/>
      <c r="Y6" s="3384"/>
      <c r="Z6" s="3385"/>
      <c r="AA6" s="3371"/>
      <c r="AB6" s="3367"/>
      <c r="AC6" s="3371"/>
    </row>
    <row r="7" spans="1:29" s="1216" customFormat="1" ht="15.75" thickBot="1">
      <c r="A7" s="2867"/>
      <c r="B7" s="2874" t="s">
        <v>529</v>
      </c>
      <c r="C7" s="519">
        <f>'数据-取费表'!B2</f>
        <v>43572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7" t="s">
        <v>530</v>
      </c>
      <c r="Q7" s="3399"/>
      <c r="R7" s="1554" t="s">
        <v>8</v>
      </c>
      <c r="S7" s="1555">
        <f t="shared" ref="S7:S15" si="0">F7</f>
        <v>0</v>
      </c>
      <c r="T7" s="1554" t="s">
        <v>8</v>
      </c>
      <c r="U7" s="1555">
        <f t="shared" ref="U7:U15" si="1">H7</f>
        <v>0</v>
      </c>
      <c r="V7" s="1554" t="s">
        <v>8</v>
      </c>
      <c r="W7" s="1555">
        <f t="shared" ref="W7:W15" si="2">J7</f>
        <v>0</v>
      </c>
      <c r="X7" s="1556"/>
      <c r="Y7" s="3397" t="s">
        <v>530</v>
      </c>
      <c r="Z7" s="3398"/>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6"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6"/>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6"/>
      <c r="Q11" s="1147" t="str">
        <f t="shared" si="6"/>
        <v>容积率</v>
      </c>
      <c r="R11" s="1554" t="s">
        <v>8</v>
      </c>
      <c r="S11" s="1555" t="e">
        <f t="shared" si="0"/>
        <v>#N/A</v>
      </c>
      <c r="T11" s="1554" t="s">
        <v>8</v>
      </c>
      <c r="U11" s="1555" t="e">
        <f t="shared" si="1"/>
        <v>#N/A</v>
      </c>
      <c r="V11" s="1554" t="s">
        <v>8</v>
      </c>
      <c r="W11" s="1555" t="e">
        <f t="shared" si="2"/>
        <v>#N/A</v>
      </c>
      <c r="X11" s="1556"/>
      <c r="Y11" s="331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6"/>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6"/>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6"/>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 t="shared" si="3"/>
        <v>1</v>
      </c>
      <c r="AB14" s="1557">
        <f t="shared" si="4"/>
        <v>1</v>
      </c>
      <c r="AC14" s="1557">
        <f t="shared" si="5"/>
        <v>1</v>
      </c>
    </row>
    <row r="15" spans="1:29" ht="71.25">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0" t="s">
        <v>540</v>
      </c>
      <c r="Q15" s="1558" t="str">
        <f t="shared" si="6"/>
        <v>商业繁华度</v>
      </c>
      <c r="R15" s="1559" t="s">
        <v>8</v>
      </c>
      <c r="S15" s="1560">
        <f t="shared" si="0"/>
        <v>100</v>
      </c>
      <c r="T15" s="1559" t="s">
        <v>8</v>
      </c>
      <c r="U15" s="1560">
        <f t="shared" si="1"/>
        <v>100</v>
      </c>
      <c r="V15" s="1559" t="s">
        <v>8</v>
      </c>
      <c r="W15" s="1560">
        <f t="shared" si="2"/>
        <v>100</v>
      </c>
      <c r="X15" s="1553"/>
      <c r="Y15" s="3400"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1"/>
      <c r="Q16" s="1558"/>
      <c r="R16" s="1559"/>
      <c r="S16" s="1560"/>
      <c r="T16" s="1559"/>
      <c r="U16" s="1560"/>
      <c r="V16" s="1559"/>
      <c r="W16" s="1560"/>
      <c r="X16" s="1553"/>
      <c r="Y16" s="340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1"/>
      <c r="Q17" s="1558" t="str">
        <f>B17</f>
        <v>交通便捷度</v>
      </c>
      <c r="R17" s="1559" t="s">
        <v>8</v>
      </c>
      <c r="S17" s="1560">
        <f>F17</f>
        <v>100</v>
      </c>
      <c r="T17" s="1559" t="s">
        <v>8</v>
      </c>
      <c r="U17" s="1560">
        <f>H17</f>
        <v>100</v>
      </c>
      <c r="V17" s="1559" t="s">
        <v>8</v>
      </c>
      <c r="W17" s="1560">
        <f>J17</f>
        <v>100</v>
      </c>
      <c r="X17" s="1553"/>
      <c r="Y17" s="340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1"/>
      <c r="Q18" s="1558"/>
      <c r="R18" s="1559"/>
      <c r="S18" s="1560"/>
      <c r="T18" s="1559"/>
      <c r="U18" s="1560"/>
      <c r="V18" s="1559"/>
      <c r="W18" s="1560"/>
      <c r="X18" s="1553"/>
      <c r="Y18" s="3401"/>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1"/>
      <c r="Q19" s="1558" t="str">
        <f>B19</f>
        <v>公共配套设施</v>
      </c>
      <c r="R19" s="1559" t="s">
        <v>8</v>
      </c>
      <c r="S19" s="1560">
        <f>F19</f>
        <v>100</v>
      </c>
      <c r="T19" s="1559" t="s">
        <v>8</v>
      </c>
      <c r="U19" s="1560">
        <f>H19</f>
        <v>100</v>
      </c>
      <c r="V19" s="1559" t="s">
        <v>8</v>
      </c>
      <c r="W19" s="1560">
        <f>J19</f>
        <v>100</v>
      </c>
      <c r="X19" s="1553"/>
      <c r="Y19" s="340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1"/>
      <c r="Q20" s="1558"/>
      <c r="R20" s="1559"/>
      <c r="S20" s="1560"/>
      <c r="T20" s="1559"/>
      <c r="U20" s="1560"/>
      <c r="V20" s="1559"/>
      <c r="W20" s="1560"/>
      <c r="X20" s="1553"/>
      <c r="Y20" s="3401"/>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1"/>
      <c r="Q21" s="2543" t="str">
        <f>B21</f>
        <v>基础设施水平</v>
      </c>
      <c r="R21" s="1559" t="s">
        <v>8</v>
      </c>
      <c r="S21" s="1560">
        <f>F21</f>
        <v>100</v>
      </c>
      <c r="T21" s="1559" t="s">
        <v>8</v>
      </c>
      <c r="U21" s="1560">
        <f>H21</f>
        <v>100</v>
      </c>
      <c r="V21" s="1559" t="s">
        <v>8</v>
      </c>
      <c r="W21" s="1560">
        <f>J21</f>
        <v>100</v>
      </c>
      <c r="X21" s="2545"/>
      <c r="Y21" s="3401"/>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01"/>
      <c r="Q22" s="2543"/>
      <c r="R22" s="1559"/>
      <c r="S22" s="1560"/>
      <c r="T22" s="1559"/>
      <c r="U22" s="1560"/>
      <c r="V22" s="1559"/>
      <c r="W22" s="1560"/>
      <c r="X22" s="2545"/>
      <c r="Y22" s="3401"/>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1"/>
      <c r="Q23" s="1558" t="str">
        <f>B23</f>
        <v>自然及人文环境</v>
      </c>
      <c r="R23" s="1559" t="s">
        <v>8</v>
      </c>
      <c r="S23" s="1560">
        <f>F23</f>
        <v>100</v>
      </c>
      <c r="T23" s="1559" t="s">
        <v>8</v>
      </c>
      <c r="U23" s="1560">
        <f>H23</f>
        <v>100</v>
      </c>
      <c r="V23" s="1559" t="s">
        <v>8</v>
      </c>
      <c r="W23" s="1560">
        <f>J23</f>
        <v>100</v>
      </c>
      <c r="X23" s="1553"/>
      <c r="Y23" s="340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1"/>
      <c r="Q24" s="1558"/>
      <c r="R24" s="1559"/>
      <c r="S24" s="1560"/>
      <c r="T24" s="1559"/>
      <c r="U24" s="1560"/>
      <c r="V24" s="1559"/>
      <c r="W24" s="1560"/>
      <c r="X24" s="1553"/>
      <c r="Y24" s="340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1"/>
      <c r="Q25" s="1558" t="str">
        <f t="shared" ref="Q25:Q46" si="11">B25</f>
        <v>临街状况</v>
      </c>
      <c r="R25" s="1559" t="s">
        <v>8</v>
      </c>
      <c r="S25" s="1560">
        <f>F25</f>
        <v>100</v>
      </c>
      <c r="T25" s="1559" t="s">
        <v>8</v>
      </c>
      <c r="U25" s="1560">
        <f>H25</f>
        <v>100</v>
      </c>
      <c r="V25" s="1559" t="s">
        <v>8</v>
      </c>
      <c r="W25" s="1560">
        <f>J25</f>
        <v>100</v>
      </c>
      <c r="X25" s="1553"/>
      <c r="Y25" s="3401"/>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1"/>
      <c r="Q26" s="1558" t="str">
        <f t="shared" si="11"/>
        <v>平面位置/可视性</v>
      </c>
      <c r="R26" s="1559" t="s">
        <v>8</v>
      </c>
      <c r="S26" s="1560">
        <f>F26</f>
        <v>100</v>
      </c>
      <c r="T26" s="1559" t="s">
        <v>8</v>
      </c>
      <c r="U26" s="1560">
        <f>H26</f>
        <v>100</v>
      </c>
      <c r="V26" s="1559" t="s">
        <v>8</v>
      </c>
      <c r="W26" s="1560">
        <f>J26</f>
        <v>100</v>
      </c>
      <c r="X26" s="1553"/>
      <c r="Y26" s="3401"/>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1"/>
      <c r="Q27" s="1147" t="str">
        <f t="shared" si="11"/>
        <v>人流量</v>
      </c>
      <c r="R27" s="1554" t="s">
        <v>8</v>
      </c>
      <c r="S27" s="1555">
        <f>F27</f>
        <v>100</v>
      </c>
      <c r="T27" s="1554" t="s">
        <v>8</v>
      </c>
      <c r="U27" s="1555">
        <f>H27</f>
        <v>100</v>
      </c>
      <c r="V27" s="1554" t="s">
        <v>8</v>
      </c>
      <c r="W27" s="1555">
        <f>J27</f>
        <v>100</v>
      </c>
      <c r="X27" s="1556"/>
      <c r="Y27" s="3401"/>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1"/>
      <c r="Q29" s="1558">
        <f t="shared" si="11"/>
        <v>111</v>
      </c>
      <c r="R29" s="1559" t="s">
        <v>8</v>
      </c>
      <c r="S29" s="1560">
        <f t="shared" si="12"/>
        <v>100</v>
      </c>
      <c r="T29" s="1559" t="s">
        <v>8</v>
      </c>
      <c r="U29" s="1560">
        <f t="shared" si="13"/>
        <v>100</v>
      </c>
      <c r="V29" s="1559" t="s">
        <v>8</v>
      </c>
      <c r="W29" s="1560">
        <f t="shared" si="14"/>
        <v>100</v>
      </c>
      <c r="X29" s="1553"/>
      <c r="Y29" s="340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1"/>
      <c r="Q30" s="1558">
        <f t="shared" si="11"/>
        <v>111</v>
      </c>
      <c r="R30" s="1559" t="s">
        <v>8</v>
      </c>
      <c r="S30" s="1560">
        <f t="shared" si="12"/>
        <v>100</v>
      </c>
      <c r="T30" s="1559" t="s">
        <v>8</v>
      </c>
      <c r="U30" s="1560">
        <f t="shared" si="13"/>
        <v>100</v>
      </c>
      <c r="V30" s="1559" t="s">
        <v>8</v>
      </c>
      <c r="W30" s="1560">
        <f t="shared" si="14"/>
        <v>100</v>
      </c>
      <c r="X30" s="1553"/>
      <c r="Y30" s="340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1"/>
      <c r="Q31" s="1558">
        <f t="shared" si="11"/>
        <v>111</v>
      </c>
      <c r="R31" s="1559" t="s">
        <v>8</v>
      </c>
      <c r="S31" s="1560">
        <f t="shared" si="12"/>
        <v>100</v>
      </c>
      <c r="T31" s="1559" t="s">
        <v>8</v>
      </c>
      <c r="U31" s="1560">
        <f t="shared" si="13"/>
        <v>100</v>
      </c>
      <c r="V31" s="1559" t="s">
        <v>8</v>
      </c>
      <c r="W31" s="1560">
        <f t="shared" si="14"/>
        <v>100</v>
      </c>
      <c r="X31" s="1553"/>
      <c r="Y31" s="3401"/>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2" t="s">
        <v>550</v>
      </c>
      <c r="Q32" s="1558" t="str">
        <f t="shared" si="11"/>
        <v>商业类型</v>
      </c>
      <c r="R32" s="1559" t="s">
        <v>8</v>
      </c>
      <c r="S32" s="1560">
        <f t="shared" si="12"/>
        <v>100</v>
      </c>
      <c r="T32" s="1559" t="s">
        <v>8</v>
      </c>
      <c r="U32" s="1560">
        <f t="shared" si="13"/>
        <v>100</v>
      </c>
      <c r="V32" s="1559" t="s">
        <v>8</v>
      </c>
      <c r="W32" s="1560">
        <f t="shared" si="14"/>
        <v>100</v>
      </c>
      <c r="X32" s="1553"/>
      <c r="Y32" s="3403"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3"/>
      <c r="Q33" s="1590" t="str">
        <f t="shared" si="11"/>
        <v>项目建筑规模</v>
      </c>
      <c r="R33" s="1563" t="s">
        <v>8</v>
      </c>
      <c r="S33" s="1564" t="e">
        <f t="shared" si="12"/>
        <v>#N/A</v>
      </c>
      <c r="T33" s="1563" t="s">
        <v>8</v>
      </c>
      <c r="U33" s="1564" t="e">
        <f t="shared" si="13"/>
        <v>#N/A</v>
      </c>
      <c r="V33" s="1563" t="s">
        <v>8</v>
      </c>
      <c r="W33" s="1564" t="e">
        <f t="shared" si="14"/>
        <v>#N/A</v>
      </c>
      <c r="X33" s="1565"/>
      <c r="Y33" s="3403"/>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3"/>
      <c r="Q34" s="1558" t="str">
        <f t="shared" si="11"/>
        <v>建筑结构</v>
      </c>
      <c r="R34" s="1559" t="s">
        <v>8</v>
      </c>
      <c r="S34" s="1560">
        <f t="shared" si="12"/>
        <v>100</v>
      </c>
      <c r="T34" s="1559" t="s">
        <v>8</v>
      </c>
      <c r="U34" s="1560">
        <f t="shared" si="13"/>
        <v>100</v>
      </c>
      <c r="V34" s="1559" t="s">
        <v>8</v>
      </c>
      <c r="W34" s="1560">
        <f t="shared" si="14"/>
        <v>100</v>
      </c>
      <c r="X34" s="1553"/>
      <c r="Y34" s="3403"/>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3"/>
      <c r="Q35" s="1558" t="str">
        <f t="shared" si="11"/>
        <v>公共部分装修</v>
      </c>
      <c r="R35" s="1559" t="s">
        <v>8</v>
      </c>
      <c r="S35" s="1560">
        <f t="shared" si="12"/>
        <v>100</v>
      </c>
      <c r="T35" s="1559" t="s">
        <v>8</v>
      </c>
      <c r="U35" s="1560">
        <f t="shared" si="13"/>
        <v>100</v>
      </c>
      <c r="V35" s="1559" t="s">
        <v>8</v>
      </c>
      <c r="W35" s="1560">
        <f t="shared" si="14"/>
        <v>100</v>
      </c>
      <c r="X35" s="1553"/>
      <c r="Y35" s="3403"/>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3"/>
      <c r="Q36" s="1558" t="str">
        <f t="shared" si="11"/>
        <v>成新度</v>
      </c>
      <c r="R36" s="1559" t="s">
        <v>8</v>
      </c>
      <c r="S36" s="1560" t="e">
        <f t="shared" si="12"/>
        <v>#N/A</v>
      </c>
      <c r="T36" s="1559" t="s">
        <v>8</v>
      </c>
      <c r="U36" s="1560" t="e">
        <f t="shared" si="13"/>
        <v>#N/A</v>
      </c>
      <c r="V36" s="1559" t="s">
        <v>8</v>
      </c>
      <c r="W36" s="1560" t="e">
        <f t="shared" si="14"/>
        <v>#N/A</v>
      </c>
      <c r="X36" s="1553"/>
      <c r="Y36" s="3403"/>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3"/>
      <c r="Q37" s="1147" t="str">
        <f t="shared" si="11"/>
        <v>市政基础设施</v>
      </c>
      <c r="R37" s="1554" t="s">
        <v>8</v>
      </c>
      <c r="S37" s="1555">
        <f t="shared" si="12"/>
        <v>100</v>
      </c>
      <c r="T37" s="1554" t="s">
        <v>8</v>
      </c>
      <c r="U37" s="1555">
        <f t="shared" si="13"/>
        <v>100</v>
      </c>
      <c r="V37" s="1554" t="s">
        <v>8</v>
      </c>
      <c r="W37" s="1555">
        <f t="shared" si="14"/>
        <v>100</v>
      </c>
      <c r="X37" s="1556"/>
      <c r="Y37" s="3403"/>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3" t="s">
        <v>766</v>
      </c>
      <c r="Q38" s="1558" t="str">
        <f t="shared" si="11"/>
        <v>业态</v>
      </c>
      <c r="R38" s="1559" t="s">
        <v>8</v>
      </c>
      <c r="S38" s="1560">
        <f t="shared" si="12"/>
        <v>100</v>
      </c>
      <c r="T38" s="1559" t="s">
        <v>8</v>
      </c>
      <c r="U38" s="1560">
        <f t="shared" si="13"/>
        <v>100</v>
      </c>
      <c r="V38" s="1559" t="s">
        <v>8</v>
      </c>
      <c r="W38" s="1560">
        <f t="shared" si="14"/>
        <v>100</v>
      </c>
      <c r="X38" s="1553"/>
      <c r="Y38" s="3403"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3"/>
      <c r="Q39" s="1558" t="str">
        <f t="shared" si="11"/>
        <v>层高</v>
      </c>
      <c r="R39" s="1559" t="s">
        <v>8</v>
      </c>
      <c r="S39" s="1560">
        <f t="shared" si="12"/>
        <v>100</v>
      </c>
      <c r="T39" s="1559" t="s">
        <v>8</v>
      </c>
      <c r="U39" s="1560">
        <f t="shared" si="13"/>
        <v>100</v>
      </c>
      <c r="V39" s="1559" t="s">
        <v>8</v>
      </c>
      <c r="W39" s="1560">
        <f t="shared" si="14"/>
        <v>100</v>
      </c>
      <c r="X39" s="1553"/>
      <c r="Y39" s="3403"/>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3"/>
      <c r="Q40" s="1558" t="str">
        <f t="shared" si="11"/>
        <v>单套建筑面积</v>
      </c>
      <c r="R40" s="1559" t="s">
        <v>8</v>
      </c>
      <c r="S40" s="1560">
        <f t="shared" si="12"/>
        <v>100</v>
      </c>
      <c r="T40" s="1559" t="s">
        <v>8</v>
      </c>
      <c r="U40" s="1560">
        <f t="shared" si="13"/>
        <v>100</v>
      </c>
      <c r="V40" s="1559" t="s">
        <v>8</v>
      </c>
      <c r="W40" s="1560">
        <f t="shared" si="14"/>
        <v>100</v>
      </c>
      <c r="X40" s="1553"/>
      <c r="Y40" s="3403"/>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3"/>
      <c r="Q41" s="1590" t="str">
        <f t="shared" si="11"/>
        <v>进深比</v>
      </c>
      <c r="R41" s="1563" t="s">
        <v>8</v>
      </c>
      <c r="S41" s="1564">
        <f t="shared" si="12"/>
        <v>100</v>
      </c>
      <c r="T41" s="1563" t="s">
        <v>8</v>
      </c>
      <c r="U41" s="1564">
        <f t="shared" si="13"/>
        <v>100</v>
      </c>
      <c r="V41" s="1563" t="s">
        <v>8</v>
      </c>
      <c r="W41" s="1564">
        <f t="shared" si="14"/>
        <v>100</v>
      </c>
      <c r="X41" s="1565"/>
      <c r="Y41" s="3403"/>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3"/>
      <c r="Q42" s="1558" t="str">
        <f t="shared" si="11"/>
        <v>内部装修</v>
      </c>
      <c r="R42" s="1559" t="s">
        <v>8</v>
      </c>
      <c r="S42" s="1560">
        <f t="shared" si="12"/>
        <v>100</v>
      </c>
      <c r="T42" s="1559" t="s">
        <v>8</v>
      </c>
      <c r="U42" s="1560">
        <f t="shared" si="13"/>
        <v>100</v>
      </c>
      <c r="V42" s="1559" t="s">
        <v>8</v>
      </c>
      <c r="W42" s="1560">
        <f t="shared" si="14"/>
        <v>100</v>
      </c>
      <c r="X42" s="1553"/>
      <c r="Y42" s="3403"/>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3"/>
      <c r="Q43" s="1558" t="str">
        <f t="shared" si="11"/>
        <v>内部装修维护情况</v>
      </c>
      <c r="R43" s="1559" t="s">
        <v>8</v>
      </c>
      <c r="S43" s="1560">
        <f t="shared" si="12"/>
        <v>100</v>
      </c>
      <c r="T43" s="1559" t="s">
        <v>8</v>
      </c>
      <c r="U43" s="1560">
        <f t="shared" si="13"/>
        <v>100</v>
      </c>
      <c r="V43" s="1559" t="s">
        <v>8</v>
      </c>
      <c r="W43" s="1560">
        <f t="shared" si="14"/>
        <v>100</v>
      </c>
      <c r="X43" s="1553"/>
      <c r="Y43" s="340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3"/>
      <c r="Q44" s="1147">
        <f t="shared" si="11"/>
        <v>111</v>
      </c>
      <c r="R44" s="1554" t="s">
        <v>8</v>
      </c>
      <c r="S44" s="1555">
        <f t="shared" si="12"/>
        <v>100</v>
      </c>
      <c r="T44" s="1554" t="s">
        <v>8</v>
      </c>
      <c r="U44" s="1555">
        <f t="shared" si="13"/>
        <v>100</v>
      </c>
      <c r="V44" s="1554" t="s">
        <v>8</v>
      </c>
      <c r="W44" s="1555">
        <f t="shared" si="14"/>
        <v>100</v>
      </c>
      <c r="X44" s="1556"/>
      <c r="Y44" s="340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3"/>
      <c r="Q45" s="1558">
        <f t="shared" si="11"/>
        <v>111</v>
      </c>
      <c r="R45" s="1559" t="s">
        <v>8</v>
      </c>
      <c r="S45" s="1560">
        <f t="shared" si="12"/>
        <v>100</v>
      </c>
      <c r="T45" s="1559" t="s">
        <v>8</v>
      </c>
      <c r="U45" s="1560">
        <f t="shared" si="13"/>
        <v>100</v>
      </c>
      <c r="V45" s="1559" t="s">
        <v>8</v>
      </c>
      <c r="W45" s="1560">
        <f t="shared" si="14"/>
        <v>100</v>
      </c>
      <c r="X45" s="1553"/>
      <c r="Y45" s="340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6" t="str">
        <f>A47</f>
        <v>成交单价（元/平方米）</v>
      </c>
      <c r="Q47" s="3366"/>
      <c r="R47" s="3483">
        <f>E47</f>
        <v>0</v>
      </c>
      <c r="S47" s="3483"/>
      <c r="T47" s="3483">
        <f>G47</f>
        <v>0</v>
      </c>
      <c r="U47" s="3483"/>
      <c r="V47" s="3483">
        <f>I47</f>
        <v>0</v>
      </c>
      <c r="W47" s="3483"/>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363" t="str">
        <f>A49</f>
        <v>估价对象XX用房的比较价格（楼面单价，元/平方米）</v>
      </c>
      <c r="Q49" s="3364"/>
      <c r="R49" s="3482" t="e">
        <f>IF(F1="售价",ROUND(AVERAGE(R48:V48),0),ROUND(AVERAGE(R48:V48),1))</f>
        <v>#DIV/0!</v>
      </c>
      <c r="S49" s="3482"/>
      <c r="T49" s="3482"/>
      <c r="U49" s="3482"/>
      <c r="V49" s="3482"/>
      <c r="W49" s="348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2" t="s">
        <v>522</v>
      </c>
      <c r="D4" s="3373"/>
      <c r="E4" s="3406" t="s">
        <v>523</v>
      </c>
      <c r="F4" s="3407"/>
      <c r="G4" s="3372" t="s">
        <v>524</v>
      </c>
      <c r="H4" s="3373"/>
      <c r="I4" s="3372" t="s">
        <v>525</v>
      </c>
      <c r="J4" s="3373"/>
      <c r="K4" s="514" t="s">
        <v>526</v>
      </c>
      <c r="L4" s="2118"/>
      <c r="M4" s="2119"/>
      <c r="N4" s="2119"/>
      <c r="O4" s="2119"/>
      <c r="P4" s="3486" t="s">
        <v>527</v>
      </c>
      <c r="Q4" s="3375"/>
      <c r="R4" s="3380" t="s">
        <v>523</v>
      </c>
      <c r="S4" s="3381"/>
      <c r="T4" s="3380" t="s">
        <v>524</v>
      </c>
      <c r="U4" s="3381"/>
      <c r="V4" s="3367" t="s">
        <v>525</v>
      </c>
      <c r="W4" s="3367"/>
      <c r="X4" s="1553"/>
      <c r="Y4" s="3380" t="s">
        <v>527</v>
      </c>
      <c r="Z4" s="3381"/>
      <c r="AA4" s="3369" t="s">
        <v>523</v>
      </c>
      <c r="AB4" s="3369" t="s">
        <v>524</v>
      </c>
      <c r="AC4" s="3369" t="s">
        <v>525</v>
      </c>
    </row>
    <row r="5" spans="1:29" ht="15">
      <c r="A5" s="515"/>
      <c r="B5" s="516"/>
      <c r="C5" s="3388" t="s">
        <v>2928</v>
      </c>
      <c r="D5" s="3389"/>
      <c r="E5" s="3408" t="s">
        <v>2929</v>
      </c>
      <c r="F5" s="3409"/>
      <c r="G5" s="3388" t="s">
        <v>2930</v>
      </c>
      <c r="H5" s="3389"/>
      <c r="I5" s="3388" t="s">
        <v>2931</v>
      </c>
      <c r="J5" s="3389"/>
      <c r="K5" s="514"/>
      <c r="L5" s="2118"/>
      <c r="M5" s="2119"/>
      <c r="N5" s="2119"/>
      <c r="O5" s="2119"/>
      <c r="P5" s="3487"/>
      <c r="Q5" s="3377"/>
      <c r="R5" s="3382"/>
      <c r="S5" s="3383"/>
      <c r="T5" s="3382"/>
      <c r="U5" s="3383"/>
      <c r="V5" s="3367"/>
      <c r="W5" s="3367"/>
      <c r="X5" s="1553"/>
      <c r="Y5" s="3382"/>
      <c r="Z5" s="3383"/>
      <c r="AA5" s="3370"/>
      <c r="AB5" s="3370"/>
      <c r="AC5" s="3370"/>
    </row>
    <row r="6" spans="1:29" ht="15.75" thickBot="1">
      <c r="A6" s="517"/>
      <c r="B6" s="518"/>
      <c r="C6" s="3386" t="s">
        <v>2932</v>
      </c>
      <c r="D6" s="3387"/>
      <c r="E6" s="3404" t="s">
        <v>2932</v>
      </c>
      <c r="F6" s="3405"/>
      <c r="G6" s="3386" t="s">
        <v>2932</v>
      </c>
      <c r="H6" s="3387"/>
      <c r="I6" s="3386" t="s">
        <v>2932</v>
      </c>
      <c r="J6" s="3387"/>
      <c r="K6" s="514" t="s">
        <v>528</v>
      </c>
      <c r="L6" s="2118"/>
      <c r="M6" s="2119"/>
      <c r="N6" s="2119"/>
      <c r="O6" s="2119"/>
      <c r="P6" s="3488"/>
      <c r="Q6" s="3379"/>
      <c r="R6" s="3382"/>
      <c r="S6" s="3383"/>
      <c r="T6" s="3384"/>
      <c r="U6" s="3385"/>
      <c r="V6" s="3367"/>
      <c r="W6" s="3367"/>
      <c r="X6" s="1553"/>
      <c r="Y6" s="3384"/>
      <c r="Z6" s="3385"/>
      <c r="AA6" s="3371"/>
      <c r="AB6" s="3371"/>
      <c r="AC6" s="3371"/>
    </row>
    <row r="7" spans="1:29" s="1216" customFormat="1" ht="15.75" thickBot="1">
      <c r="A7" s="2867"/>
      <c r="B7" s="2874" t="s">
        <v>529</v>
      </c>
      <c r="C7" s="519">
        <f>'数据-取费表'!B2</f>
        <v>43572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9" t="s">
        <v>530</v>
      </c>
      <c r="Q7" s="3399"/>
      <c r="R7" s="1554" t="s">
        <v>8</v>
      </c>
      <c r="S7" s="1555">
        <f t="shared" ref="S7:S15" si="0">F7</f>
        <v>0</v>
      </c>
      <c r="T7" s="1554" t="s">
        <v>8</v>
      </c>
      <c r="U7" s="1555">
        <f t="shared" ref="U7:U15" si="1">H7</f>
        <v>0</v>
      </c>
      <c r="V7" s="1554" t="s">
        <v>8</v>
      </c>
      <c r="W7" s="1555">
        <f t="shared" ref="W7:W15" si="2">J7</f>
        <v>0</v>
      </c>
      <c r="X7" s="1556"/>
      <c r="Y7" s="3397" t="s">
        <v>530</v>
      </c>
      <c r="Z7" s="3398"/>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9" t="s">
        <v>533</v>
      </c>
      <c r="Q8" s="3398"/>
      <c r="R8" s="1554" t="s">
        <v>8</v>
      </c>
      <c r="S8" s="1555">
        <f t="shared" si="0"/>
        <v>0</v>
      </c>
      <c r="T8" s="1554" t="s">
        <v>8</v>
      </c>
      <c r="U8" s="1555">
        <f t="shared" si="1"/>
        <v>0</v>
      </c>
      <c r="V8" s="1554" t="s">
        <v>8</v>
      </c>
      <c r="W8" s="1555">
        <f t="shared" si="2"/>
        <v>0</v>
      </c>
      <c r="X8" s="1556"/>
      <c r="Y8" s="3397" t="s">
        <v>533</v>
      </c>
      <c r="Z8" s="3398"/>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6"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6"/>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6"/>
      <c r="Q11" s="1147" t="str">
        <f t="shared" si="6"/>
        <v>容积率</v>
      </c>
      <c r="R11" s="1554" t="s">
        <v>8</v>
      </c>
      <c r="S11" s="1555" t="e">
        <f t="shared" si="0"/>
        <v>#N/A</v>
      </c>
      <c r="T11" s="1554" t="s">
        <v>8</v>
      </c>
      <c r="U11" s="1555" t="e">
        <f t="shared" si="1"/>
        <v>#N/A</v>
      </c>
      <c r="V11" s="1554" t="s">
        <v>8</v>
      </c>
      <c r="W11" s="1555" t="e">
        <f t="shared" si="2"/>
        <v>#N/A</v>
      </c>
      <c r="X11" s="1556"/>
      <c r="Y11" s="331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6"/>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6"/>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6"/>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0" t="s">
        <v>540</v>
      </c>
      <c r="Q15" s="1558" t="str">
        <f t="shared" si="6"/>
        <v>办公集聚程度</v>
      </c>
      <c r="R15" s="1559" t="s">
        <v>8</v>
      </c>
      <c r="S15" s="1560">
        <f t="shared" si="0"/>
        <v>100</v>
      </c>
      <c r="T15" s="1559" t="s">
        <v>8</v>
      </c>
      <c r="U15" s="1560">
        <f t="shared" si="1"/>
        <v>100</v>
      </c>
      <c r="V15" s="1559" t="s">
        <v>8</v>
      </c>
      <c r="W15" s="1560">
        <f t="shared" si="2"/>
        <v>100</v>
      </c>
      <c r="X15" s="1553"/>
      <c r="Y15" s="340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1"/>
      <c r="Q16" s="1558"/>
      <c r="R16" s="1559"/>
      <c r="S16" s="1560"/>
      <c r="T16" s="1559"/>
      <c r="U16" s="1560"/>
      <c r="V16" s="1559"/>
      <c r="W16" s="1560"/>
      <c r="X16" s="1553"/>
      <c r="Y16" s="340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1"/>
      <c r="Q17" s="1558" t="str">
        <f>B17</f>
        <v>交通便捷度</v>
      </c>
      <c r="R17" s="1559" t="s">
        <v>8</v>
      </c>
      <c r="S17" s="1560">
        <f>F17</f>
        <v>100</v>
      </c>
      <c r="T17" s="1559" t="s">
        <v>8</v>
      </c>
      <c r="U17" s="1560">
        <f>H17</f>
        <v>100</v>
      </c>
      <c r="V17" s="1559" t="s">
        <v>8</v>
      </c>
      <c r="W17" s="1560">
        <f>J17</f>
        <v>100</v>
      </c>
      <c r="X17" s="1553"/>
      <c r="Y17" s="340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1"/>
      <c r="Q18" s="1558"/>
      <c r="R18" s="1559"/>
      <c r="S18" s="1560"/>
      <c r="T18" s="1559"/>
      <c r="U18" s="1560"/>
      <c r="V18" s="1559"/>
      <c r="W18" s="1560"/>
      <c r="X18" s="1553"/>
      <c r="Y18" s="3401"/>
      <c r="Z18" s="1561"/>
      <c r="AA18" s="1562">
        <v>1</v>
      </c>
      <c r="AB18" s="1562">
        <v>1</v>
      </c>
      <c r="AC18" s="1562">
        <v>1</v>
      </c>
    </row>
    <row r="19" spans="1:29" ht="42.75">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1"/>
      <c r="Q19" s="1558" t="str">
        <f>B19</f>
        <v>公共配套设施</v>
      </c>
      <c r="R19" s="1559" t="s">
        <v>8</v>
      </c>
      <c r="S19" s="1560">
        <f>F19</f>
        <v>100</v>
      </c>
      <c r="T19" s="1559" t="s">
        <v>8</v>
      </c>
      <c r="U19" s="1560">
        <f>H19</f>
        <v>100</v>
      </c>
      <c r="V19" s="1559" t="s">
        <v>8</v>
      </c>
      <c r="W19" s="1560">
        <f>J19</f>
        <v>100</v>
      </c>
      <c r="X19" s="1553"/>
      <c r="Y19" s="340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1"/>
      <c r="Q20" s="1558"/>
      <c r="R20" s="1559"/>
      <c r="S20" s="1560"/>
      <c r="T20" s="1559"/>
      <c r="U20" s="1560"/>
      <c r="V20" s="1559"/>
      <c r="W20" s="1560"/>
      <c r="X20" s="1553"/>
      <c r="Y20" s="3401"/>
      <c r="Z20" s="1561"/>
      <c r="AA20" s="1562">
        <v>1</v>
      </c>
      <c r="AB20" s="1562">
        <v>1</v>
      </c>
      <c r="AC20" s="1562">
        <v>1</v>
      </c>
    </row>
    <row r="21" spans="1:29" ht="28.5">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1"/>
      <c r="Q21" s="2543" t="str">
        <f>B21</f>
        <v>基础设施水平</v>
      </c>
      <c r="R21" s="1559" t="s">
        <v>8</v>
      </c>
      <c r="S21" s="1560">
        <f>F21</f>
        <v>100</v>
      </c>
      <c r="T21" s="1559" t="s">
        <v>8</v>
      </c>
      <c r="U21" s="1560">
        <f>H21</f>
        <v>100</v>
      </c>
      <c r="V21" s="1559" t="s">
        <v>8</v>
      </c>
      <c r="W21" s="1560">
        <f>J21</f>
        <v>100</v>
      </c>
      <c r="X21" s="2545"/>
      <c r="Y21" s="340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1"/>
      <c r="Q22" s="2543"/>
      <c r="R22" s="1559"/>
      <c r="S22" s="1560"/>
      <c r="T22" s="1559"/>
      <c r="U22" s="1560"/>
      <c r="V22" s="1559"/>
      <c r="W22" s="1560"/>
      <c r="X22" s="2545"/>
      <c r="Y22" s="3401"/>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1"/>
      <c r="Q23" s="1558" t="str">
        <f>B23</f>
        <v>环境质量</v>
      </c>
      <c r="R23" s="1559" t="s">
        <v>8</v>
      </c>
      <c r="S23" s="1560">
        <f>F23</f>
        <v>100</v>
      </c>
      <c r="T23" s="1559" t="s">
        <v>8</v>
      </c>
      <c r="U23" s="1560">
        <f>H23</f>
        <v>100</v>
      </c>
      <c r="V23" s="1559" t="s">
        <v>8</v>
      </c>
      <c r="W23" s="1560">
        <f>J23</f>
        <v>100</v>
      </c>
      <c r="X23" s="1553"/>
      <c r="Y23" s="340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1"/>
      <c r="Q24" s="1558"/>
      <c r="R24" s="1559"/>
      <c r="S24" s="1560"/>
      <c r="T24" s="1559"/>
      <c r="U24" s="1560"/>
      <c r="V24" s="1559"/>
      <c r="W24" s="1560"/>
      <c r="X24" s="1553"/>
      <c r="Y24" s="3401"/>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1"/>
      <c r="Q25" s="1558" t="str">
        <f>B25</f>
        <v>毗邻道路的类型与等级</v>
      </c>
      <c r="R25" s="1559" t="s">
        <v>8</v>
      </c>
      <c r="S25" s="1560">
        <f>F25</f>
        <v>100</v>
      </c>
      <c r="T25" s="1559" t="s">
        <v>8</v>
      </c>
      <c r="U25" s="1560">
        <f>H25</f>
        <v>100</v>
      </c>
      <c r="V25" s="1559" t="s">
        <v>8</v>
      </c>
      <c r="W25" s="1560">
        <f>J25</f>
        <v>100</v>
      </c>
      <c r="X25" s="1553"/>
      <c r="Y25" s="340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1"/>
      <c r="Q26" s="1558"/>
      <c r="R26" s="1559"/>
      <c r="S26" s="1560"/>
      <c r="T26" s="1559"/>
      <c r="U26" s="1560"/>
      <c r="V26" s="1559"/>
      <c r="W26" s="1560"/>
      <c r="X26" s="1553"/>
      <c r="Y26" s="340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1"/>
      <c r="Q27" s="1558" t="str">
        <f t="shared" ref="Q27:Q47" si="11">B27</f>
        <v>楼层</v>
      </c>
      <c r="R27" s="1559" t="s">
        <v>8</v>
      </c>
      <c r="S27" s="1560">
        <f>F27</f>
        <v>100</v>
      </c>
      <c r="T27" s="1559" t="s">
        <v>8</v>
      </c>
      <c r="U27" s="1560">
        <f>H27</f>
        <v>100</v>
      </c>
      <c r="V27" s="1559" t="s">
        <v>8</v>
      </c>
      <c r="W27" s="1560">
        <f>J27</f>
        <v>100</v>
      </c>
      <c r="X27" s="1553"/>
      <c r="Y27" s="3401"/>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1"/>
      <c r="Q28" s="1147" t="str">
        <f t="shared" si="11"/>
        <v>朝向</v>
      </c>
      <c r="R28" s="1554" t="s">
        <v>8</v>
      </c>
      <c r="S28" s="1555">
        <f>F28</f>
        <v>100</v>
      </c>
      <c r="T28" s="1554" t="s">
        <v>8</v>
      </c>
      <c r="U28" s="1555">
        <f>H28</f>
        <v>100</v>
      </c>
      <c r="V28" s="1554" t="s">
        <v>8</v>
      </c>
      <c r="W28" s="1555">
        <f>J28</f>
        <v>100</v>
      </c>
      <c r="X28" s="1556"/>
      <c r="Y28" s="3401"/>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1"/>
      <c r="Q29" s="1558">
        <f t="shared" si="11"/>
        <v>111</v>
      </c>
      <c r="R29" s="1559" t="s">
        <v>8</v>
      </c>
      <c r="S29" s="1560">
        <f t="shared" ref="S29:S47" si="12">F29</f>
        <v>100</v>
      </c>
      <c r="T29" s="1559" t="s">
        <v>8</v>
      </c>
      <c r="U29" s="1560">
        <f t="shared" ref="U29:U47" si="13">H29</f>
        <v>100</v>
      </c>
      <c r="V29" s="1559" t="s">
        <v>8</v>
      </c>
      <c r="W29" s="1560">
        <f t="shared" ref="W29:W47" si="14">J29</f>
        <v>100</v>
      </c>
      <c r="X29" s="1553"/>
      <c r="Y29" s="3401"/>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1"/>
      <c r="Q30" s="1558">
        <f t="shared" si="11"/>
        <v>111</v>
      </c>
      <c r="R30" s="1559" t="s">
        <v>8</v>
      </c>
      <c r="S30" s="1560">
        <f t="shared" si="12"/>
        <v>100</v>
      </c>
      <c r="T30" s="1559" t="s">
        <v>8</v>
      </c>
      <c r="U30" s="1560">
        <f t="shared" si="13"/>
        <v>100</v>
      </c>
      <c r="V30" s="1559" t="s">
        <v>8</v>
      </c>
      <c r="W30" s="1560">
        <f t="shared" si="14"/>
        <v>100</v>
      </c>
      <c r="X30" s="1553"/>
      <c r="Y30" s="3401"/>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1"/>
      <c r="Q31" s="1558">
        <f t="shared" si="11"/>
        <v>111</v>
      </c>
      <c r="R31" s="1559" t="s">
        <v>8</v>
      </c>
      <c r="S31" s="1560">
        <f t="shared" si="12"/>
        <v>100</v>
      </c>
      <c r="T31" s="1559" t="s">
        <v>8</v>
      </c>
      <c r="U31" s="1560">
        <f t="shared" si="13"/>
        <v>100</v>
      </c>
      <c r="V31" s="1559" t="s">
        <v>8</v>
      </c>
      <c r="W31" s="1560">
        <f t="shared" si="14"/>
        <v>100</v>
      </c>
      <c r="X31" s="1553"/>
      <c r="Y31" s="3401"/>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1"/>
      <c r="Q32" s="1558">
        <f t="shared" si="11"/>
        <v>111</v>
      </c>
      <c r="R32" s="1559" t="s">
        <v>8</v>
      </c>
      <c r="S32" s="1560">
        <f t="shared" si="12"/>
        <v>100</v>
      </c>
      <c r="T32" s="1559" t="s">
        <v>8</v>
      </c>
      <c r="U32" s="1560">
        <f t="shared" si="13"/>
        <v>100</v>
      </c>
      <c r="V32" s="1559" t="s">
        <v>8</v>
      </c>
      <c r="W32" s="1560">
        <f t="shared" si="14"/>
        <v>100</v>
      </c>
      <c r="X32" s="1553"/>
      <c r="Y32" s="3401"/>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2" t="s">
        <v>550</v>
      </c>
      <c r="Q33" s="1558" t="str">
        <f t="shared" si="11"/>
        <v>建筑类型</v>
      </c>
      <c r="R33" s="1559" t="s">
        <v>8</v>
      </c>
      <c r="S33" s="1560">
        <f t="shared" si="12"/>
        <v>100</v>
      </c>
      <c r="T33" s="1559" t="s">
        <v>8</v>
      </c>
      <c r="U33" s="1560">
        <f t="shared" si="13"/>
        <v>100</v>
      </c>
      <c r="V33" s="1559" t="s">
        <v>8</v>
      </c>
      <c r="W33" s="1560">
        <f t="shared" si="14"/>
        <v>100</v>
      </c>
      <c r="X33" s="1553"/>
      <c r="Y33" s="3403"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3"/>
      <c r="Q34" s="1590" t="str">
        <f t="shared" si="11"/>
        <v>项目建筑规模</v>
      </c>
      <c r="R34" s="1563" t="s">
        <v>8</v>
      </c>
      <c r="S34" s="1564" t="e">
        <f t="shared" si="12"/>
        <v>#N/A</v>
      </c>
      <c r="T34" s="1563" t="s">
        <v>8</v>
      </c>
      <c r="U34" s="1564" t="e">
        <f t="shared" si="13"/>
        <v>#N/A</v>
      </c>
      <c r="V34" s="1563" t="s">
        <v>8</v>
      </c>
      <c r="W34" s="1564" t="e">
        <f t="shared" si="14"/>
        <v>#N/A</v>
      </c>
      <c r="X34" s="1565"/>
      <c r="Y34" s="3403"/>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3"/>
      <c r="Q35" s="1558" t="str">
        <f t="shared" si="11"/>
        <v>建筑结构</v>
      </c>
      <c r="R35" s="1559" t="s">
        <v>8</v>
      </c>
      <c r="S35" s="1560">
        <f t="shared" si="12"/>
        <v>100</v>
      </c>
      <c r="T35" s="1559" t="s">
        <v>8</v>
      </c>
      <c r="U35" s="1560">
        <f t="shared" si="13"/>
        <v>100</v>
      </c>
      <c r="V35" s="1559" t="s">
        <v>8</v>
      </c>
      <c r="W35" s="1560">
        <f t="shared" si="14"/>
        <v>100</v>
      </c>
      <c r="X35" s="1553"/>
      <c r="Y35" s="3403"/>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3"/>
      <c r="Q36" s="1558" t="str">
        <f t="shared" si="11"/>
        <v>公共部分装修</v>
      </c>
      <c r="R36" s="1559" t="s">
        <v>8</v>
      </c>
      <c r="S36" s="1560">
        <f t="shared" si="12"/>
        <v>100</v>
      </c>
      <c r="T36" s="1559" t="s">
        <v>8</v>
      </c>
      <c r="U36" s="1560">
        <f t="shared" si="13"/>
        <v>100</v>
      </c>
      <c r="V36" s="1559" t="s">
        <v>8</v>
      </c>
      <c r="W36" s="1560">
        <f t="shared" si="14"/>
        <v>100</v>
      </c>
      <c r="X36" s="1553"/>
      <c r="Y36" s="3403"/>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3"/>
      <c r="Q37" s="1558" t="str">
        <f t="shared" si="11"/>
        <v>成新度</v>
      </c>
      <c r="R37" s="1559" t="s">
        <v>8</v>
      </c>
      <c r="S37" s="1560" t="e">
        <f t="shared" si="12"/>
        <v>#N/A</v>
      </c>
      <c r="T37" s="1559" t="s">
        <v>8</v>
      </c>
      <c r="U37" s="1560" t="e">
        <f t="shared" si="13"/>
        <v>#N/A</v>
      </c>
      <c r="V37" s="1559" t="s">
        <v>8</v>
      </c>
      <c r="W37" s="1560" t="e">
        <f t="shared" si="14"/>
        <v>#N/A</v>
      </c>
      <c r="X37" s="1553"/>
      <c r="Y37" s="3403"/>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3"/>
      <c r="Q38" s="1147" t="str">
        <f t="shared" si="11"/>
        <v>写字楼等级</v>
      </c>
      <c r="R38" s="1554" t="s">
        <v>8</v>
      </c>
      <c r="S38" s="1555">
        <f t="shared" si="12"/>
        <v>100</v>
      </c>
      <c r="T38" s="1554" t="s">
        <v>8</v>
      </c>
      <c r="U38" s="1555">
        <f t="shared" si="13"/>
        <v>100</v>
      </c>
      <c r="V38" s="1554" t="s">
        <v>8</v>
      </c>
      <c r="W38" s="1555">
        <f t="shared" si="14"/>
        <v>100</v>
      </c>
      <c r="X38" s="1556"/>
      <c r="Y38" s="3403"/>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3" t="s">
        <v>550</v>
      </c>
      <c r="Q39" s="1558" t="str">
        <f t="shared" si="11"/>
        <v>物业管理</v>
      </c>
      <c r="R39" s="1559" t="s">
        <v>8</v>
      </c>
      <c r="S39" s="1560">
        <f t="shared" si="12"/>
        <v>100</v>
      </c>
      <c r="T39" s="1559" t="s">
        <v>8</v>
      </c>
      <c r="U39" s="1560">
        <f t="shared" si="13"/>
        <v>100</v>
      </c>
      <c r="V39" s="1559" t="s">
        <v>8</v>
      </c>
      <c r="W39" s="1560">
        <f t="shared" si="14"/>
        <v>100</v>
      </c>
      <c r="X39" s="1553"/>
      <c r="Y39" s="3403"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3"/>
      <c r="Q40" s="1558" t="str">
        <f t="shared" si="11"/>
        <v>市政基础设施</v>
      </c>
      <c r="R40" s="1559" t="s">
        <v>8</v>
      </c>
      <c r="S40" s="1560">
        <f t="shared" si="12"/>
        <v>100</v>
      </c>
      <c r="T40" s="1559" t="s">
        <v>8</v>
      </c>
      <c r="U40" s="1560">
        <f t="shared" si="13"/>
        <v>100</v>
      </c>
      <c r="V40" s="1559" t="s">
        <v>8</v>
      </c>
      <c r="W40" s="1560">
        <f t="shared" si="14"/>
        <v>100</v>
      </c>
      <c r="X40" s="1553"/>
      <c r="Y40" s="3403"/>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3"/>
      <c r="Q41" s="1558" t="str">
        <f t="shared" si="11"/>
        <v>层高</v>
      </c>
      <c r="R41" s="1559" t="s">
        <v>8</v>
      </c>
      <c r="S41" s="1560">
        <f t="shared" si="12"/>
        <v>100</v>
      </c>
      <c r="T41" s="1559" t="s">
        <v>8</v>
      </c>
      <c r="U41" s="1560">
        <f t="shared" si="13"/>
        <v>100</v>
      </c>
      <c r="V41" s="1559" t="s">
        <v>8</v>
      </c>
      <c r="W41" s="1560">
        <f t="shared" si="14"/>
        <v>100</v>
      </c>
      <c r="X41" s="1553"/>
      <c r="Y41" s="3403"/>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3"/>
      <c r="Q42" s="1590" t="str">
        <f t="shared" si="11"/>
        <v>单套建筑面积</v>
      </c>
      <c r="R42" s="1563" t="s">
        <v>8</v>
      </c>
      <c r="S42" s="1564">
        <f t="shared" si="12"/>
        <v>100</v>
      </c>
      <c r="T42" s="1563" t="s">
        <v>8</v>
      </c>
      <c r="U42" s="1564">
        <f t="shared" si="13"/>
        <v>100</v>
      </c>
      <c r="V42" s="1563" t="s">
        <v>8</v>
      </c>
      <c r="W42" s="1564">
        <f t="shared" si="14"/>
        <v>100</v>
      </c>
      <c r="X42" s="1565"/>
      <c r="Y42" s="3403"/>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3"/>
      <c r="Q43" s="1558" t="str">
        <f t="shared" si="11"/>
        <v>内部装修</v>
      </c>
      <c r="R43" s="1559" t="s">
        <v>8</v>
      </c>
      <c r="S43" s="1560">
        <f t="shared" si="12"/>
        <v>100</v>
      </c>
      <c r="T43" s="1559" t="s">
        <v>8</v>
      </c>
      <c r="U43" s="1560">
        <f t="shared" si="13"/>
        <v>100</v>
      </c>
      <c r="V43" s="1559" t="s">
        <v>8</v>
      </c>
      <c r="W43" s="1560">
        <f t="shared" si="14"/>
        <v>100</v>
      </c>
      <c r="X43" s="1553"/>
      <c r="Y43" s="3403"/>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3"/>
      <c r="Q44" s="1558" t="str">
        <f t="shared" si="11"/>
        <v>内部装修维护情况</v>
      </c>
      <c r="R44" s="1559" t="s">
        <v>8</v>
      </c>
      <c r="S44" s="1560">
        <f t="shared" si="12"/>
        <v>100</v>
      </c>
      <c r="T44" s="1559" t="s">
        <v>8</v>
      </c>
      <c r="U44" s="1560">
        <f t="shared" si="13"/>
        <v>100</v>
      </c>
      <c r="V44" s="1559" t="s">
        <v>8</v>
      </c>
      <c r="W44" s="1560">
        <f t="shared" si="14"/>
        <v>100</v>
      </c>
      <c r="X44" s="1553"/>
      <c r="Y44" s="3403"/>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3"/>
      <c r="Q45" s="1147">
        <f t="shared" si="11"/>
        <v>111</v>
      </c>
      <c r="R45" s="1554" t="s">
        <v>8</v>
      </c>
      <c r="S45" s="1555">
        <f t="shared" si="12"/>
        <v>100</v>
      </c>
      <c r="T45" s="1554" t="s">
        <v>8</v>
      </c>
      <c r="U45" s="1555">
        <f t="shared" si="13"/>
        <v>100</v>
      </c>
      <c r="V45" s="1554" t="s">
        <v>8</v>
      </c>
      <c r="W45" s="1555">
        <f t="shared" si="14"/>
        <v>100</v>
      </c>
      <c r="X45" s="1556"/>
      <c r="Y45" s="3403"/>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3"/>
      <c r="Q46" s="1558">
        <f t="shared" si="11"/>
        <v>111</v>
      </c>
      <c r="R46" s="1559" t="s">
        <v>8</v>
      </c>
      <c r="S46" s="1560">
        <f t="shared" si="12"/>
        <v>100</v>
      </c>
      <c r="T46" s="1559" t="s">
        <v>8</v>
      </c>
      <c r="U46" s="1560">
        <f t="shared" si="13"/>
        <v>100</v>
      </c>
      <c r="V46" s="1559" t="s">
        <v>8</v>
      </c>
      <c r="W46" s="1560">
        <f t="shared" si="14"/>
        <v>100</v>
      </c>
      <c r="X46" s="1553"/>
      <c r="Y46" s="3403"/>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64" t="str">
        <f>A48</f>
        <v>成交单价（元/平方米）</v>
      </c>
      <c r="Q48" s="3366"/>
      <c r="R48" s="3483">
        <f>E48</f>
        <v>0</v>
      </c>
      <c r="S48" s="3483"/>
      <c r="T48" s="3483">
        <f>G48</f>
        <v>0</v>
      </c>
      <c r="U48" s="3483"/>
      <c r="V48" s="3483">
        <f>I48</f>
        <v>0</v>
      </c>
      <c r="W48" s="3483"/>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364" t="str">
        <f>A49</f>
        <v>比较价格（元/平方米）</v>
      </c>
      <c r="Q49" s="336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485" t="str">
        <f>A50</f>
        <v>估价对象XX用房的比较价格（楼面单价，元/平方米）</v>
      </c>
      <c r="Q50" s="3364"/>
      <c r="R50" s="3482" t="e">
        <f>IF(F1="售价",ROUND(AVERAGE(R49:V49),0),ROUND(AVERAGE(R49:V49),1))</f>
        <v>#DIV/0!</v>
      </c>
      <c r="S50" s="3482"/>
      <c r="T50" s="3482"/>
      <c r="U50" s="3482"/>
      <c r="V50" s="3482"/>
      <c r="W50" s="348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2" t="s">
        <v>522</v>
      </c>
      <c r="D4" s="3373"/>
      <c r="E4" s="3406" t="s">
        <v>523</v>
      </c>
      <c r="F4" s="3407"/>
      <c r="G4" s="3372" t="s">
        <v>524</v>
      </c>
      <c r="H4" s="3373"/>
      <c r="I4" s="3372" t="s">
        <v>525</v>
      </c>
      <c r="J4" s="3373"/>
      <c r="K4" s="514" t="s">
        <v>526</v>
      </c>
      <c r="L4" s="2118"/>
      <c r="M4" s="2119"/>
      <c r="N4" s="2119"/>
      <c r="O4" s="2119"/>
      <c r="P4" s="3374" t="s">
        <v>527</v>
      </c>
      <c r="Q4" s="3375"/>
      <c r="R4" s="3380" t="s">
        <v>523</v>
      </c>
      <c r="S4" s="3381"/>
      <c r="T4" s="3380" t="s">
        <v>524</v>
      </c>
      <c r="U4" s="3381"/>
      <c r="V4" s="3367" t="s">
        <v>525</v>
      </c>
      <c r="W4" s="3367"/>
      <c r="X4" s="1553"/>
      <c r="Y4" s="3380" t="s">
        <v>527</v>
      </c>
      <c r="Z4" s="3381"/>
      <c r="AA4" s="3369" t="s">
        <v>523</v>
      </c>
      <c r="AB4" s="3370" t="s">
        <v>524</v>
      </c>
      <c r="AC4" s="3369" t="s">
        <v>525</v>
      </c>
    </row>
    <row r="5" spans="1:29" ht="15">
      <c r="A5" s="515"/>
      <c r="B5" s="516"/>
      <c r="C5" s="3388" t="s">
        <v>2928</v>
      </c>
      <c r="D5" s="3389"/>
      <c r="E5" s="3408" t="s">
        <v>2929</v>
      </c>
      <c r="F5" s="3409"/>
      <c r="G5" s="3388" t="s">
        <v>2930</v>
      </c>
      <c r="H5" s="3389"/>
      <c r="I5" s="3388" t="s">
        <v>2931</v>
      </c>
      <c r="J5" s="3389"/>
      <c r="K5" s="514"/>
      <c r="L5" s="2118"/>
      <c r="M5" s="2119"/>
      <c r="N5" s="2119"/>
      <c r="O5" s="2119"/>
      <c r="P5" s="3376"/>
      <c r="Q5" s="3377"/>
      <c r="R5" s="3382"/>
      <c r="S5" s="3383"/>
      <c r="T5" s="3382"/>
      <c r="U5" s="3383"/>
      <c r="V5" s="3367"/>
      <c r="W5" s="3367"/>
      <c r="X5" s="1553"/>
      <c r="Y5" s="3382"/>
      <c r="Z5" s="3383"/>
      <c r="AA5" s="3370"/>
      <c r="AB5" s="3370"/>
      <c r="AC5" s="3370"/>
    </row>
    <row r="6" spans="1:29" ht="15.75" thickBot="1">
      <c r="A6" s="517"/>
      <c r="B6" s="518"/>
      <c r="C6" s="3386" t="s">
        <v>2932</v>
      </c>
      <c r="D6" s="3387"/>
      <c r="E6" s="3404" t="s">
        <v>2932</v>
      </c>
      <c r="F6" s="3405"/>
      <c r="G6" s="3386" t="s">
        <v>2932</v>
      </c>
      <c r="H6" s="3387"/>
      <c r="I6" s="3386" t="s">
        <v>2932</v>
      </c>
      <c r="J6" s="3387"/>
      <c r="K6" s="514" t="s">
        <v>528</v>
      </c>
      <c r="L6" s="2118"/>
      <c r="M6" s="2119"/>
      <c r="N6" s="2119"/>
      <c r="O6" s="2119"/>
      <c r="P6" s="3378"/>
      <c r="Q6" s="3379"/>
      <c r="R6" s="3382"/>
      <c r="S6" s="3383"/>
      <c r="T6" s="3384"/>
      <c r="U6" s="3385"/>
      <c r="V6" s="3367"/>
      <c r="W6" s="3367"/>
      <c r="X6" s="1553"/>
      <c r="Y6" s="3384"/>
      <c r="Z6" s="3385"/>
      <c r="AA6" s="3371"/>
      <c r="AB6" s="3371"/>
      <c r="AC6" s="3371"/>
    </row>
    <row r="7" spans="1:29" s="1216" customFormat="1" ht="15.75" thickBot="1">
      <c r="A7" s="2867"/>
      <c r="B7" s="2874" t="s">
        <v>529</v>
      </c>
      <c r="C7" s="519">
        <f>'数据-取费表'!B2</f>
        <v>43572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7" t="s">
        <v>530</v>
      </c>
      <c r="Q7" s="3399"/>
      <c r="R7" s="1554" t="s">
        <v>8</v>
      </c>
      <c r="S7" s="1555">
        <f t="shared" ref="S7:S15" si="0">F7</f>
        <v>0</v>
      </c>
      <c r="T7" s="1554" t="s">
        <v>8</v>
      </c>
      <c r="U7" s="1555">
        <f t="shared" ref="U7:U15" si="1">H7</f>
        <v>0</v>
      </c>
      <c r="V7" s="1554" t="s">
        <v>8</v>
      </c>
      <c r="W7" s="1555">
        <f t="shared" ref="W7:W15" si="2">J7</f>
        <v>0</v>
      </c>
      <c r="X7" s="1556"/>
      <c r="Y7" s="3397" t="s">
        <v>530</v>
      </c>
      <c r="Z7" s="3398"/>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6" t="s">
        <v>535</v>
      </c>
      <c r="Q9" s="1147" t="str">
        <f t="shared" ref="Q9:Q15" si="6">B9</f>
        <v>用途</v>
      </c>
      <c r="R9" s="1554" t="s">
        <v>8</v>
      </c>
      <c r="S9" s="1555">
        <f t="shared" si="0"/>
        <v>100</v>
      </c>
      <c r="T9" s="1554" t="s">
        <v>8</v>
      </c>
      <c r="U9" s="1555">
        <f t="shared" si="1"/>
        <v>100</v>
      </c>
      <c r="V9" s="1554" t="s">
        <v>8</v>
      </c>
      <c r="W9" s="1555">
        <f t="shared" si="2"/>
        <v>100</v>
      </c>
      <c r="X9" s="1556"/>
      <c r="Y9" s="331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6"/>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6"/>
      <c r="Q11" s="1147" t="str">
        <f t="shared" si="6"/>
        <v>容积率</v>
      </c>
      <c r="R11" s="1554" t="s">
        <v>8</v>
      </c>
      <c r="S11" s="1555" t="e">
        <f t="shared" si="0"/>
        <v>#N/A</v>
      </c>
      <c r="T11" s="1554" t="s">
        <v>8</v>
      </c>
      <c r="U11" s="1555" t="e">
        <f t="shared" si="1"/>
        <v>#N/A</v>
      </c>
      <c r="V11" s="1554" t="s">
        <v>8</v>
      </c>
      <c r="W11" s="1555" t="e">
        <f t="shared" si="2"/>
        <v>#N/A</v>
      </c>
      <c r="X11" s="1556"/>
      <c r="Y11" s="331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6"/>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6"/>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6"/>
      <c r="Q14" s="1147">
        <f t="shared" si="6"/>
        <v>111</v>
      </c>
      <c r="R14" s="1554" t="s">
        <v>8</v>
      </c>
      <c r="S14" s="1555">
        <f t="shared" si="0"/>
        <v>100</v>
      </c>
      <c r="T14" s="1554" t="s">
        <v>8</v>
      </c>
      <c r="U14" s="1555">
        <f t="shared" si="1"/>
        <v>100</v>
      </c>
      <c r="V14" s="1554" t="s">
        <v>8</v>
      </c>
      <c r="W14" s="1555">
        <f t="shared" si="2"/>
        <v>100</v>
      </c>
      <c r="X14" s="1556"/>
      <c r="Y14" s="3312"/>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0" t="s">
        <v>540</v>
      </c>
      <c r="Q15" s="1558" t="str">
        <f t="shared" si="6"/>
        <v>产业集聚程度</v>
      </c>
      <c r="R15" s="1559" t="s">
        <v>8</v>
      </c>
      <c r="S15" s="1560">
        <f t="shared" si="0"/>
        <v>100</v>
      </c>
      <c r="T15" s="1559" t="s">
        <v>8</v>
      </c>
      <c r="U15" s="1560">
        <f t="shared" si="1"/>
        <v>100</v>
      </c>
      <c r="V15" s="1559" t="s">
        <v>8</v>
      </c>
      <c r="W15" s="1560">
        <f t="shared" si="2"/>
        <v>100</v>
      </c>
      <c r="X15" s="1553"/>
      <c r="Y15" s="3400"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1"/>
      <c r="Q16" s="1558"/>
      <c r="R16" s="1559"/>
      <c r="S16" s="1560"/>
      <c r="T16" s="1559"/>
      <c r="U16" s="1560"/>
      <c r="V16" s="1559"/>
      <c r="W16" s="1560"/>
      <c r="X16" s="1553"/>
      <c r="Y16" s="340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1"/>
      <c r="Q17" s="1558" t="str">
        <f>B17</f>
        <v>交通便捷度</v>
      </c>
      <c r="R17" s="1559" t="s">
        <v>8</v>
      </c>
      <c r="S17" s="1560">
        <f>F17</f>
        <v>100</v>
      </c>
      <c r="T17" s="1559" t="s">
        <v>8</v>
      </c>
      <c r="U17" s="1560">
        <f>H17</f>
        <v>100</v>
      </c>
      <c r="V17" s="1559" t="s">
        <v>8</v>
      </c>
      <c r="W17" s="1560">
        <f>J17</f>
        <v>100</v>
      </c>
      <c r="X17" s="1553"/>
      <c r="Y17" s="340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1"/>
      <c r="Q18" s="1558"/>
      <c r="R18" s="1559"/>
      <c r="S18" s="1560"/>
      <c r="T18" s="1559"/>
      <c r="U18" s="1560"/>
      <c r="V18" s="1559"/>
      <c r="W18" s="1560"/>
      <c r="X18" s="1553"/>
      <c r="Y18" s="3401"/>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1"/>
      <c r="Q19" s="1558" t="str">
        <f>B19</f>
        <v>公共配套设施</v>
      </c>
      <c r="R19" s="1559" t="s">
        <v>8</v>
      </c>
      <c r="S19" s="1560">
        <f>F19</f>
        <v>100</v>
      </c>
      <c r="T19" s="1559" t="s">
        <v>8</v>
      </c>
      <c r="U19" s="1560">
        <f>H19</f>
        <v>100</v>
      </c>
      <c r="V19" s="1559" t="s">
        <v>8</v>
      </c>
      <c r="W19" s="1560">
        <f>J19</f>
        <v>100</v>
      </c>
      <c r="X19" s="1553"/>
      <c r="Y19" s="340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1"/>
      <c r="Q20" s="1558"/>
      <c r="R20" s="1559"/>
      <c r="S20" s="1560"/>
      <c r="T20" s="1559"/>
      <c r="U20" s="1560"/>
      <c r="V20" s="1559"/>
      <c r="W20" s="1560"/>
      <c r="X20" s="1553"/>
      <c r="Y20" s="3401"/>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1"/>
      <c r="Q21" s="2543" t="str">
        <f>B21</f>
        <v>基础设施水平</v>
      </c>
      <c r="R21" s="1559" t="s">
        <v>8</v>
      </c>
      <c r="S21" s="1560">
        <f>F21</f>
        <v>100</v>
      </c>
      <c r="T21" s="1559" t="s">
        <v>8</v>
      </c>
      <c r="U21" s="1560">
        <f>H21</f>
        <v>100</v>
      </c>
      <c r="V21" s="1559" t="s">
        <v>8</v>
      </c>
      <c r="W21" s="1560">
        <f>J21</f>
        <v>100</v>
      </c>
      <c r="X21" s="2545"/>
      <c r="Y21" s="340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1"/>
      <c r="Q22" s="2543"/>
      <c r="R22" s="1559"/>
      <c r="S22" s="1560"/>
      <c r="T22" s="1559"/>
      <c r="U22" s="1560"/>
      <c r="V22" s="1559"/>
      <c r="W22" s="1560"/>
      <c r="X22" s="2545"/>
      <c r="Y22" s="3401"/>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1"/>
      <c r="Q23" s="1558" t="str">
        <f>B23</f>
        <v>环境质量</v>
      </c>
      <c r="R23" s="1559" t="s">
        <v>8</v>
      </c>
      <c r="S23" s="1560">
        <f>F23</f>
        <v>100</v>
      </c>
      <c r="T23" s="1559" t="s">
        <v>8</v>
      </c>
      <c r="U23" s="1560">
        <f>H23</f>
        <v>100</v>
      </c>
      <c r="V23" s="1559" t="s">
        <v>8</v>
      </c>
      <c r="W23" s="1560">
        <f>J23</f>
        <v>100</v>
      </c>
      <c r="X23" s="1553"/>
      <c r="Y23" s="340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1"/>
      <c r="Q24" s="1558"/>
      <c r="R24" s="1559"/>
      <c r="S24" s="1560"/>
      <c r="T24" s="1559"/>
      <c r="U24" s="1560"/>
      <c r="V24" s="1559"/>
      <c r="W24" s="1560"/>
      <c r="X24" s="1553"/>
      <c r="Y24" s="340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1"/>
      <c r="Q25" s="1558">
        <f>B25</f>
        <v>111</v>
      </c>
      <c r="R25" s="1559" t="s">
        <v>8</v>
      </c>
      <c r="S25" s="1560">
        <f>F25</f>
        <v>100</v>
      </c>
      <c r="T25" s="1559" t="s">
        <v>8</v>
      </c>
      <c r="U25" s="1560">
        <f>H25</f>
        <v>100</v>
      </c>
      <c r="V25" s="1559" t="s">
        <v>8</v>
      </c>
      <c r="W25" s="1560">
        <f>J25</f>
        <v>100</v>
      </c>
      <c r="X25" s="1553"/>
      <c r="Y25" s="340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1"/>
      <c r="Q26" s="1558">
        <f t="shared" ref="Q26:Q40" si="11">B26</f>
        <v>111</v>
      </c>
      <c r="R26" s="1559" t="s">
        <v>8</v>
      </c>
      <c r="S26" s="1560">
        <f>F26</f>
        <v>100</v>
      </c>
      <c r="T26" s="1559" t="s">
        <v>8</v>
      </c>
      <c r="U26" s="1560">
        <f>H26</f>
        <v>100</v>
      </c>
      <c r="V26" s="1559" t="s">
        <v>8</v>
      </c>
      <c r="W26" s="1560">
        <f>J26</f>
        <v>100</v>
      </c>
      <c r="X26" s="1553"/>
      <c r="Y26" s="3401"/>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1"/>
      <c r="Q27" s="1147">
        <f t="shared" si="11"/>
        <v>111</v>
      </c>
      <c r="R27" s="1554" t="s">
        <v>8</v>
      </c>
      <c r="S27" s="1555">
        <f>F27</f>
        <v>100</v>
      </c>
      <c r="T27" s="1554" t="s">
        <v>8</v>
      </c>
      <c r="U27" s="1555">
        <f>H27</f>
        <v>100</v>
      </c>
      <c r="V27" s="1554" t="s">
        <v>8</v>
      </c>
      <c r="W27" s="1555">
        <f>J27</f>
        <v>100</v>
      </c>
      <c r="X27" s="1556"/>
      <c r="Y27" s="3401"/>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1"/>
      <c r="Q28" s="1558">
        <f t="shared" si="11"/>
        <v>111</v>
      </c>
      <c r="R28" s="1559" t="s">
        <v>8</v>
      </c>
      <c r="S28" s="1560">
        <f t="shared" ref="S28:S40" si="12">F28</f>
        <v>100</v>
      </c>
      <c r="T28" s="1559" t="s">
        <v>8</v>
      </c>
      <c r="U28" s="1560">
        <f t="shared" ref="U28:U40" si="13">H28</f>
        <v>100</v>
      </c>
      <c r="V28" s="1559" t="s">
        <v>8</v>
      </c>
      <c r="W28" s="1560">
        <f t="shared" ref="W28:W40" si="14">J28</f>
        <v>100</v>
      </c>
      <c r="X28" s="1553"/>
      <c r="Y28" s="3401"/>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2" t="s">
        <v>550</v>
      </c>
      <c r="Q29" s="1558" t="str">
        <f t="shared" si="11"/>
        <v>建筑类型</v>
      </c>
      <c r="R29" s="1559" t="s">
        <v>8</v>
      </c>
      <c r="S29" s="1560">
        <f t="shared" si="12"/>
        <v>100</v>
      </c>
      <c r="T29" s="1559" t="s">
        <v>8</v>
      </c>
      <c r="U29" s="1560">
        <f t="shared" si="13"/>
        <v>100</v>
      </c>
      <c r="V29" s="1559" t="s">
        <v>8</v>
      </c>
      <c r="W29" s="1560">
        <f t="shared" si="14"/>
        <v>100</v>
      </c>
      <c r="X29" s="1553"/>
      <c r="Y29" s="3403"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3"/>
      <c r="Q30" s="1590" t="str">
        <f t="shared" si="11"/>
        <v>项目建筑规模</v>
      </c>
      <c r="R30" s="1563" t="s">
        <v>8</v>
      </c>
      <c r="S30" s="1564" t="e">
        <f t="shared" si="12"/>
        <v>#N/A</v>
      </c>
      <c r="T30" s="1563" t="s">
        <v>8</v>
      </c>
      <c r="U30" s="1564" t="e">
        <f t="shared" si="13"/>
        <v>#N/A</v>
      </c>
      <c r="V30" s="1563" t="s">
        <v>8</v>
      </c>
      <c r="W30" s="1564" t="e">
        <f t="shared" si="14"/>
        <v>#N/A</v>
      </c>
      <c r="X30" s="1565"/>
      <c r="Y30" s="3403"/>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3"/>
      <c r="Q31" s="1558" t="str">
        <f t="shared" si="11"/>
        <v>建筑结构</v>
      </c>
      <c r="R31" s="1559" t="s">
        <v>8</v>
      </c>
      <c r="S31" s="1560">
        <f t="shared" si="12"/>
        <v>100</v>
      </c>
      <c r="T31" s="1559" t="s">
        <v>8</v>
      </c>
      <c r="U31" s="1560">
        <f t="shared" si="13"/>
        <v>100</v>
      </c>
      <c r="V31" s="1559" t="s">
        <v>8</v>
      </c>
      <c r="W31" s="1560">
        <f t="shared" si="14"/>
        <v>100</v>
      </c>
      <c r="X31" s="1553"/>
      <c r="Y31" s="3403"/>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3"/>
      <c r="Q32" s="1558" t="str">
        <f t="shared" si="11"/>
        <v>公共部分装修</v>
      </c>
      <c r="R32" s="1559" t="s">
        <v>8</v>
      </c>
      <c r="S32" s="1560">
        <f t="shared" si="12"/>
        <v>100</v>
      </c>
      <c r="T32" s="1559" t="s">
        <v>8</v>
      </c>
      <c r="U32" s="1560">
        <f t="shared" si="13"/>
        <v>100</v>
      </c>
      <c r="V32" s="1559" t="s">
        <v>8</v>
      </c>
      <c r="W32" s="1560">
        <f t="shared" si="14"/>
        <v>100</v>
      </c>
      <c r="X32" s="1553"/>
      <c r="Y32" s="3403"/>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3"/>
      <c r="Q33" s="1558" t="str">
        <f t="shared" si="11"/>
        <v>成新度</v>
      </c>
      <c r="R33" s="1559" t="s">
        <v>8</v>
      </c>
      <c r="S33" s="1560" t="e">
        <f t="shared" si="12"/>
        <v>#N/A</v>
      </c>
      <c r="T33" s="1559" t="s">
        <v>8</v>
      </c>
      <c r="U33" s="1560" t="e">
        <f t="shared" si="13"/>
        <v>#N/A</v>
      </c>
      <c r="V33" s="1559" t="s">
        <v>8</v>
      </c>
      <c r="W33" s="1560" t="e">
        <f t="shared" si="14"/>
        <v>#N/A</v>
      </c>
      <c r="X33" s="1553"/>
      <c r="Y33" s="3403"/>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3"/>
      <c r="Q34" s="1147" t="str">
        <f t="shared" si="11"/>
        <v>物业管理</v>
      </c>
      <c r="R34" s="1554" t="s">
        <v>8</v>
      </c>
      <c r="S34" s="1555">
        <f t="shared" si="12"/>
        <v>100</v>
      </c>
      <c r="T34" s="1554" t="s">
        <v>8</v>
      </c>
      <c r="U34" s="1555">
        <f t="shared" si="13"/>
        <v>100</v>
      </c>
      <c r="V34" s="1554" t="s">
        <v>8</v>
      </c>
      <c r="W34" s="1555">
        <f t="shared" si="14"/>
        <v>100</v>
      </c>
      <c r="X34" s="1556"/>
      <c r="Y34" s="3403"/>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3" t="s">
        <v>550</v>
      </c>
      <c r="Q35" s="1558" t="str">
        <f t="shared" si="11"/>
        <v>市政基础设施</v>
      </c>
      <c r="R35" s="1559" t="s">
        <v>8</v>
      </c>
      <c r="S35" s="1560">
        <f t="shared" si="12"/>
        <v>100</v>
      </c>
      <c r="T35" s="1559" t="s">
        <v>8</v>
      </c>
      <c r="U35" s="1560">
        <f t="shared" si="13"/>
        <v>100</v>
      </c>
      <c r="V35" s="1559" t="s">
        <v>8</v>
      </c>
      <c r="W35" s="1560">
        <f t="shared" si="14"/>
        <v>100</v>
      </c>
      <c r="X35" s="1553"/>
      <c r="Y35" s="3403"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3"/>
      <c r="Q36" s="1558" t="str">
        <f t="shared" si="11"/>
        <v>内部装修</v>
      </c>
      <c r="R36" s="1559" t="s">
        <v>8</v>
      </c>
      <c r="S36" s="1560">
        <f t="shared" si="12"/>
        <v>100</v>
      </c>
      <c r="T36" s="1559" t="s">
        <v>8</v>
      </c>
      <c r="U36" s="1560">
        <f t="shared" si="13"/>
        <v>100</v>
      </c>
      <c r="V36" s="1559" t="s">
        <v>8</v>
      </c>
      <c r="W36" s="1560">
        <f t="shared" si="14"/>
        <v>100</v>
      </c>
      <c r="X36" s="1553"/>
      <c r="Y36" s="3403"/>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3"/>
      <c r="Q37" s="1558" t="str">
        <f t="shared" si="11"/>
        <v>内部装修状况</v>
      </c>
      <c r="R37" s="1559" t="s">
        <v>8</v>
      </c>
      <c r="S37" s="1560">
        <f t="shared" si="12"/>
        <v>100</v>
      </c>
      <c r="T37" s="1559" t="s">
        <v>8</v>
      </c>
      <c r="U37" s="1560">
        <f t="shared" si="13"/>
        <v>100</v>
      </c>
      <c r="V37" s="1559" t="s">
        <v>8</v>
      </c>
      <c r="W37" s="1560">
        <f t="shared" si="14"/>
        <v>100</v>
      </c>
      <c r="X37" s="1553"/>
      <c r="Y37" s="3403"/>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3"/>
      <c r="Q38" s="1590">
        <f t="shared" si="11"/>
        <v>111</v>
      </c>
      <c r="R38" s="1563" t="s">
        <v>8</v>
      </c>
      <c r="S38" s="1564">
        <f t="shared" si="12"/>
        <v>100</v>
      </c>
      <c r="T38" s="1563" t="s">
        <v>8</v>
      </c>
      <c r="U38" s="1564">
        <f t="shared" si="13"/>
        <v>100</v>
      </c>
      <c r="V38" s="1563" t="s">
        <v>8</v>
      </c>
      <c r="W38" s="1564">
        <f t="shared" si="14"/>
        <v>100</v>
      </c>
      <c r="X38" s="1565"/>
      <c r="Y38" s="340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3"/>
      <c r="Q39" s="1558">
        <f t="shared" si="11"/>
        <v>111</v>
      </c>
      <c r="R39" s="1559" t="s">
        <v>8</v>
      </c>
      <c r="S39" s="1560">
        <f t="shared" si="12"/>
        <v>100</v>
      </c>
      <c r="T39" s="1559" t="s">
        <v>8</v>
      </c>
      <c r="U39" s="1560">
        <f t="shared" si="13"/>
        <v>100</v>
      </c>
      <c r="V39" s="1559" t="s">
        <v>8</v>
      </c>
      <c r="W39" s="1560">
        <f t="shared" si="14"/>
        <v>100</v>
      </c>
      <c r="X39" s="1553"/>
      <c r="Y39" s="340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6" t="str">
        <f>A41</f>
        <v>成交单价（元/平方米）</v>
      </c>
      <c r="Q41" s="3366"/>
      <c r="R41" s="3483">
        <f>E41</f>
        <v>0</v>
      </c>
      <c r="S41" s="3483"/>
      <c r="T41" s="3483">
        <f>G41</f>
        <v>0</v>
      </c>
      <c r="U41" s="3483"/>
      <c r="V41" s="3483">
        <f>I41</f>
        <v>0</v>
      </c>
      <c r="W41" s="3483"/>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66" t="str">
        <f>A42</f>
        <v>比较价格（元/平方米）</v>
      </c>
      <c r="Q42" s="336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363" t="str">
        <f>A43</f>
        <v>估价对象XX用房的比较价格（楼面单价，元/平方米）</v>
      </c>
      <c r="Q43" s="3364"/>
      <c r="R43" s="3482" t="e">
        <f>IF(F1="售价",ROUND(AVERAGE(R42:V42),0),ROUND(AVERAGE(R42:V42),1))</f>
        <v>#DIV/0!</v>
      </c>
      <c r="S43" s="3482"/>
      <c r="T43" s="3482"/>
      <c r="U43" s="3482"/>
      <c r="V43" s="3482"/>
      <c r="W43" s="348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D51" sqref="D51"/>
    </sheetView>
  </sheetViews>
  <sheetFormatPr defaultColWidth="9" defaultRowHeight="14.25"/>
  <cols>
    <col min="1" max="1" width="10.5" style="1333" customWidth="1"/>
    <col min="2" max="2" width="15.75" style="1333" customWidth="1"/>
    <col min="3" max="3" width="16.5" style="1333" customWidth="1"/>
    <col min="4" max="4" width="12.25" style="1333" customWidth="1"/>
    <col min="5" max="5" width="15.125" style="1333" customWidth="1"/>
    <col min="6" max="6" width="12.25" style="1333" customWidth="1"/>
    <col min="7" max="7" width="15.25" style="1333" customWidth="1"/>
    <col min="8" max="8" width="12.25" style="1333" customWidth="1"/>
    <col min="9" max="9" width="17.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2" t="s">
        <v>3196</v>
      </c>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f>IF(B37="元/平方米",ROUND(B3*D3/10000,0),ROUND(F3*C39/10000,0))</f>
        <v>9590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f>IF(B37="元/平方米",C39,ROUND(B2*10000/D3,0))</f>
        <v>4980</v>
      </c>
      <c r="C3" s="852" t="s">
        <v>796</v>
      </c>
      <c r="D3" s="851">
        <f>SUMIF('数据-汇总表'!$C19:$C33,D1,'数据-汇总表'!$E19:$E33)</f>
        <v>19258.47</v>
      </c>
      <c r="E3" s="1833" t="s">
        <v>2076</v>
      </c>
      <c r="F3" s="851">
        <f>SUMIF('数据-取费表'!A5:A15,D1,'数据-取费表'!AH5:AH15)</f>
        <v>649</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2" t="s">
        <v>798</v>
      </c>
      <c r="D4" s="3373"/>
      <c r="E4" s="3372" t="s">
        <v>799</v>
      </c>
      <c r="F4" s="3373"/>
      <c r="G4" s="3372" t="s">
        <v>800</v>
      </c>
      <c r="H4" s="3373"/>
      <c r="I4" s="3372" t="s">
        <v>801</v>
      </c>
      <c r="J4" s="3373"/>
      <c r="K4" s="514" t="s">
        <v>802</v>
      </c>
      <c r="L4" s="2118"/>
      <c r="M4" s="2119"/>
      <c r="N4" s="2119"/>
      <c r="O4" s="2119"/>
      <c r="P4" s="3374" t="s">
        <v>803</v>
      </c>
      <c r="Q4" s="3375"/>
      <c r="R4" s="3380" t="s">
        <v>799</v>
      </c>
      <c r="S4" s="3381"/>
      <c r="T4" s="3380" t="s">
        <v>800</v>
      </c>
      <c r="U4" s="3381"/>
      <c r="V4" s="3367" t="s">
        <v>801</v>
      </c>
      <c r="W4" s="3367"/>
      <c r="X4" s="1553"/>
      <c r="Y4" s="3380" t="s">
        <v>803</v>
      </c>
      <c r="Z4" s="3381"/>
      <c r="AA4" s="3369" t="s">
        <v>799</v>
      </c>
      <c r="AB4" s="3370" t="s">
        <v>800</v>
      </c>
      <c r="AC4" s="3369" t="s">
        <v>801</v>
      </c>
    </row>
    <row r="5" spans="1:29" ht="15">
      <c r="A5" s="515"/>
      <c r="B5" s="516"/>
      <c r="C5" s="3388" t="s">
        <v>2928</v>
      </c>
      <c r="D5" s="3389"/>
      <c r="E5" s="3489" t="s">
        <v>3205</v>
      </c>
      <c r="F5" s="3389"/>
      <c r="G5" s="3489" t="s">
        <v>3206</v>
      </c>
      <c r="H5" s="3389"/>
      <c r="I5" s="3489" t="s">
        <v>3220</v>
      </c>
      <c r="J5" s="3389"/>
      <c r="K5" s="514"/>
      <c r="L5" s="2118"/>
      <c r="M5" s="2119"/>
      <c r="N5" s="2119"/>
      <c r="O5" s="2119"/>
      <c r="P5" s="3376"/>
      <c r="Q5" s="3377"/>
      <c r="R5" s="3382"/>
      <c r="S5" s="3383"/>
      <c r="T5" s="3382"/>
      <c r="U5" s="3383"/>
      <c r="V5" s="3367"/>
      <c r="W5" s="3367"/>
      <c r="X5" s="1553"/>
      <c r="Y5" s="3382"/>
      <c r="Z5" s="3383"/>
      <c r="AA5" s="3370"/>
      <c r="AB5" s="3370"/>
      <c r="AC5" s="3370"/>
    </row>
    <row r="6" spans="1:29" ht="15.75" thickBot="1">
      <c r="A6" s="517"/>
      <c r="B6" s="518"/>
      <c r="C6" s="3386" t="s">
        <v>2932</v>
      </c>
      <c r="D6" s="3387"/>
      <c r="E6" s="3390" t="s">
        <v>2932</v>
      </c>
      <c r="F6" s="3391"/>
      <c r="G6" s="3386" t="s">
        <v>2932</v>
      </c>
      <c r="H6" s="3387"/>
      <c r="I6" s="3386" t="s">
        <v>2932</v>
      </c>
      <c r="J6" s="3387"/>
      <c r="K6" s="514" t="s">
        <v>528</v>
      </c>
      <c r="L6" s="2118"/>
      <c r="M6" s="2119"/>
      <c r="N6" s="2119"/>
      <c r="O6" s="2119"/>
      <c r="P6" s="3378"/>
      <c r="Q6" s="3379"/>
      <c r="R6" s="3382"/>
      <c r="S6" s="3383"/>
      <c r="T6" s="3384"/>
      <c r="U6" s="3385"/>
      <c r="V6" s="3367"/>
      <c r="W6" s="3367"/>
      <c r="X6" s="1553"/>
      <c r="Y6" s="3384"/>
      <c r="Z6" s="3385"/>
      <c r="AA6" s="3371"/>
      <c r="AB6" s="3371"/>
      <c r="AC6" s="3371"/>
    </row>
    <row r="7" spans="1:29" s="1216" customFormat="1" ht="15.75" thickBot="1">
      <c r="A7" s="2867"/>
      <c r="B7" s="2874" t="s">
        <v>529</v>
      </c>
      <c r="C7" s="519">
        <f>'数据-取费表'!B2</f>
        <v>43572</v>
      </c>
      <c r="D7" s="520">
        <v>100</v>
      </c>
      <c r="E7" s="521">
        <v>43497</v>
      </c>
      <c r="F7" s="522">
        <f>SUMIF(48:48,YEAR(E7)&amp;"-"&amp;MONTH(E7),49:49)</f>
        <v>100</v>
      </c>
      <c r="G7" s="523">
        <v>43466</v>
      </c>
      <c r="H7" s="520">
        <f>SUMIF(48:48,YEAR(G7)&amp;"-"&amp;MONTH(G7),49:49)</f>
        <v>100</v>
      </c>
      <c r="I7" s="523">
        <v>43405</v>
      </c>
      <c r="J7" s="520">
        <f>SUMIF(48:48,YEAR(I7)&amp;"-"&amp;MONTH(I7),49:49)</f>
        <v>99</v>
      </c>
      <c r="K7" s="524"/>
      <c r="L7" s="2120"/>
      <c r="M7" s="2121"/>
      <c r="N7" s="2121"/>
      <c r="O7" s="2121"/>
      <c r="P7" s="3397" t="s">
        <v>530</v>
      </c>
      <c r="Q7" s="3399"/>
      <c r="R7" s="1554" t="s">
        <v>8</v>
      </c>
      <c r="S7" s="1555">
        <f t="shared" ref="S7:S14" si="0">F7</f>
        <v>100</v>
      </c>
      <c r="T7" s="1554" t="s">
        <v>8</v>
      </c>
      <c r="U7" s="1555">
        <f t="shared" ref="U7:U14" si="1">H7</f>
        <v>100</v>
      </c>
      <c r="V7" s="1554" t="s">
        <v>8</v>
      </c>
      <c r="W7" s="1555">
        <f t="shared" ref="W7:W14" si="2">J7</f>
        <v>99</v>
      </c>
      <c r="X7" s="1556"/>
      <c r="Y7" s="3397" t="s">
        <v>530</v>
      </c>
      <c r="Z7" s="3398"/>
      <c r="AA7" s="1557">
        <f>D7/F7</f>
        <v>1</v>
      </c>
      <c r="AB7" s="1557">
        <f>D7/H7</f>
        <v>1</v>
      </c>
      <c r="AC7" s="1557">
        <f>D7/J7</f>
        <v>1.0101010101010102</v>
      </c>
    </row>
    <row r="8" spans="1:29" s="1216" customFormat="1" ht="15.75" thickBot="1">
      <c r="A8" s="2868"/>
      <c r="B8" s="2875"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20"/>
      <c r="M8" s="2121"/>
      <c r="N8" s="2121"/>
      <c r="O8" s="2121"/>
      <c r="P8" s="3397" t="s">
        <v>533</v>
      </c>
      <c r="Q8" s="3398"/>
      <c r="R8" s="1554" t="s">
        <v>8</v>
      </c>
      <c r="S8" s="1555">
        <f t="shared" si="0"/>
        <v>100</v>
      </c>
      <c r="T8" s="1554" t="s">
        <v>8</v>
      </c>
      <c r="U8" s="1555">
        <f t="shared" si="1"/>
        <v>100</v>
      </c>
      <c r="V8" s="1554" t="s">
        <v>8</v>
      </c>
      <c r="W8" s="1555">
        <f t="shared" si="2"/>
        <v>100</v>
      </c>
      <c r="X8" s="1556"/>
      <c r="Y8" s="3397" t="s">
        <v>533</v>
      </c>
      <c r="Z8" s="3398"/>
      <c r="AA8" s="1557">
        <f t="shared" ref="AA8:AA36" si="3">D8/F8</f>
        <v>1</v>
      </c>
      <c r="AB8" s="1557">
        <f t="shared" ref="AB8:AB36" si="4">D8/H8</f>
        <v>1</v>
      </c>
      <c r="AC8" s="1557">
        <f t="shared" ref="AC8:AC36" si="5">D8/J8</f>
        <v>1</v>
      </c>
    </row>
    <row r="9" spans="1:29" s="1216" customFormat="1" ht="15">
      <c r="A9" s="2869"/>
      <c r="B9" s="2876" t="s">
        <v>2756</v>
      </c>
      <c r="C9" s="3195" t="s">
        <v>3195</v>
      </c>
      <c r="D9" s="254">
        <v>100</v>
      </c>
      <c r="E9" s="860" t="s">
        <v>35</v>
      </c>
      <c r="F9" s="254">
        <f>SUMIF(53:53,E9,54:54)-SUMIF(53:53,C9,54:54)+100</f>
        <v>100</v>
      </c>
      <c r="G9" s="860" t="s">
        <v>35</v>
      </c>
      <c r="H9" s="254">
        <f>SUMIF(53:53,G9,54:54)-SUMIF(53:53,C9,54:54)+100</f>
        <v>100</v>
      </c>
      <c r="I9" s="860" t="s">
        <v>35</v>
      </c>
      <c r="J9" s="254">
        <f>SUMIF(53:53,I9,54:54)-SUMIF(53:53,C9,54:54)+100</f>
        <v>100</v>
      </c>
      <c r="K9" s="524"/>
      <c r="L9" s="2120"/>
      <c r="M9" s="2121"/>
      <c r="N9" s="2121"/>
      <c r="O9" s="2122"/>
      <c r="P9" s="3366" t="s">
        <v>535</v>
      </c>
      <c r="Q9" s="1147" t="str">
        <f t="shared" ref="Q9:Q14" si="6">B9</f>
        <v>用途</v>
      </c>
      <c r="R9" s="1554" t="s">
        <v>8</v>
      </c>
      <c r="S9" s="1555">
        <f t="shared" si="0"/>
        <v>100</v>
      </c>
      <c r="T9" s="1554" t="s">
        <v>8</v>
      </c>
      <c r="U9" s="1555">
        <f t="shared" si="1"/>
        <v>100</v>
      </c>
      <c r="V9" s="1554" t="s">
        <v>8</v>
      </c>
      <c r="W9" s="1555">
        <f t="shared" si="2"/>
        <v>100</v>
      </c>
      <c r="X9" s="1556"/>
      <c r="Y9" s="3312" t="s">
        <v>536</v>
      </c>
      <c r="Z9" s="1146" t="str">
        <f t="shared" ref="Z9:Z14" si="7">Q9</f>
        <v>用途</v>
      </c>
      <c r="AA9" s="1557">
        <f t="shared" si="3"/>
        <v>1</v>
      </c>
      <c r="AB9" s="1557">
        <f t="shared" si="4"/>
        <v>1</v>
      </c>
      <c r="AC9" s="1557">
        <f t="shared" si="5"/>
        <v>1</v>
      </c>
    </row>
    <row r="10" spans="1:29" s="1334" customFormat="1" ht="27">
      <c r="A10" s="2870"/>
      <c r="B10" s="2875" t="s">
        <v>2757</v>
      </c>
      <c r="C10" s="861" t="s">
        <v>3197</v>
      </c>
      <c r="D10" s="255">
        <v>100</v>
      </c>
      <c r="E10" s="861" t="s">
        <v>3197</v>
      </c>
      <c r="F10" s="255">
        <f>SUMIF(55:55,E10,56:56)-SUMIF(55:55,C10,56:56)+100</f>
        <v>100</v>
      </c>
      <c r="G10" s="861" t="s">
        <v>3197</v>
      </c>
      <c r="H10" s="255">
        <f>SUMIF(55:55,G10,56:56)-SUMIF(55:55,C10,56:56)+100</f>
        <v>100</v>
      </c>
      <c r="I10" s="861" t="s">
        <v>3197</v>
      </c>
      <c r="J10" s="255">
        <f>SUMIF(55:55,I10,56:56)-SUMIF(55:55,C10,56:56)+100</f>
        <v>100</v>
      </c>
      <c r="K10" s="584"/>
      <c r="L10" s="2123"/>
      <c r="M10" s="2163"/>
      <c r="N10" s="2163"/>
      <c r="O10" s="2124"/>
      <c r="P10" s="3366"/>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6"/>
      <c r="Q11" s="1147">
        <f t="shared" si="6"/>
        <v>111</v>
      </c>
      <c r="R11" s="1554" t="s">
        <v>8</v>
      </c>
      <c r="S11" s="1555">
        <f t="shared" si="0"/>
        <v>100</v>
      </c>
      <c r="T11" s="1554" t="s">
        <v>8</v>
      </c>
      <c r="U11" s="1555">
        <f t="shared" si="1"/>
        <v>100</v>
      </c>
      <c r="V11" s="1554" t="s">
        <v>8</v>
      </c>
      <c r="W11" s="1555">
        <f t="shared" si="2"/>
        <v>100</v>
      </c>
      <c r="X11" s="1556"/>
      <c r="Y11" s="3312"/>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6"/>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6"/>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71.25">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103</v>
      </c>
      <c r="G14" s="552"/>
      <c r="H14" s="549">
        <f>SUMIF(63:63,G15,64:64)-SUMIF(63:63,C15,64:64)+100</f>
        <v>100</v>
      </c>
      <c r="I14" s="550"/>
      <c r="J14" s="549">
        <f>SUMIF(63:63,I15,64:64)-SUMIF(63:63,C15,64:64)+100</f>
        <v>103</v>
      </c>
      <c r="K14" s="898">
        <v>3</v>
      </c>
      <c r="L14" s="2127"/>
      <c r="M14" s="2119"/>
      <c r="N14" s="2119"/>
      <c r="O14" s="2126"/>
      <c r="P14" s="3400" t="s">
        <v>540</v>
      </c>
      <c r="Q14" s="1558" t="str">
        <f t="shared" si="6"/>
        <v>交通便捷度</v>
      </c>
      <c r="R14" s="1559" t="s">
        <v>8</v>
      </c>
      <c r="S14" s="1560">
        <f t="shared" si="0"/>
        <v>103</v>
      </c>
      <c r="T14" s="1559" t="s">
        <v>8</v>
      </c>
      <c r="U14" s="1560">
        <f t="shared" si="1"/>
        <v>100</v>
      </c>
      <c r="V14" s="1559" t="s">
        <v>8</v>
      </c>
      <c r="W14" s="1560">
        <f t="shared" si="2"/>
        <v>103</v>
      </c>
      <c r="X14" s="1553"/>
      <c r="Y14" s="3400" t="s">
        <v>540</v>
      </c>
      <c r="Z14" s="1561" t="str">
        <f t="shared" si="7"/>
        <v>交通便捷度</v>
      </c>
      <c r="AA14" s="1562">
        <f t="shared" si="3"/>
        <v>0.970873786407767</v>
      </c>
      <c r="AB14" s="1562">
        <f t="shared" si="4"/>
        <v>1</v>
      </c>
      <c r="AC14" s="1562">
        <f t="shared" si="5"/>
        <v>0.970873786407767</v>
      </c>
    </row>
    <row r="15" spans="1:29" ht="15">
      <c r="A15" s="515"/>
      <c r="B15" s="924"/>
      <c r="C15" s="576" t="s">
        <v>3175</v>
      </c>
      <c r="D15" s="555"/>
      <c r="E15" s="576" t="s">
        <v>3182</v>
      </c>
      <c r="F15" s="557"/>
      <c r="G15" s="576" t="s">
        <v>3175</v>
      </c>
      <c r="H15" s="559"/>
      <c r="I15" s="576" t="s">
        <v>3182</v>
      </c>
      <c r="J15" s="555"/>
      <c r="K15" s="899"/>
      <c r="L15" s="2127"/>
      <c r="M15" s="2119"/>
      <c r="N15" s="2119"/>
      <c r="O15" s="2126"/>
      <c r="P15" s="3401"/>
      <c r="Q15" s="1558"/>
      <c r="R15" s="1559"/>
      <c r="S15" s="1560"/>
      <c r="T15" s="1559"/>
      <c r="U15" s="1560"/>
      <c r="V15" s="1559"/>
      <c r="W15" s="1560"/>
      <c r="X15" s="1553"/>
      <c r="Y15" s="3401"/>
      <c r="Z15" s="1561"/>
      <c r="AA15" s="1562">
        <v>1</v>
      </c>
      <c r="AB15" s="1562">
        <v>1</v>
      </c>
      <c r="AC15" s="1562">
        <v>1</v>
      </c>
    </row>
    <row r="16" spans="1:29" ht="42.75">
      <c r="A16" s="515"/>
      <c r="B16" s="2567" t="s">
        <v>2546</v>
      </c>
      <c r="C16" s="872" t="str">
        <f>IF(B1="工业",估价对象房地状况!G5,估价对象房地状况!C7)</f>
        <v>估价对象所在区域公共配套设施齐备情况</v>
      </c>
      <c r="D16" s="565">
        <v>100</v>
      </c>
      <c r="E16" s="572"/>
      <c r="F16" s="571">
        <f>SUMIF(65:65,E17,66:66)-SUMIF(65:65,C17,66:66)+100</f>
        <v>103</v>
      </c>
      <c r="G16" s="572"/>
      <c r="H16" s="565">
        <f>SUMIF(65:65,G17,66:66)-SUMIF(65:65,C17,66:66)+100</f>
        <v>100</v>
      </c>
      <c r="I16" s="570"/>
      <c r="J16" s="565">
        <f>SUMIF(65:65,I17,66:66)-SUMIF(65:65,C17,66:66)+100</f>
        <v>103</v>
      </c>
      <c r="K16" s="898">
        <v>3</v>
      </c>
      <c r="L16" s="2127"/>
      <c r="M16" s="2119"/>
      <c r="N16" s="2119"/>
      <c r="O16" s="2126"/>
      <c r="P16" s="3401"/>
      <c r="Q16" s="1558" t="str">
        <f>B16</f>
        <v>公共配套设施</v>
      </c>
      <c r="R16" s="1559" t="s">
        <v>8</v>
      </c>
      <c r="S16" s="1560">
        <f>F16</f>
        <v>103</v>
      </c>
      <c r="T16" s="1559" t="s">
        <v>8</v>
      </c>
      <c r="U16" s="1560">
        <f>H16</f>
        <v>100</v>
      </c>
      <c r="V16" s="1559" t="s">
        <v>8</v>
      </c>
      <c r="W16" s="1560">
        <f>J16</f>
        <v>103</v>
      </c>
      <c r="X16" s="1553"/>
      <c r="Y16" s="3401"/>
      <c r="Z16" s="1561" t="str">
        <f>Q16</f>
        <v>公共配套设施</v>
      </c>
      <c r="AA16" s="1562">
        <f t="shared" si="3"/>
        <v>0.970873786407767</v>
      </c>
      <c r="AB16" s="1562">
        <f t="shared" si="4"/>
        <v>1</v>
      </c>
      <c r="AC16" s="1562">
        <f t="shared" si="5"/>
        <v>0.970873786407767</v>
      </c>
    </row>
    <row r="17" spans="1:29" ht="15">
      <c r="A17" s="515"/>
      <c r="B17" s="566"/>
      <c r="C17" s="873" t="s">
        <v>3185</v>
      </c>
      <c r="D17" s="555"/>
      <c r="E17" s="576" t="s">
        <v>3175</v>
      </c>
      <c r="F17" s="557"/>
      <c r="G17" s="873" t="s">
        <v>3185</v>
      </c>
      <c r="H17" s="555"/>
      <c r="I17" s="873" t="s">
        <v>3175</v>
      </c>
      <c r="J17" s="555"/>
      <c r="K17" s="899"/>
      <c r="L17" s="2127"/>
      <c r="M17" s="2119"/>
      <c r="N17" s="2119"/>
      <c r="O17" s="2126"/>
      <c r="P17" s="3401"/>
      <c r="Q17" s="1558"/>
      <c r="R17" s="1559"/>
      <c r="S17" s="1560"/>
      <c r="T17" s="1559"/>
      <c r="U17" s="1560"/>
      <c r="V17" s="1559"/>
      <c r="W17" s="1560"/>
      <c r="X17" s="1553"/>
      <c r="Y17" s="3401"/>
      <c r="Z17" s="1561"/>
      <c r="AA17" s="1562">
        <v>1</v>
      </c>
      <c r="AB17" s="1562">
        <v>1</v>
      </c>
      <c r="AC17" s="1562">
        <v>1</v>
      </c>
    </row>
    <row r="18" spans="1:29" ht="28.5">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27"/>
      <c r="M18" s="2119"/>
      <c r="N18" s="2119"/>
      <c r="O18" s="2126"/>
      <c r="P18" s="3401"/>
      <c r="Q18" s="2543" t="str">
        <f>B18</f>
        <v>基础设施水平</v>
      </c>
      <c r="R18" s="1559" t="s">
        <v>8</v>
      </c>
      <c r="S18" s="1560">
        <f>F18</f>
        <v>100</v>
      </c>
      <c r="T18" s="1559" t="s">
        <v>8</v>
      </c>
      <c r="U18" s="1560">
        <f>H18</f>
        <v>100</v>
      </c>
      <c r="V18" s="1559" t="s">
        <v>8</v>
      </c>
      <c r="W18" s="1560">
        <f>J18</f>
        <v>100</v>
      </c>
      <c r="X18" s="2545"/>
      <c r="Y18" s="3401"/>
      <c r="Z18" s="2544" t="str">
        <f>Q18</f>
        <v>基础设施水平</v>
      </c>
      <c r="AA18" s="1562">
        <f t="shared" ref="AA18" si="8">D18/F18</f>
        <v>1</v>
      </c>
      <c r="AB18" s="1562">
        <f t="shared" ref="AB18" si="9">D18/H18</f>
        <v>1</v>
      </c>
      <c r="AC18" s="1562">
        <f t="shared" ref="AC18" si="10">D18/J18</f>
        <v>1</v>
      </c>
    </row>
    <row r="19" spans="1:29" ht="15">
      <c r="A19" s="515"/>
      <c r="B19" s="578"/>
      <c r="C19" s="873" t="s">
        <v>3181</v>
      </c>
      <c r="D19" s="559"/>
      <c r="E19" s="873" t="s">
        <v>3181</v>
      </c>
      <c r="F19" s="557"/>
      <c r="G19" s="873" t="s">
        <v>3181</v>
      </c>
      <c r="H19" s="555"/>
      <c r="I19" s="873" t="s">
        <v>3181</v>
      </c>
      <c r="J19" s="555"/>
      <c r="K19" s="2566"/>
      <c r="L19" s="2127"/>
      <c r="M19" s="2119"/>
      <c r="N19" s="2119"/>
      <c r="O19" s="2126"/>
      <c r="P19" s="3401"/>
      <c r="Q19" s="2543"/>
      <c r="R19" s="1559"/>
      <c r="S19" s="1560"/>
      <c r="T19" s="1559"/>
      <c r="U19" s="1560"/>
      <c r="V19" s="1559"/>
      <c r="W19" s="1560"/>
      <c r="X19" s="2545"/>
      <c r="Y19" s="3401"/>
      <c r="Z19" s="2544"/>
      <c r="AA19" s="1562">
        <v>1</v>
      </c>
      <c r="AB19" s="1562">
        <v>1</v>
      </c>
      <c r="AC19" s="1562">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7"/>
      <c r="M20" s="2119"/>
      <c r="N20" s="2119"/>
      <c r="O20" s="2126"/>
      <c r="P20" s="3401"/>
      <c r="Q20" s="1558" t="str">
        <f>B20</f>
        <v>自然及人文环境</v>
      </c>
      <c r="R20" s="1559" t="s">
        <v>8</v>
      </c>
      <c r="S20" s="1560">
        <f>F20</f>
        <v>100</v>
      </c>
      <c r="T20" s="1559" t="s">
        <v>8</v>
      </c>
      <c r="U20" s="1560">
        <f>H20</f>
        <v>100</v>
      </c>
      <c r="V20" s="1559" t="s">
        <v>8</v>
      </c>
      <c r="W20" s="1560">
        <f>J20</f>
        <v>100</v>
      </c>
      <c r="X20" s="1553"/>
      <c r="Y20" s="3401"/>
      <c r="Z20" s="1561" t="str">
        <f>Q20</f>
        <v>自然及人文环境</v>
      </c>
      <c r="AA20" s="1562">
        <f t="shared" si="3"/>
        <v>1</v>
      </c>
      <c r="AB20" s="1562">
        <f t="shared" si="4"/>
        <v>1</v>
      </c>
      <c r="AC20" s="1562">
        <f t="shared" si="5"/>
        <v>1</v>
      </c>
    </row>
    <row r="21" spans="1:29" ht="15">
      <c r="A21" s="515"/>
      <c r="B21" s="566"/>
      <c r="C21" s="576" t="s">
        <v>3175</v>
      </c>
      <c r="D21" s="555"/>
      <c r="E21" s="576" t="s">
        <v>3175</v>
      </c>
      <c r="F21" s="557"/>
      <c r="G21" s="576" t="s">
        <v>3175</v>
      </c>
      <c r="H21" s="555"/>
      <c r="I21" s="576" t="s">
        <v>3175</v>
      </c>
      <c r="J21" s="555"/>
      <c r="K21" s="899"/>
      <c r="L21" s="2127"/>
      <c r="M21" s="2119"/>
      <c r="N21" s="2119"/>
      <c r="O21" s="2126"/>
      <c r="P21" s="3401"/>
      <c r="Q21" s="1558"/>
      <c r="R21" s="1559"/>
      <c r="S21" s="1560"/>
      <c r="T21" s="1559"/>
      <c r="U21" s="1560"/>
      <c r="V21" s="1559"/>
      <c r="W21" s="1560"/>
      <c r="X21" s="1553"/>
      <c r="Y21" s="340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1"/>
      <c r="Q22" s="1558" t="str">
        <f>B22</f>
        <v>楼层</v>
      </c>
      <c r="R22" s="1559" t="s">
        <v>8</v>
      </c>
      <c r="S22" s="1560">
        <f>F22</f>
        <v>100</v>
      </c>
      <c r="T22" s="1559" t="s">
        <v>8</v>
      </c>
      <c r="U22" s="1560">
        <f>H22</f>
        <v>100</v>
      </c>
      <c r="V22" s="1559" t="s">
        <v>8</v>
      </c>
      <c r="W22" s="1560">
        <f>J22</f>
        <v>100</v>
      </c>
      <c r="X22" s="1553"/>
      <c r="Y22" s="340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1"/>
      <c r="Q23" s="1558">
        <f>B23</f>
        <v>111</v>
      </c>
      <c r="R23" s="1559" t="s">
        <v>8</v>
      </c>
      <c r="S23" s="1560">
        <f>F23</f>
        <v>100</v>
      </c>
      <c r="T23" s="1559" t="s">
        <v>8</v>
      </c>
      <c r="U23" s="1560">
        <f>H23</f>
        <v>100</v>
      </c>
      <c r="V23" s="1559" t="s">
        <v>8</v>
      </c>
      <c r="W23" s="1560">
        <f>J23</f>
        <v>100</v>
      </c>
      <c r="X23" s="1553"/>
      <c r="Y23" s="340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1"/>
      <c r="Q24" s="1558">
        <f t="shared" ref="Q24:Q36" si="11">B24</f>
        <v>111</v>
      </c>
      <c r="R24" s="1559" t="s">
        <v>8</v>
      </c>
      <c r="S24" s="1560">
        <f>F24</f>
        <v>100</v>
      </c>
      <c r="T24" s="1559" t="s">
        <v>8</v>
      </c>
      <c r="U24" s="1560">
        <f>H24</f>
        <v>100</v>
      </c>
      <c r="V24" s="1559" t="s">
        <v>8</v>
      </c>
      <c r="W24" s="1560">
        <f>J24</f>
        <v>100</v>
      </c>
      <c r="X24" s="1553"/>
      <c r="Y24" s="3401"/>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1"/>
      <c r="Q25" s="1147">
        <f t="shared" si="11"/>
        <v>111</v>
      </c>
      <c r="R25" s="1554" t="s">
        <v>8</v>
      </c>
      <c r="S25" s="1555">
        <f>F25</f>
        <v>100</v>
      </c>
      <c r="T25" s="1554" t="s">
        <v>8</v>
      </c>
      <c r="U25" s="1555">
        <f>H25</f>
        <v>100</v>
      </c>
      <c r="V25" s="1554" t="s">
        <v>8</v>
      </c>
      <c r="W25" s="1555">
        <f>J25</f>
        <v>100</v>
      </c>
      <c r="X25" s="1556"/>
      <c r="Y25" s="3401"/>
      <c r="Z25" s="1146">
        <f>Q25</f>
        <v>111</v>
      </c>
      <c r="AA25" s="1562">
        <f>D25/F25</f>
        <v>1</v>
      </c>
      <c r="AB25" s="1562">
        <f>D25/H25</f>
        <v>1</v>
      </c>
      <c r="AC25" s="1562">
        <f>D25/J25</f>
        <v>1</v>
      </c>
    </row>
    <row r="26" spans="1:29" ht="15">
      <c r="A26" s="2862" t="s">
        <v>2755</v>
      </c>
      <c r="B26" s="170" t="s">
        <v>806</v>
      </c>
      <c r="C26" s="928" t="str">
        <f>B1</f>
        <v>住宅</v>
      </c>
      <c r="D26" s="555">
        <v>100</v>
      </c>
      <c r="E26" s="576" t="s">
        <v>923</v>
      </c>
      <c r="F26" s="557">
        <f>SUMIF(79:79,E26,80:80)-SUMIF(79:79,C26,80:80)+100</f>
        <v>100</v>
      </c>
      <c r="G26" s="576" t="s">
        <v>923</v>
      </c>
      <c r="H26" s="555">
        <f>SUMIF(79:79,G26,80:80)-SUMIF(79:79,C26,80:80)+100</f>
        <v>100</v>
      </c>
      <c r="I26" s="576" t="s">
        <v>1677</v>
      </c>
      <c r="J26" s="555">
        <f>SUMIF(79:79,I26,80:80)-SUMIF(79:79,C26,80:80)+100</f>
        <v>105</v>
      </c>
      <c r="K26" s="584">
        <v>-5</v>
      </c>
      <c r="L26" s="2127"/>
      <c r="M26" s="2119"/>
      <c r="N26" s="2119"/>
      <c r="O26" s="2126"/>
      <c r="P26" s="3402" t="s">
        <v>550</v>
      </c>
      <c r="Q26" s="1558" t="str">
        <f t="shared" si="11"/>
        <v>配套类型</v>
      </c>
      <c r="R26" s="1559" t="s">
        <v>8</v>
      </c>
      <c r="S26" s="1560">
        <f t="shared" ref="S26:S36" si="12">F26</f>
        <v>100</v>
      </c>
      <c r="T26" s="1559" t="s">
        <v>8</v>
      </c>
      <c r="U26" s="1560">
        <f t="shared" ref="U26:U36" si="13">H26</f>
        <v>100</v>
      </c>
      <c r="V26" s="1559" t="s">
        <v>8</v>
      </c>
      <c r="W26" s="1560">
        <f t="shared" ref="W26:W36" si="14">J26</f>
        <v>105</v>
      </c>
      <c r="X26" s="1553"/>
      <c r="Y26" s="3403" t="s">
        <v>550</v>
      </c>
      <c r="Z26" s="1561" t="str">
        <f t="shared" ref="Z26:Z36" si="15">Q26</f>
        <v>配套类型</v>
      </c>
      <c r="AA26" s="1562">
        <f t="shared" si="3"/>
        <v>1</v>
      </c>
      <c r="AB26" s="1562">
        <f t="shared" si="4"/>
        <v>1</v>
      </c>
      <c r="AC26" s="1562">
        <f t="shared" si="5"/>
        <v>0.95238095238095233</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3"/>
      <c r="Q27" s="1590" t="str">
        <f t="shared" si="11"/>
        <v>项目停车位配比</v>
      </c>
      <c r="R27" s="1563" t="s">
        <v>8</v>
      </c>
      <c r="S27" s="1564">
        <f t="shared" si="12"/>
        <v>100</v>
      </c>
      <c r="T27" s="1563" t="s">
        <v>8</v>
      </c>
      <c r="U27" s="1564">
        <f t="shared" si="13"/>
        <v>100</v>
      </c>
      <c r="V27" s="1563" t="s">
        <v>8</v>
      </c>
      <c r="W27" s="1564">
        <f t="shared" si="14"/>
        <v>100</v>
      </c>
      <c r="X27" s="1565"/>
      <c r="Y27" s="3403"/>
      <c r="Z27" s="1566" t="str">
        <f t="shared" si="15"/>
        <v>项目停车位配比</v>
      </c>
      <c r="AA27" s="1562">
        <f t="shared" si="3"/>
        <v>1</v>
      </c>
      <c r="AB27" s="1562">
        <f t="shared" si="4"/>
        <v>1</v>
      </c>
      <c r="AC27" s="1562">
        <f t="shared" si="5"/>
        <v>1</v>
      </c>
    </row>
    <row r="28" spans="1:29" ht="15">
      <c r="A28" s="931"/>
      <c r="B28" s="582" t="s">
        <v>808</v>
      </c>
      <c r="C28" s="574" t="s">
        <v>3198</v>
      </c>
      <c r="D28" s="540">
        <v>100</v>
      </c>
      <c r="E28" s="574" t="s">
        <v>3198</v>
      </c>
      <c r="F28" s="575">
        <f>SUMIF(83:83,E28,84:84)-SUMIF(83:83,C28,84:84)+100</f>
        <v>100</v>
      </c>
      <c r="G28" s="574" t="s">
        <v>3198</v>
      </c>
      <c r="H28" s="540">
        <f>SUMIF(83:83,G28,84:84)-SUMIF(83:83,C28,84:84)+100</f>
        <v>100</v>
      </c>
      <c r="I28" s="574" t="s">
        <v>3198</v>
      </c>
      <c r="J28" s="540">
        <f>SUMIF(83:83,I28,84:84)-SUMIF(83:83,C28,84:84)+100</f>
        <v>100</v>
      </c>
      <c r="K28" s="584">
        <v>1</v>
      </c>
      <c r="L28" s="2127"/>
      <c r="M28" s="2119"/>
      <c r="N28" s="2119"/>
      <c r="O28" s="2126"/>
      <c r="P28" s="3403"/>
      <c r="Q28" s="1558" t="str">
        <f t="shared" si="11"/>
        <v>公共部分装修</v>
      </c>
      <c r="R28" s="1559" t="s">
        <v>8</v>
      </c>
      <c r="S28" s="1560">
        <f t="shared" si="12"/>
        <v>100</v>
      </c>
      <c r="T28" s="1559" t="s">
        <v>8</v>
      </c>
      <c r="U28" s="1560">
        <f t="shared" si="13"/>
        <v>100</v>
      </c>
      <c r="V28" s="1559" t="s">
        <v>8</v>
      </c>
      <c r="W28" s="1560">
        <f t="shared" si="14"/>
        <v>100</v>
      </c>
      <c r="X28" s="1553"/>
      <c r="Y28" s="3403"/>
      <c r="Z28" s="1561" t="str">
        <f t="shared" si="15"/>
        <v>公共部分装修</v>
      </c>
      <c r="AA28" s="1562">
        <f t="shared" si="3"/>
        <v>1</v>
      </c>
      <c r="AB28" s="1562">
        <f t="shared" si="4"/>
        <v>1</v>
      </c>
      <c r="AC28" s="1562">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27"/>
      <c r="M29" s="2119"/>
      <c r="N29" s="2119"/>
      <c r="O29" s="2126"/>
      <c r="P29" s="3403"/>
      <c r="Q29" s="1558" t="str">
        <f t="shared" si="11"/>
        <v>成新率</v>
      </c>
      <c r="R29" s="1559" t="s">
        <v>8</v>
      </c>
      <c r="S29" s="1560">
        <f t="shared" si="12"/>
        <v>100</v>
      </c>
      <c r="T29" s="1559" t="s">
        <v>8</v>
      </c>
      <c r="U29" s="1560">
        <f t="shared" si="13"/>
        <v>100</v>
      </c>
      <c r="V29" s="1559" t="s">
        <v>8</v>
      </c>
      <c r="W29" s="1560">
        <f t="shared" si="14"/>
        <v>100</v>
      </c>
      <c r="X29" s="1553"/>
      <c r="Y29" s="3403"/>
      <c r="Z29" s="1561" t="str">
        <f t="shared" si="15"/>
        <v>成新率</v>
      </c>
      <c r="AA29" s="1562">
        <f t="shared" si="3"/>
        <v>1</v>
      </c>
      <c r="AB29" s="1562">
        <f t="shared" si="4"/>
        <v>1</v>
      </c>
      <c r="AC29" s="1562">
        <f t="shared" si="5"/>
        <v>1</v>
      </c>
    </row>
    <row r="30" spans="1:29" ht="15">
      <c r="A30" s="931"/>
      <c r="B30" s="582" t="s">
        <v>810</v>
      </c>
      <c r="C30" s="932" t="s">
        <v>3200</v>
      </c>
      <c r="D30" s="540">
        <v>100</v>
      </c>
      <c r="E30" s="932" t="s">
        <v>3200</v>
      </c>
      <c r="F30" s="575">
        <f>SUMIF(88:88,E30,89:89)-SUMIF(88:88,C30,89:89)+100</f>
        <v>100</v>
      </c>
      <c r="G30" s="932" t="s">
        <v>3200</v>
      </c>
      <c r="H30" s="540">
        <f>SUMIF(88:88,E30,89:89)-SUMIF(88:88,C30,89:89)+100</f>
        <v>100</v>
      </c>
      <c r="I30" s="932" t="s">
        <v>3200</v>
      </c>
      <c r="J30" s="540">
        <f>SUMIF(88:88,E30,89:89)-SUMIF(88:88,C30,89:89)+100</f>
        <v>100</v>
      </c>
      <c r="K30" s="584">
        <v>1</v>
      </c>
      <c r="L30" s="2127"/>
      <c r="M30" s="2119"/>
      <c r="N30" s="2119"/>
      <c r="O30" s="2126"/>
      <c r="P30" s="3403"/>
      <c r="Q30" s="1558" t="str">
        <f t="shared" si="11"/>
        <v>物业等级</v>
      </c>
      <c r="R30" s="1559" t="s">
        <v>8</v>
      </c>
      <c r="S30" s="1560">
        <f t="shared" si="12"/>
        <v>100</v>
      </c>
      <c r="T30" s="1559" t="s">
        <v>8</v>
      </c>
      <c r="U30" s="1560">
        <f t="shared" si="13"/>
        <v>100</v>
      </c>
      <c r="V30" s="1559" t="s">
        <v>8</v>
      </c>
      <c r="W30" s="1560">
        <f t="shared" si="14"/>
        <v>100</v>
      </c>
      <c r="X30" s="1553"/>
      <c r="Y30" s="3403"/>
      <c r="Z30" s="1561" t="str">
        <f t="shared" si="15"/>
        <v>物业等级</v>
      </c>
      <c r="AA30" s="1562">
        <f t="shared" si="3"/>
        <v>1</v>
      </c>
      <c r="AB30" s="1562">
        <f t="shared" si="4"/>
        <v>1</v>
      </c>
      <c r="AC30" s="1562">
        <f t="shared" si="5"/>
        <v>1</v>
      </c>
    </row>
    <row r="31" spans="1:29" s="1216" customFormat="1" ht="15">
      <c r="A31" s="933"/>
      <c r="B31" s="582" t="s">
        <v>811</v>
      </c>
      <c r="C31" s="880">
        <v>35</v>
      </c>
      <c r="D31" s="255">
        <v>100</v>
      </c>
      <c r="E31" s="880">
        <v>38</v>
      </c>
      <c r="F31" s="575">
        <f>LOOKUP(E31,91:91,92:92)-LOOKUP(C31,91:91,92:92)+100</f>
        <v>100</v>
      </c>
      <c r="G31" s="880">
        <v>32</v>
      </c>
      <c r="H31" s="540">
        <f>LOOKUP(G31,91:91,92:92)-LOOKUP(C31,91:91,92:92)+100</f>
        <v>100</v>
      </c>
      <c r="I31" s="880">
        <v>37.200000000000003</v>
      </c>
      <c r="J31" s="540">
        <f>LOOKUP(I31,91:91,92:92)-LOOKUP(C31,91:91,92:92)+100</f>
        <v>100</v>
      </c>
      <c r="K31" s="584">
        <v>1</v>
      </c>
      <c r="L31" s="2120"/>
      <c r="M31" s="2121"/>
      <c r="N31" s="2121"/>
      <c r="O31" s="2122"/>
      <c r="P31" s="3403"/>
      <c r="Q31" s="1147" t="str">
        <f t="shared" si="11"/>
        <v>停车位面积</v>
      </c>
      <c r="R31" s="1554" t="s">
        <v>8</v>
      </c>
      <c r="S31" s="1555">
        <f t="shared" si="12"/>
        <v>100</v>
      </c>
      <c r="T31" s="1554" t="s">
        <v>8</v>
      </c>
      <c r="U31" s="1555">
        <f t="shared" si="13"/>
        <v>100</v>
      </c>
      <c r="V31" s="1554" t="s">
        <v>8</v>
      </c>
      <c r="W31" s="1555">
        <f t="shared" si="14"/>
        <v>100</v>
      </c>
      <c r="X31" s="1556"/>
      <c r="Y31" s="3403"/>
      <c r="Z31" s="1146" t="str">
        <f t="shared" si="15"/>
        <v>停车位面积</v>
      </c>
      <c r="AA31" s="1557">
        <f t="shared" si="3"/>
        <v>1</v>
      </c>
      <c r="AB31" s="1557">
        <f t="shared" si="4"/>
        <v>1</v>
      </c>
      <c r="AC31" s="1557">
        <f t="shared" si="5"/>
        <v>1</v>
      </c>
    </row>
    <row r="32" spans="1:29" ht="15">
      <c r="A32" s="931"/>
      <c r="B32" s="582" t="s">
        <v>812</v>
      </c>
      <c r="C32" s="574" t="s">
        <v>3202</v>
      </c>
      <c r="D32" s="540">
        <v>100</v>
      </c>
      <c r="E32" s="574" t="s">
        <v>3202</v>
      </c>
      <c r="F32" s="575">
        <f>SUMIF(93:93,E32,94:94)-SUMIF(93:93,C32,94:94)+100</f>
        <v>100</v>
      </c>
      <c r="G32" s="574" t="s">
        <v>3202</v>
      </c>
      <c r="H32" s="540">
        <f>SUMIF(93:93,G32,94:94)-SUMIF(93:93,C32,94:94)+100</f>
        <v>100</v>
      </c>
      <c r="I32" s="574" t="s">
        <v>3202</v>
      </c>
      <c r="J32" s="540">
        <f>SUMIF(93:93,I32,94:94)-SUMIF(93:93,C32,94:94)+100</f>
        <v>100</v>
      </c>
      <c r="K32" s="584">
        <v>1</v>
      </c>
      <c r="L32" s="2127"/>
      <c r="M32" s="2119"/>
      <c r="N32" s="2119"/>
      <c r="O32" s="2126"/>
      <c r="P32" s="3403" t="s">
        <v>550</v>
      </c>
      <c r="Q32" s="1558" t="str">
        <f t="shared" si="11"/>
        <v>车位类型</v>
      </c>
      <c r="R32" s="1559" t="s">
        <v>8</v>
      </c>
      <c r="S32" s="1560">
        <f t="shared" si="12"/>
        <v>100</v>
      </c>
      <c r="T32" s="1559" t="s">
        <v>8</v>
      </c>
      <c r="U32" s="1560">
        <f t="shared" si="13"/>
        <v>100</v>
      </c>
      <c r="V32" s="1559" t="s">
        <v>8</v>
      </c>
      <c r="W32" s="1560">
        <f t="shared" si="14"/>
        <v>100</v>
      </c>
      <c r="X32" s="1553"/>
      <c r="Y32" s="3403" t="s">
        <v>550</v>
      </c>
      <c r="Z32" s="1561" t="str">
        <f t="shared" si="15"/>
        <v>车位类型</v>
      </c>
      <c r="AA32" s="1562">
        <f t="shared" si="3"/>
        <v>1</v>
      </c>
      <c r="AB32" s="1562">
        <f t="shared" si="4"/>
        <v>1</v>
      </c>
      <c r="AC32" s="1562">
        <f t="shared" si="5"/>
        <v>1</v>
      </c>
    </row>
    <row r="33" spans="1:29" ht="15">
      <c r="A33" s="931"/>
      <c r="B33" s="582" t="s">
        <v>813</v>
      </c>
      <c r="C33" s="574" t="s">
        <v>3166</v>
      </c>
      <c r="D33" s="540">
        <v>100</v>
      </c>
      <c r="E33" s="574" t="s">
        <v>3166</v>
      </c>
      <c r="F33" s="575">
        <f>SUMIF(95:95,E33,96:96)-SUMIF(95:95,C33,96:96)+100</f>
        <v>100</v>
      </c>
      <c r="G33" s="574" t="s">
        <v>3166</v>
      </c>
      <c r="H33" s="540">
        <f>SUMIF(95:95,G33,96:96)-SUMIF(95:95,C33,96:96)+100</f>
        <v>100</v>
      </c>
      <c r="I33" s="574" t="s">
        <v>3166</v>
      </c>
      <c r="J33" s="540">
        <f>SUMIF(95:95,I33,96:96)-SUMIF(95:95,C33,96:96)+100</f>
        <v>100</v>
      </c>
      <c r="K33" s="584">
        <v>1</v>
      </c>
      <c r="L33" s="2127"/>
      <c r="M33" s="2119"/>
      <c r="N33" s="2119"/>
      <c r="O33" s="2126"/>
      <c r="P33" s="3403"/>
      <c r="Q33" s="1558" t="str">
        <f t="shared" si="11"/>
        <v>是否直接入户</v>
      </c>
      <c r="R33" s="1559" t="s">
        <v>8</v>
      </c>
      <c r="S33" s="1560">
        <f t="shared" si="12"/>
        <v>100</v>
      </c>
      <c r="T33" s="1559" t="s">
        <v>8</v>
      </c>
      <c r="U33" s="1560">
        <f t="shared" si="13"/>
        <v>100</v>
      </c>
      <c r="V33" s="1559" t="s">
        <v>8</v>
      </c>
      <c r="W33" s="1560">
        <f t="shared" si="14"/>
        <v>100</v>
      </c>
      <c r="X33" s="1553"/>
      <c r="Y33" s="340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3"/>
      <c r="Q34" s="1558">
        <f t="shared" si="11"/>
        <v>111</v>
      </c>
      <c r="R34" s="1559" t="s">
        <v>8</v>
      </c>
      <c r="S34" s="1560">
        <f t="shared" si="12"/>
        <v>100</v>
      </c>
      <c r="T34" s="1559" t="s">
        <v>8</v>
      </c>
      <c r="U34" s="1560">
        <f t="shared" si="13"/>
        <v>100</v>
      </c>
      <c r="V34" s="1559" t="s">
        <v>8</v>
      </c>
      <c r="W34" s="1560">
        <f t="shared" si="14"/>
        <v>100</v>
      </c>
      <c r="X34" s="1553"/>
      <c r="Y34" s="3403"/>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3"/>
      <c r="Q35" s="1590">
        <f t="shared" si="11"/>
        <v>111</v>
      </c>
      <c r="R35" s="1563" t="s">
        <v>8</v>
      </c>
      <c r="S35" s="1564">
        <f t="shared" si="12"/>
        <v>100</v>
      </c>
      <c r="T35" s="1563" t="s">
        <v>8</v>
      </c>
      <c r="U35" s="1564">
        <f t="shared" si="13"/>
        <v>100</v>
      </c>
      <c r="V35" s="1563" t="s">
        <v>8</v>
      </c>
      <c r="W35" s="1564">
        <f t="shared" si="14"/>
        <v>100</v>
      </c>
      <c r="X35" s="1565"/>
      <c r="Y35" s="340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3"/>
      <c r="Q36" s="1558">
        <f t="shared" si="11"/>
        <v>111</v>
      </c>
      <c r="R36" s="1559" t="s">
        <v>8</v>
      </c>
      <c r="S36" s="1560">
        <f t="shared" si="12"/>
        <v>100</v>
      </c>
      <c r="T36" s="1559" t="s">
        <v>8</v>
      </c>
      <c r="U36" s="1560">
        <f t="shared" si="13"/>
        <v>100</v>
      </c>
      <c r="V36" s="1559" t="s">
        <v>8</v>
      </c>
      <c r="W36" s="1560">
        <f t="shared" si="14"/>
        <v>100</v>
      </c>
      <c r="X36" s="1553"/>
      <c r="Y36" s="3403"/>
      <c r="Z36" s="1561">
        <f t="shared" si="15"/>
        <v>111</v>
      </c>
      <c r="AA36" s="1562">
        <f t="shared" si="3"/>
        <v>1</v>
      </c>
      <c r="AB36" s="1562">
        <f t="shared" si="4"/>
        <v>1</v>
      </c>
      <c r="AC36" s="1562">
        <f t="shared" si="5"/>
        <v>1</v>
      </c>
    </row>
    <row r="37" spans="1:29" ht="15">
      <c r="A37" s="1831" t="s">
        <v>2077</v>
      </c>
      <c r="B37" s="1832" t="s">
        <v>3218</v>
      </c>
      <c r="C37" s="2591" t="s">
        <v>1</v>
      </c>
      <c r="D37" s="2592"/>
      <c r="E37" s="2593">
        <v>169000</v>
      </c>
      <c r="F37" s="2594"/>
      <c r="G37" s="2595">
        <v>148000</v>
      </c>
      <c r="H37" s="2596"/>
      <c r="I37" s="2593">
        <v>150000</v>
      </c>
      <c r="J37" s="2596"/>
      <c r="K37" s="1596"/>
      <c r="L37" s="2129"/>
      <c r="M37" s="2130"/>
      <c r="N37" s="2119"/>
      <c r="O37" s="2130"/>
      <c r="P37" s="3366" t="str">
        <f>A37</f>
        <v>成交单价</v>
      </c>
      <c r="Q37" s="3366"/>
      <c r="R37" s="3483">
        <f>E37</f>
        <v>169000</v>
      </c>
      <c r="S37" s="3483"/>
      <c r="T37" s="3483">
        <f>G37</f>
        <v>148000</v>
      </c>
      <c r="U37" s="3483"/>
      <c r="V37" s="3483">
        <f>I37</f>
        <v>150000</v>
      </c>
      <c r="W37" s="3483"/>
      <c r="X37" s="1545"/>
      <c r="Y37" s="1567"/>
      <c r="Z37" s="1545"/>
      <c r="AA37" s="1545"/>
      <c r="AB37" s="1545"/>
      <c r="AC37" s="1545"/>
    </row>
    <row r="38" spans="1:29" ht="15.75" thickBot="1">
      <c r="A38" s="615" t="s">
        <v>2760</v>
      </c>
      <c r="B38" s="888"/>
      <c r="C38" s="2597">
        <f>R39</f>
        <v>147772</v>
      </c>
      <c r="D38" s="2598"/>
      <c r="E38" s="2599">
        <f>R38</f>
        <v>159299</v>
      </c>
      <c r="F38" s="2599"/>
      <c r="G38" s="2597">
        <f>T38</f>
        <v>148000</v>
      </c>
      <c r="H38" s="2598"/>
      <c r="I38" s="2599">
        <f>V38</f>
        <v>136017</v>
      </c>
      <c r="J38" s="2598"/>
      <c r="K38" s="1597"/>
      <c r="L38" s="2129"/>
      <c r="M38" s="2130"/>
      <c r="N38" s="2130"/>
      <c r="O38" s="2130"/>
      <c r="P38" s="3366" t="str">
        <f>A38</f>
        <v>比较价格（元/平方米）</v>
      </c>
      <c r="Q38" s="3366"/>
      <c r="R38" s="3483">
        <f>IF(F1="售价",ROUND(PRODUCT(R37,AA7:AA36),0),ROUND(PRODUCT(R37,AA7:AA36),1))</f>
        <v>159299</v>
      </c>
      <c r="S38" s="3483"/>
      <c r="T38" s="3483">
        <f>IF(F1="售价",ROUND(PRODUCT(T37,AB7:AB36),0),ROUND(PRODUCT(T37,AB7:AB36),1))</f>
        <v>148000</v>
      </c>
      <c r="U38" s="3483"/>
      <c r="V38" s="3483">
        <f>IF(F1="售价",ROUND(PRODUCT(V37,AC7:AC36),0),ROUND(PRODUCT(V37,AC7:AC36),1))</f>
        <v>136017</v>
      </c>
      <c r="W38" s="3483"/>
      <c r="X38" s="1545"/>
      <c r="Y38" s="1545"/>
      <c r="Z38" s="1545"/>
      <c r="AA38" s="1545"/>
      <c r="AB38" s="1545"/>
      <c r="AC38" s="1545"/>
    </row>
    <row r="39" spans="1:29" ht="15.75" thickBot="1">
      <c r="A39" s="621" t="s">
        <v>2934</v>
      </c>
      <c r="B39" s="622"/>
      <c r="C39" s="2600">
        <f>R39</f>
        <v>147772</v>
      </c>
      <c r="D39" s="2600"/>
      <c r="E39" s="2600"/>
      <c r="F39" s="2600"/>
      <c r="G39" s="2600"/>
      <c r="H39" s="2600"/>
      <c r="I39" s="2600"/>
      <c r="J39" s="2600"/>
      <c r="K39" s="1598"/>
      <c r="L39" s="2129"/>
      <c r="M39" s="2130"/>
      <c r="N39" s="2130"/>
      <c r="O39" s="2130"/>
      <c r="P39" s="3363" t="str">
        <f>A39</f>
        <v>估价对象XX用房的比较价格（楼面单价，元/平方米）</v>
      </c>
      <c r="Q39" s="3364"/>
      <c r="R39" s="3482">
        <f>IF(F1="售价",ROUND(AVERAGE(R38:V38),0),ROUND(AVERAGE(R38:V38),1))</f>
        <v>147772</v>
      </c>
      <c r="S39" s="3482"/>
      <c r="T39" s="3482"/>
      <c r="U39" s="3482"/>
      <c r="V39" s="3482"/>
      <c r="W39" s="348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f>IF(E37&lt;E38,E38/E37-1,E37/E38-1)</f>
        <v>6.0898059623726519E-2</v>
      </c>
      <c r="F42" s="627" t="str">
        <f>IF(OR(E42&gt;=0.3,E42&lt;=-0.3),"超过30%","")</f>
        <v/>
      </c>
      <c r="G42" s="626">
        <f>IF(G37&lt;G38,G38/G37-1,G37/G38-1)</f>
        <v>0</v>
      </c>
      <c r="H42" s="627" t="str">
        <f>IF(OR(G42&gt;=0.3,G42&lt;=-0.3),"超过30%","")</f>
        <v/>
      </c>
      <c r="I42" s="626">
        <f>IF(I37&lt;I38,I38/I37-1,I37/I38-1)</f>
        <v>0.10280332605483133</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f>IF(E38&lt;G38,G38/E38-1,E38/G38-1)</f>
        <v>7.6344594594594639E-2</v>
      </c>
      <c r="F43" s="627" t="str">
        <f>IF(OR(E43&gt;=0.2,E43&lt;=-0.2),"超过20%","")</f>
        <v/>
      </c>
      <c r="G43" s="626">
        <f>IF(G38&lt;I38,I38/G38-1,G38/I38-1)</f>
        <v>8.809928170743353E-2</v>
      </c>
      <c r="H43" s="627" t="str">
        <f>IF(OR(G43&gt;=0.2,G43&lt;=-0.2),"超过20%","")</f>
        <v/>
      </c>
      <c r="I43" s="626">
        <f>IF(I38&lt;E38,E38/I38-1,I38/E38-1)</f>
        <v>0.17116978024805718</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f>IF(E37&lt;G37,G37/E37-1,E37/G37-1)</f>
        <v>0.14189189189189189</v>
      </c>
      <c r="F44" s="627" t="str">
        <f>IF(OR(E44&gt;=0.3,E44&lt;=-0.3),"超过30%","")</f>
        <v/>
      </c>
      <c r="G44" s="626">
        <f>IF(G37&lt;I37,I37/G37-1,G37/I37-1)</f>
        <v>1.3513513513513598E-2</v>
      </c>
      <c r="H44" s="627" t="str">
        <f>IF(OR(G44&gt;=0.3,G44&lt;=-0.3),"超过30%","")</f>
        <v/>
      </c>
      <c r="I44" s="626">
        <f>IF(I37&lt;E37,E37/I37-1,I37/E37-1)</f>
        <v>0.12666666666666671</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v>100</v>
      </c>
      <c r="E49" s="650">
        <v>100</v>
      </c>
      <c r="F49" s="650">
        <v>100</v>
      </c>
      <c r="G49" s="650">
        <v>99</v>
      </c>
      <c r="H49" s="650">
        <v>99</v>
      </c>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t="str">
        <f>C9</f>
        <v>地下车库</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3194" t="s">
        <v>3195</v>
      </c>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97</v>
      </c>
      <c r="E64" s="679">
        <f>D64-$K14</f>
        <v>94</v>
      </c>
      <c r="F64" s="679">
        <f>E64-$K14</f>
        <v>91</v>
      </c>
      <c r="G64" s="679">
        <f>F64-$K14</f>
        <v>88</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97</v>
      </c>
      <c r="E66" s="679">
        <f>D66-$K16</f>
        <v>94</v>
      </c>
      <c r="F66" s="679">
        <f>E66-$K16</f>
        <v>91</v>
      </c>
      <c r="G66" s="679">
        <f>F66-$K16</f>
        <v>88</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99</v>
      </c>
      <c r="E68" s="679">
        <f>D68-$K18</f>
        <v>98</v>
      </c>
      <c r="F68" s="679">
        <f>E68-$K18</f>
        <v>97</v>
      </c>
      <c r="G68" s="679">
        <f>F68-$K18</f>
        <v>96</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98</v>
      </c>
      <c r="E70" s="679">
        <f>D70-$K20</f>
        <v>96</v>
      </c>
      <c r="F70" s="679">
        <f>E70-$K20</f>
        <v>94</v>
      </c>
      <c r="G70" s="679">
        <f>F70-$K20</f>
        <v>92</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t="str">
        <f>C26</f>
        <v>住宅</v>
      </c>
      <c r="D79" s="3188" t="s">
        <v>3219</v>
      </c>
      <c r="E79" s="318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105</v>
      </c>
      <c r="E80" s="679">
        <f t="shared" si="17"/>
        <v>110</v>
      </c>
      <c r="F80" s="679">
        <f t="shared" si="17"/>
        <v>115</v>
      </c>
      <c r="G80" s="679">
        <f t="shared" si="17"/>
        <v>120</v>
      </c>
      <c r="H80" s="679">
        <f t="shared" si="17"/>
        <v>125</v>
      </c>
      <c r="I80" s="679">
        <f t="shared" si="17"/>
        <v>130</v>
      </c>
      <c r="J80" s="679">
        <f t="shared" si="17"/>
        <v>135</v>
      </c>
      <c r="K80" s="679">
        <f t="shared" si="17"/>
        <v>140</v>
      </c>
      <c r="L80" s="679">
        <f t="shared" si="17"/>
        <v>145</v>
      </c>
      <c r="M80" s="680">
        <f t="shared" si="17"/>
        <v>150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3189" t="s">
        <v>3199</v>
      </c>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3188" t="s">
        <v>3201</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v>0</v>
      </c>
      <c r="D91" s="730">
        <v>40</v>
      </c>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v>100</v>
      </c>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3189" t="s">
        <v>3203</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3188" t="s">
        <v>3204</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99</v>
      </c>
      <c r="E96" s="679">
        <f>D96-$K33</f>
        <v>98</v>
      </c>
      <c r="F96" s="679">
        <f>E96-$K33</f>
        <v>97</v>
      </c>
      <c r="G96" s="679">
        <f>F96-$K33</f>
        <v>96</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2" t="s">
        <v>798</v>
      </c>
      <c r="D4" s="3373"/>
      <c r="E4" s="3406" t="s">
        <v>799</v>
      </c>
      <c r="F4" s="3407"/>
      <c r="G4" s="3372" t="s">
        <v>800</v>
      </c>
      <c r="H4" s="3373"/>
      <c r="I4" s="3372" t="s">
        <v>801</v>
      </c>
      <c r="J4" s="3373"/>
      <c r="K4" s="514" t="s">
        <v>802</v>
      </c>
      <c r="L4" s="2118"/>
      <c r="M4" s="2119"/>
      <c r="N4" s="2119"/>
      <c r="O4" s="2119"/>
      <c r="P4" s="3374" t="s">
        <v>803</v>
      </c>
      <c r="Q4" s="3375"/>
      <c r="R4" s="3380" t="s">
        <v>799</v>
      </c>
      <c r="S4" s="3381"/>
      <c r="T4" s="3380" t="s">
        <v>800</v>
      </c>
      <c r="U4" s="3381"/>
      <c r="V4" s="3367" t="s">
        <v>801</v>
      </c>
      <c r="W4" s="3367"/>
      <c r="X4" s="1553"/>
      <c r="Y4" s="3380" t="s">
        <v>803</v>
      </c>
      <c r="Z4" s="3381"/>
      <c r="AA4" s="3369" t="s">
        <v>799</v>
      </c>
      <c r="AB4" s="3370" t="s">
        <v>800</v>
      </c>
      <c r="AC4" s="3369" t="s">
        <v>801</v>
      </c>
    </row>
    <row r="5" spans="1:29" ht="15">
      <c r="A5" s="515"/>
      <c r="B5" s="516"/>
      <c r="C5" s="3388" t="s">
        <v>2928</v>
      </c>
      <c r="D5" s="3389"/>
      <c r="E5" s="3408" t="s">
        <v>2929</v>
      </c>
      <c r="F5" s="3409"/>
      <c r="G5" s="3388" t="s">
        <v>2930</v>
      </c>
      <c r="H5" s="3389"/>
      <c r="I5" s="3388" t="s">
        <v>2931</v>
      </c>
      <c r="J5" s="3389"/>
      <c r="K5" s="514"/>
      <c r="L5" s="2118"/>
      <c r="M5" s="2119"/>
      <c r="N5" s="2119"/>
      <c r="O5" s="2119"/>
      <c r="P5" s="3376"/>
      <c r="Q5" s="3377"/>
      <c r="R5" s="3382"/>
      <c r="S5" s="3383"/>
      <c r="T5" s="3382"/>
      <c r="U5" s="3383"/>
      <c r="V5" s="3367"/>
      <c r="W5" s="3367"/>
      <c r="X5" s="1553"/>
      <c r="Y5" s="3382"/>
      <c r="Z5" s="3383"/>
      <c r="AA5" s="3370"/>
      <c r="AB5" s="3370"/>
      <c r="AC5" s="3370"/>
    </row>
    <row r="6" spans="1:29" ht="15.75" thickBot="1">
      <c r="A6" s="517"/>
      <c r="B6" s="518"/>
      <c r="C6" s="3386" t="s">
        <v>2932</v>
      </c>
      <c r="D6" s="3387"/>
      <c r="E6" s="3404" t="s">
        <v>2932</v>
      </c>
      <c r="F6" s="3405"/>
      <c r="G6" s="3386" t="s">
        <v>2932</v>
      </c>
      <c r="H6" s="3387"/>
      <c r="I6" s="3386" t="s">
        <v>2932</v>
      </c>
      <c r="J6" s="3387"/>
      <c r="K6" s="514" t="s">
        <v>528</v>
      </c>
      <c r="L6" s="2118"/>
      <c r="M6" s="2119"/>
      <c r="N6" s="2119"/>
      <c r="O6" s="2119"/>
      <c r="P6" s="3378"/>
      <c r="Q6" s="3379"/>
      <c r="R6" s="3382"/>
      <c r="S6" s="3383"/>
      <c r="T6" s="3384"/>
      <c r="U6" s="3385"/>
      <c r="V6" s="3367"/>
      <c r="W6" s="3367"/>
      <c r="X6" s="1553"/>
      <c r="Y6" s="3384"/>
      <c r="Z6" s="3385"/>
      <c r="AA6" s="3371"/>
      <c r="AB6" s="3371"/>
      <c r="AC6" s="3371"/>
    </row>
    <row r="7" spans="1:29" s="1216" customFormat="1" ht="15.75" thickBot="1">
      <c r="A7" s="2867"/>
      <c r="B7" s="2874" t="s">
        <v>529</v>
      </c>
      <c r="C7" s="519">
        <f>'数据-取费表'!B2</f>
        <v>43572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7" t="s">
        <v>530</v>
      </c>
      <c r="Q7" s="3399"/>
      <c r="R7" s="1554" t="s">
        <v>8</v>
      </c>
      <c r="S7" s="1555">
        <f t="shared" ref="S7:S14" si="0">F7</f>
        <v>0</v>
      </c>
      <c r="T7" s="1554" t="s">
        <v>8</v>
      </c>
      <c r="U7" s="1555">
        <f t="shared" ref="U7:U14" si="1">H7</f>
        <v>0</v>
      </c>
      <c r="V7" s="1554" t="s">
        <v>8</v>
      </c>
      <c r="W7" s="1555">
        <f t="shared" ref="W7:W14" si="2">J7</f>
        <v>0</v>
      </c>
      <c r="X7" s="1556"/>
      <c r="Y7" s="3397" t="s">
        <v>530</v>
      </c>
      <c r="Z7" s="3398"/>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7" t="s">
        <v>533</v>
      </c>
      <c r="Q8" s="3398"/>
      <c r="R8" s="1554" t="s">
        <v>8</v>
      </c>
      <c r="S8" s="1555">
        <f t="shared" si="0"/>
        <v>0</v>
      </c>
      <c r="T8" s="1554" t="s">
        <v>8</v>
      </c>
      <c r="U8" s="1555">
        <f t="shared" si="1"/>
        <v>0</v>
      </c>
      <c r="V8" s="1554" t="s">
        <v>8</v>
      </c>
      <c r="W8" s="1555">
        <f t="shared" si="2"/>
        <v>0</v>
      </c>
      <c r="X8" s="1556"/>
      <c r="Y8" s="3397" t="s">
        <v>533</v>
      </c>
      <c r="Z8" s="3398"/>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6" t="s">
        <v>535</v>
      </c>
      <c r="Q9" s="1147" t="str">
        <f t="shared" ref="Q9:Q14" si="6">B9</f>
        <v>用途</v>
      </c>
      <c r="R9" s="1554" t="s">
        <v>8</v>
      </c>
      <c r="S9" s="1555">
        <f t="shared" si="0"/>
        <v>100</v>
      </c>
      <c r="T9" s="1554" t="s">
        <v>8</v>
      </c>
      <c r="U9" s="1555">
        <f t="shared" si="1"/>
        <v>100</v>
      </c>
      <c r="V9" s="1554" t="s">
        <v>8</v>
      </c>
      <c r="W9" s="1555">
        <f t="shared" si="2"/>
        <v>100</v>
      </c>
      <c r="X9" s="1556"/>
      <c r="Y9" s="3312"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6"/>
      <c r="Q10" s="1147" t="str">
        <f t="shared" si="6"/>
        <v>土地使用年限（年）</v>
      </c>
      <c r="R10" s="1554" t="s">
        <v>8</v>
      </c>
      <c r="S10" s="1555">
        <f t="shared" si="0"/>
        <v>100</v>
      </c>
      <c r="T10" s="1554" t="s">
        <v>8</v>
      </c>
      <c r="U10" s="1555">
        <f t="shared" si="1"/>
        <v>100</v>
      </c>
      <c r="V10" s="1554" t="s">
        <v>8</v>
      </c>
      <c r="W10" s="1555">
        <f t="shared" si="2"/>
        <v>100</v>
      </c>
      <c r="X10" s="1556"/>
      <c r="Y10" s="3312"/>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6"/>
      <c r="Q11" s="1147">
        <f t="shared" si="6"/>
        <v>111</v>
      </c>
      <c r="R11" s="1554" t="s">
        <v>8</v>
      </c>
      <c r="S11" s="1555">
        <f t="shared" si="0"/>
        <v>100</v>
      </c>
      <c r="T11" s="1554" t="s">
        <v>8</v>
      </c>
      <c r="U11" s="1555">
        <f t="shared" si="1"/>
        <v>100</v>
      </c>
      <c r="V11" s="1554" t="s">
        <v>8</v>
      </c>
      <c r="W11" s="1555">
        <f t="shared" si="2"/>
        <v>100</v>
      </c>
      <c r="X11" s="1556"/>
      <c r="Y11" s="3312"/>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6"/>
      <c r="Q12" s="1147">
        <f t="shared" si="6"/>
        <v>111</v>
      </c>
      <c r="R12" s="1554" t="s">
        <v>8</v>
      </c>
      <c r="S12" s="1555">
        <f t="shared" si="0"/>
        <v>100</v>
      </c>
      <c r="T12" s="1554" t="s">
        <v>8</v>
      </c>
      <c r="U12" s="1555">
        <f t="shared" si="1"/>
        <v>100</v>
      </c>
      <c r="V12" s="1554" t="s">
        <v>8</v>
      </c>
      <c r="W12" s="1555">
        <f t="shared" si="2"/>
        <v>100</v>
      </c>
      <c r="X12" s="1556"/>
      <c r="Y12" s="3312"/>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6"/>
      <c r="Q13" s="1147">
        <f t="shared" si="6"/>
        <v>111</v>
      </c>
      <c r="R13" s="1554" t="s">
        <v>8</v>
      </c>
      <c r="S13" s="1555">
        <f t="shared" si="0"/>
        <v>100</v>
      </c>
      <c r="T13" s="1554" t="s">
        <v>8</v>
      </c>
      <c r="U13" s="1555">
        <f t="shared" si="1"/>
        <v>100</v>
      </c>
      <c r="V13" s="1554" t="s">
        <v>8</v>
      </c>
      <c r="W13" s="1555">
        <f t="shared" si="2"/>
        <v>100</v>
      </c>
      <c r="X13" s="1556"/>
      <c r="Y13" s="3312"/>
      <c r="Z13" s="1146">
        <f t="shared" si="7"/>
        <v>111</v>
      </c>
      <c r="AA13" s="1557">
        <f t="shared" si="3"/>
        <v>1</v>
      </c>
      <c r="AB13" s="1557">
        <f t="shared" si="4"/>
        <v>1</v>
      </c>
      <c r="AC13" s="1557">
        <f t="shared" si="5"/>
        <v>1</v>
      </c>
    </row>
    <row r="14" spans="1:29" ht="85.5">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0" t="s">
        <v>540</v>
      </c>
      <c r="Q14" s="1558" t="str">
        <f t="shared" si="6"/>
        <v>交通便捷度</v>
      </c>
      <c r="R14" s="1559" t="s">
        <v>8</v>
      </c>
      <c r="S14" s="1560">
        <f t="shared" si="0"/>
        <v>100</v>
      </c>
      <c r="T14" s="1559" t="s">
        <v>8</v>
      </c>
      <c r="U14" s="1560">
        <f t="shared" si="1"/>
        <v>100</v>
      </c>
      <c r="V14" s="1559" t="s">
        <v>8</v>
      </c>
      <c r="W14" s="1560">
        <f t="shared" si="2"/>
        <v>100</v>
      </c>
      <c r="X14" s="1553"/>
      <c r="Y14" s="3400"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1"/>
      <c r="Q15" s="1558"/>
      <c r="R15" s="1559"/>
      <c r="S15" s="1560"/>
      <c r="T15" s="1559"/>
      <c r="U15" s="1560"/>
      <c r="V15" s="1559"/>
      <c r="W15" s="1560"/>
      <c r="X15" s="1553"/>
      <c r="Y15" s="3401"/>
      <c r="Z15" s="1561"/>
      <c r="AA15" s="1562">
        <v>1</v>
      </c>
      <c r="AB15" s="1562">
        <v>1</v>
      </c>
      <c r="AC15" s="1562">
        <v>1</v>
      </c>
    </row>
    <row r="16" spans="1:29" ht="42.75">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1"/>
      <c r="Q16" s="1558" t="str">
        <f>B16</f>
        <v>公共配套设施</v>
      </c>
      <c r="R16" s="1559" t="s">
        <v>8</v>
      </c>
      <c r="S16" s="1560">
        <f>F16</f>
        <v>100</v>
      </c>
      <c r="T16" s="1559" t="s">
        <v>8</v>
      </c>
      <c r="U16" s="1560">
        <f>H16</f>
        <v>100</v>
      </c>
      <c r="V16" s="1559" t="s">
        <v>8</v>
      </c>
      <c r="W16" s="1560">
        <f>J16</f>
        <v>100</v>
      </c>
      <c r="X16" s="1553"/>
      <c r="Y16" s="340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1"/>
      <c r="Q17" s="1558"/>
      <c r="R17" s="1559"/>
      <c r="S17" s="1560"/>
      <c r="T17" s="1559"/>
      <c r="U17" s="1560"/>
      <c r="V17" s="1559"/>
      <c r="W17" s="1560"/>
      <c r="X17" s="1553"/>
      <c r="Y17" s="3401"/>
      <c r="Z17" s="1561"/>
      <c r="AA17" s="1562">
        <v>1</v>
      </c>
      <c r="AB17" s="1562">
        <v>1</v>
      </c>
      <c r="AC17" s="1562">
        <v>1</v>
      </c>
    </row>
    <row r="18" spans="1:29" ht="28.5">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1"/>
      <c r="Q18" s="2543" t="str">
        <f>B18</f>
        <v>基础设施水平</v>
      </c>
      <c r="R18" s="1559" t="s">
        <v>8</v>
      </c>
      <c r="S18" s="1560">
        <f>F18</f>
        <v>100</v>
      </c>
      <c r="T18" s="1559" t="s">
        <v>8</v>
      </c>
      <c r="U18" s="1560">
        <f>H18</f>
        <v>100</v>
      </c>
      <c r="V18" s="1559" t="s">
        <v>8</v>
      </c>
      <c r="W18" s="1560">
        <f>J18</f>
        <v>100</v>
      </c>
      <c r="X18" s="2545"/>
      <c r="Y18" s="340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1"/>
      <c r="Q19" s="2543"/>
      <c r="R19" s="1559"/>
      <c r="S19" s="1560"/>
      <c r="T19" s="1559"/>
      <c r="U19" s="1560"/>
      <c r="V19" s="1559"/>
      <c r="W19" s="1560"/>
      <c r="X19" s="2545"/>
      <c r="Y19" s="3401"/>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1"/>
      <c r="Q20" s="1558" t="str">
        <f>B20</f>
        <v>自然及人文环境</v>
      </c>
      <c r="R20" s="1559" t="s">
        <v>8</v>
      </c>
      <c r="S20" s="1560">
        <f>F20</f>
        <v>100</v>
      </c>
      <c r="T20" s="1559" t="s">
        <v>8</v>
      </c>
      <c r="U20" s="1560">
        <f>H20</f>
        <v>100</v>
      </c>
      <c r="V20" s="1559" t="s">
        <v>8</v>
      </c>
      <c r="W20" s="1560">
        <f>J20</f>
        <v>100</v>
      </c>
      <c r="X20" s="1553"/>
      <c r="Y20" s="340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1"/>
      <c r="Q21" s="1558"/>
      <c r="R21" s="1559"/>
      <c r="S21" s="1560"/>
      <c r="T21" s="1559"/>
      <c r="U21" s="1560"/>
      <c r="V21" s="1559"/>
      <c r="W21" s="1560"/>
      <c r="X21" s="1553"/>
      <c r="Y21" s="3401"/>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1"/>
      <c r="Q22" s="1558" t="str">
        <f>B22</f>
        <v>楼层</v>
      </c>
      <c r="R22" s="1559" t="s">
        <v>8</v>
      </c>
      <c r="S22" s="1560">
        <f>F22</f>
        <v>100</v>
      </c>
      <c r="T22" s="1559" t="s">
        <v>8</v>
      </c>
      <c r="U22" s="1560">
        <f>H22</f>
        <v>100</v>
      </c>
      <c r="V22" s="1559" t="s">
        <v>8</v>
      </c>
      <c r="W22" s="1560">
        <f>J22</f>
        <v>100</v>
      </c>
      <c r="X22" s="1553"/>
      <c r="Y22" s="340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1"/>
      <c r="Q23" s="1558">
        <f>B23</f>
        <v>111</v>
      </c>
      <c r="R23" s="1559" t="s">
        <v>8</v>
      </c>
      <c r="S23" s="1560">
        <f>F23</f>
        <v>100</v>
      </c>
      <c r="T23" s="1559" t="s">
        <v>8</v>
      </c>
      <c r="U23" s="1560">
        <f>H23</f>
        <v>100</v>
      </c>
      <c r="V23" s="1559" t="s">
        <v>8</v>
      </c>
      <c r="W23" s="1560">
        <f>J23</f>
        <v>100</v>
      </c>
      <c r="X23" s="1553"/>
      <c r="Y23" s="340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1"/>
      <c r="Q24" s="1558">
        <f t="shared" ref="Q24:Q34" si="11">B24</f>
        <v>111</v>
      </c>
      <c r="R24" s="1559" t="s">
        <v>8</v>
      </c>
      <c r="S24" s="1560">
        <f>F24</f>
        <v>100</v>
      </c>
      <c r="T24" s="1559" t="s">
        <v>8</v>
      </c>
      <c r="U24" s="1560">
        <f>H24</f>
        <v>100</v>
      </c>
      <c r="V24" s="1559" t="s">
        <v>8</v>
      </c>
      <c r="W24" s="1560">
        <f>J24</f>
        <v>100</v>
      </c>
      <c r="X24" s="1553"/>
      <c r="Y24" s="3401"/>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1"/>
      <c r="Q25" s="1147">
        <f t="shared" si="11"/>
        <v>111</v>
      </c>
      <c r="R25" s="1554" t="s">
        <v>8</v>
      </c>
      <c r="S25" s="1555">
        <f>F25</f>
        <v>100</v>
      </c>
      <c r="T25" s="1554" t="s">
        <v>8</v>
      </c>
      <c r="U25" s="1555">
        <f>H25</f>
        <v>100</v>
      </c>
      <c r="V25" s="1554" t="s">
        <v>8</v>
      </c>
      <c r="W25" s="1555">
        <f>J25</f>
        <v>100</v>
      </c>
      <c r="X25" s="1556"/>
      <c r="Y25" s="3401"/>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2"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3"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3"/>
      <c r="Q27" s="1590" t="str">
        <f t="shared" si="11"/>
        <v>成新率</v>
      </c>
      <c r="R27" s="1563" t="s">
        <v>8</v>
      </c>
      <c r="S27" s="1564" t="e">
        <f t="shared" si="12"/>
        <v>#N/A</v>
      </c>
      <c r="T27" s="1563" t="s">
        <v>8</v>
      </c>
      <c r="U27" s="1564" t="e">
        <f t="shared" si="13"/>
        <v>#N/A</v>
      </c>
      <c r="V27" s="1563" t="s">
        <v>8</v>
      </c>
      <c r="W27" s="1564" t="e">
        <f t="shared" si="14"/>
        <v>#N/A</v>
      </c>
      <c r="X27" s="1565"/>
      <c r="Y27" s="3403"/>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3"/>
      <c r="Q28" s="1558" t="str">
        <f t="shared" si="11"/>
        <v>物业等级</v>
      </c>
      <c r="R28" s="1559" t="s">
        <v>8</v>
      </c>
      <c r="S28" s="1560">
        <f t="shared" si="12"/>
        <v>100</v>
      </c>
      <c r="T28" s="1559" t="s">
        <v>8</v>
      </c>
      <c r="U28" s="1560">
        <f t="shared" si="13"/>
        <v>100</v>
      </c>
      <c r="V28" s="1559" t="s">
        <v>8</v>
      </c>
      <c r="W28" s="1560">
        <f t="shared" si="14"/>
        <v>100</v>
      </c>
      <c r="X28" s="1553"/>
      <c r="Y28" s="3403"/>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3"/>
      <c r="Q29" s="1558" t="str">
        <f t="shared" si="11"/>
        <v>有无电梯</v>
      </c>
      <c r="R29" s="1559" t="s">
        <v>8</v>
      </c>
      <c r="S29" s="1560">
        <f t="shared" si="12"/>
        <v>100</v>
      </c>
      <c r="T29" s="1559" t="s">
        <v>8</v>
      </c>
      <c r="U29" s="1560">
        <f t="shared" si="13"/>
        <v>100</v>
      </c>
      <c r="V29" s="1559" t="s">
        <v>8</v>
      </c>
      <c r="W29" s="1560">
        <f t="shared" si="14"/>
        <v>100</v>
      </c>
      <c r="X29" s="1553"/>
      <c r="Y29" s="3403"/>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3"/>
      <c r="Q30" s="1558" t="str">
        <f t="shared" si="11"/>
        <v>建筑面积</v>
      </c>
      <c r="R30" s="1559" t="s">
        <v>8</v>
      </c>
      <c r="S30" s="1560" t="e">
        <f t="shared" si="12"/>
        <v>#N/A</v>
      </c>
      <c r="T30" s="1559" t="s">
        <v>8</v>
      </c>
      <c r="U30" s="1560" t="e">
        <f t="shared" si="13"/>
        <v>#N/A</v>
      </c>
      <c r="V30" s="1559" t="s">
        <v>8</v>
      </c>
      <c r="W30" s="1560" t="e">
        <f t="shared" si="14"/>
        <v>#N/A</v>
      </c>
      <c r="X30" s="1553"/>
      <c r="Y30" s="3403"/>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3"/>
      <c r="Q31" s="1147" t="str">
        <f t="shared" si="11"/>
        <v>是否封闭</v>
      </c>
      <c r="R31" s="1554" t="s">
        <v>8</v>
      </c>
      <c r="S31" s="1555">
        <f t="shared" si="12"/>
        <v>100</v>
      </c>
      <c r="T31" s="1554" t="s">
        <v>8</v>
      </c>
      <c r="U31" s="1555">
        <f t="shared" si="13"/>
        <v>100</v>
      </c>
      <c r="V31" s="1554" t="s">
        <v>8</v>
      </c>
      <c r="W31" s="1555">
        <f t="shared" si="14"/>
        <v>100</v>
      </c>
      <c r="X31" s="1556"/>
      <c r="Y31" s="3403"/>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3" t="s">
        <v>550</v>
      </c>
      <c r="Q32" s="1558">
        <f t="shared" si="11"/>
        <v>111</v>
      </c>
      <c r="R32" s="1559" t="s">
        <v>8</v>
      </c>
      <c r="S32" s="1560">
        <f t="shared" si="12"/>
        <v>100</v>
      </c>
      <c r="T32" s="1559" t="s">
        <v>8</v>
      </c>
      <c r="U32" s="1560">
        <f t="shared" si="13"/>
        <v>100</v>
      </c>
      <c r="V32" s="1559" t="s">
        <v>8</v>
      </c>
      <c r="W32" s="1560">
        <f t="shared" si="14"/>
        <v>100</v>
      </c>
      <c r="X32" s="1553"/>
      <c r="Y32" s="3403"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3"/>
      <c r="Q33" s="1558">
        <f t="shared" si="11"/>
        <v>111</v>
      </c>
      <c r="R33" s="1559" t="s">
        <v>8</v>
      </c>
      <c r="S33" s="1560">
        <f t="shared" si="12"/>
        <v>100</v>
      </c>
      <c r="T33" s="1559" t="s">
        <v>8</v>
      </c>
      <c r="U33" s="1560">
        <f t="shared" si="13"/>
        <v>100</v>
      </c>
      <c r="V33" s="1559" t="s">
        <v>8</v>
      </c>
      <c r="W33" s="1560">
        <f t="shared" si="14"/>
        <v>100</v>
      </c>
      <c r="X33" s="1553"/>
      <c r="Y33" s="340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3"/>
      <c r="Q34" s="1558">
        <f t="shared" si="11"/>
        <v>111</v>
      </c>
      <c r="R34" s="1559" t="s">
        <v>8</v>
      </c>
      <c r="S34" s="1560">
        <f t="shared" si="12"/>
        <v>100</v>
      </c>
      <c r="T34" s="1559" t="s">
        <v>8</v>
      </c>
      <c r="U34" s="1560">
        <f t="shared" si="13"/>
        <v>100</v>
      </c>
      <c r="V34" s="1559" t="s">
        <v>8</v>
      </c>
      <c r="W34" s="1560">
        <f t="shared" si="14"/>
        <v>100</v>
      </c>
      <c r="X34" s="1553"/>
      <c r="Y34" s="3403"/>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6" t="str">
        <f>A35</f>
        <v>成交单价（元/平方米）</v>
      </c>
      <c r="Q35" s="3366"/>
      <c r="R35" s="3483">
        <f>E35</f>
        <v>0</v>
      </c>
      <c r="S35" s="3483"/>
      <c r="T35" s="3483">
        <f>G35</f>
        <v>0</v>
      </c>
      <c r="U35" s="3483"/>
      <c r="V35" s="3483">
        <f>I35</f>
        <v>0</v>
      </c>
      <c r="W35" s="3483"/>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66" t="str">
        <f>A36</f>
        <v>比较价格（元/平方米）</v>
      </c>
      <c r="Q36" s="336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363" t="str">
        <f>A37</f>
        <v>估价对象XX用房的比较价格（楼面单价，元/平方米）</v>
      </c>
      <c r="Q37" s="3364"/>
      <c r="R37" s="3482" t="e">
        <f>IF(F1="售价",ROUND(AVERAGE(R36:V36),0),ROUND(AVERAGE(R36:V36),1))</f>
        <v>#DIV/0!</v>
      </c>
      <c r="S37" s="3482"/>
      <c r="T37" s="3482"/>
      <c r="U37" s="3482"/>
      <c r="V37" s="3482"/>
      <c r="W37" s="348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3" t="s">
        <v>2304</v>
      </c>
      <c r="D1" s="3494"/>
      <c r="E1" s="3494"/>
      <c r="F1" s="3494"/>
      <c r="G1" s="3494"/>
      <c r="H1" s="3494"/>
      <c r="I1" s="3494"/>
      <c r="J1" s="3494"/>
      <c r="K1" s="3494"/>
      <c r="L1" s="3494"/>
      <c r="M1" s="3494"/>
      <c r="N1" s="3494"/>
      <c r="O1" s="3494"/>
      <c r="P1" s="3494"/>
      <c r="Q1" s="3494"/>
      <c r="R1" s="3494"/>
      <c r="S1" s="3495"/>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北京致顺房地产开发有限公司：</v>
      </c>
    </row>
    <row r="4" spans="1:4" ht="37.5">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104375.848平方米。</v>
      </c>
    </row>
    <row r="7" spans="1:4" ht="93.75">
      <c r="A7" s="2828" t="s">
        <v>2748</v>
      </c>
    </row>
    <row r="8" spans="1:4" ht="18.75">
      <c r="A8" s="1779" t="s">
        <v>1906</v>
      </c>
    </row>
    <row r="9" spans="1:4" ht="56.25">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2019年4月17日（评估专业人员勘察现场之日）</v>
      </c>
    </row>
    <row r="12" spans="1:4" ht="18.75">
      <c r="A12" s="1782" t="s">
        <v>2025</v>
      </c>
    </row>
    <row r="13" spans="1:4" ht="18.75">
      <c r="A13" s="1776" t="s">
        <v>2071</v>
      </c>
    </row>
    <row r="14" spans="1:4" ht="37.5">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根据《国有土地使用证》[]，估价对象（分摊）出让国有建设用地使用权面积为41663.44平方米。根据《建设工程规划许可证》[]、《出让合同》[]，估价对象规划建筑面积为104375.848平方米。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43572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2.5</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G1" workbookViewId="0">
      <selection activeCell="B17" sqref="B17"/>
    </sheetView>
  </sheetViews>
  <sheetFormatPr defaultRowHeight="13.5"/>
  <cols>
    <col min="1" max="1" width="18" customWidth="1"/>
    <col min="2" max="2" width="20" customWidth="1"/>
  </cols>
  <sheetData>
    <row r="1" spans="1:14" s="2894" customFormat="1">
      <c r="A1" s="2894" t="s">
        <v>3020</v>
      </c>
      <c r="B1" s="2894" t="s">
        <v>3021</v>
      </c>
      <c r="C1" s="2894" t="s">
        <v>3022</v>
      </c>
      <c r="D1" s="2894" t="s">
        <v>3023</v>
      </c>
      <c r="E1" s="2894" t="s">
        <v>3024</v>
      </c>
      <c r="F1" s="2894" t="s">
        <v>2032</v>
      </c>
      <c r="G1" s="2894" t="s">
        <v>3025</v>
      </c>
      <c r="H1" s="2894" t="s">
        <v>3026</v>
      </c>
      <c r="I1" s="2894" t="s">
        <v>3027</v>
      </c>
      <c r="J1" s="2894" t="s">
        <v>3028</v>
      </c>
      <c r="K1" s="2894" t="s">
        <v>3029</v>
      </c>
      <c r="L1" s="2894" t="s">
        <v>3030</v>
      </c>
      <c r="M1" s="2894" t="s">
        <v>3031</v>
      </c>
    </row>
    <row r="2" spans="1:14" s="2894" customFormat="1">
      <c r="A2" s="2894" t="s">
        <v>3032</v>
      </c>
      <c r="B2" s="2894" t="s">
        <v>3033</v>
      </c>
      <c r="C2" s="2894" t="s">
        <v>3034</v>
      </c>
      <c r="D2" s="2894">
        <v>21403.13</v>
      </c>
      <c r="E2" s="2894">
        <v>38526</v>
      </c>
      <c r="F2" s="2894">
        <v>1.8</v>
      </c>
      <c r="G2" s="2894" t="s">
        <v>3035</v>
      </c>
      <c r="H2" s="2894" t="s">
        <v>3036</v>
      </c>
      <c r="I2" s="2894">
        <v>71000</v>
      </c>
      <c r="J2" s="2894">
        <v>92000</v>
      </c>
      <c r="K2" s="2894">
        <v>23879.97</v>
      </c>
      <c r="L2" s="2894">
        <v>29.58</v>
      </c>
      <c r="M2" s="2894" t="s">
        <v>3037</v>
      </c>
    </row>
    <row r="3" spans="1:14" s="2894" customFormat="1">
      <c r="A3" s="2894" t="s">
        <v>3038</v>
      </c>
      <c r="B3" s="2894" t="s">
        <v>3033</v>
      </c>
      <c r="C3" s="2894" t="s">
        <v>3034</v>
      </c>
      <c r="D3" s="2894">
        <v>43325.9</v>
      </c>
      <c r="E3" s="2894">
        <v>64988</v>
      </c>
      <c r="F3" s="2894">
        <v>1.5</v>
      </c>
      <c r="G3" s="2894" t="s">
        <v>3035</v>
      </c>
      <c r="H3" s="2894" t="s">
        <v>3039</v>
      </c>
      <c r="I3" s="2894">
        <v>190000</v>
      </c>
      <c r="J3" s="2894">
        <v>204000</v>
      </c>
      <c r="K3" s="2894">
        <v>31390.400000000001</v>
      </c>
      <c r="L3" s="2894">
        <v>7.37</v>
      </c>
      <c r="M3" s="2894" t="s">
        <v>3040</v>
      </c>
    </row>
    <row r="4" spans="1:14" s="2894" customFormat="1">
      <c r="A4" s="2894" t="s">
        <v>3041</v>
      </c>
      <c r="B4" s="2894" t="s">
        <v>3042</v>
      </c>
      <c r="C4" s="2894" t="s">
        <v>3034</v>
      </c>
      <c r="D4" s="2894">
        <v>28367.279999999999</v>
      </c>
      <c r="E4" s="2894">
        <v>42028</v>
      </c>
      <c r="F4" s="2894">
        <v>1.48</v>
      </c>
      <c r="G4" s="2894" t="s">
        <v>3043</v>
      </c>
      <c r="H4" s="2894" t="s">
        <v>3044</v>
      </c>
      <c r="I4" s="2894">
        <v>76000</v>
      </c>
      <c r="J4" s="2894">
        <v>88500</v>
      </c>
      <c r="K4" s="2894">
        <v>21057.38</v>
      </c>
      <c r="L4" s="2894">
        <v>16.45</v>
      </c>
      <c r="M4" s="2894" t="s">
        <v>3045</v>
      </c>
    </row>
    <row r="5" spans="1:14" s="2894" customFormat="1">
      <c r="A5" s="2894" t="s">
        <v>3046</v>
      </c>
      <c r="B5" s="2894" t="s">
        <v>3042</v>
      </c>
      <c r="C5" s="2894" t="s">
        <v>3034</v>
      </c>
      <c r="D5" s="2894">
        <v>69856.02</v>
      </c>
      <c r="E5" s="2894">
        <v>104180</v>
      </c>
      <c r="F5" s="2894">
        <v>1.49</v>
      </c>
      <c r="G5" s="2894" t="s">
        <v>3043</v>
      </c>
      <c r="H5" s="2894" t="s">
        <v>3047</v>
      </c>
      <c r="I5" s="2894">
        <v>190000</v>
      </c>
      <c r="J5" s="2894">
        <v>233000</v>
      </c>
      <c r="K5" s="2894">
        <v>22365.13</v>
      </c>
      <c r="L5" s="2894">
        <v>22.63</v>
      </c>
      <c r="M5" s="2894" t="s">
        <v>3045</v>
      </c>
    </row>
    <row r="6" spans="1:14" s="3185" customFormat="1">
      <c r="A6" s="3185" t="s">
        <v>3048</v>
      </c>
      <c r="B6" s="3185" t="s">
        <v>3033</v>
      </c>
      <c r="C6" s="3185" t="s">
        <v>3034</v>
      </c>
      <c r="D6" s="3185">
        <v>41663.440000000002</v>
      </c>
      <c r="E6" s="3185">
        <v>70828</v>
      </c>
      <c r="F6" s="3185">
        <v>1.7</v>
      </c>
      <c r="G6" s="3185" t="s">
        <v>3049</v>
      </c>
      <c r="H6" s="3185" t="s">
        <v>3050</v>
      </c>
      <c r="I6" s="3185">
        <v>76700</v>
      </c>
      <c r="J6" s="3185">
        <v>77900</v>
      </c>
      <c r="K6" s="3185">
        <v>10998.47</v>
      </c>
      <c r="L6" s="3185">
        <v>1.56</v>
      </c>
      <c r="M6" s="3185" t="s">
        <v>3045</v>
      </c>
    </row>
    <row r="7" spans="1:14" s="2894" customFormat="1">
      <c r="A7" s="2894" t="s">
        <v>3051</v>
      </c>
      <c r="B7" s="2894" t="s">
        <v>3033</v>
      </c>
      <c r="C7" s="2894" t="s">
        <v>3034</v>
      </c>
      <c r="D7" s="2894">
        <v>66475.23</v>
      </c>
      <c r="E7" s="2894">
        <v>132950</v>
      </c>
      <c r="F7" s="2894">
        <v>2</v>
      </c>
      <c r="G7" s="2894" t="s">
        <v>3049</v>
      </c>
      <c r="H7" s="2894" t="s">
        <v>3052</v>
      </c>
      <c r="I7" s="2894">
        <v>380000</v>
      </c>
      <c r="J7" s="2894">
        <v>450000</v>
      </c>
      <c r="K7" s="2894">
        <v>33847.300000000003</v>
      </c>
      <c r="L7" s="2894">
        <v>18.420000000000002</v>
      </c>
      <c r="M7" s="2894" t="s">
        <v>3045</v>
      </c>
    </row>
    <row r="8" spans="1:14" s="3186" customFormat="1" ht="12.75">
      <c r="A8" s="3186" t="s">
        <v>3053</v>
      </c>
      <c r="B8" s="3186" t="s">
        <v>3042</v>
      </c>
      <c r="C8" s="3186" t="s">
        <v>3034</v>
      </c>
      <c r="D8" s="3186">
        <v>76571.12</v>
      </c>
      <c r="E8" s="3186">
        <v>132728</v>
      </c>
      <c r="F8" s="3186">
        <v>1.73</v>
      </c>
      <c r="G8" s="3186" t="s">
        <v>3049</v>
      </c>
      <c r="H8" s="3186" t="s">
        <v>3054</v>
      </c>
      <c r="I8" s="3186">
        <v>165000</v>
      </c>
      <c r="J8" s="3186">
        <v>194500</v>
      </c>
      <c r="K8" s="3186">
        <v>14654.03</v>
      </c>
      <c r="L8" s="3186">
        <v>17.88</v>
      </c>
      <c r="M8" s="3186" t="s">
        <v>3045</v>
      </c>
      <c r="N8" s="3186">
        <v>27000</v>
      </c>
    </row>
    <row r="9" spans="1:14" s="2894" customFormat="1">
      <c r="A9" s="2894" t="s">
        <v>3055</v>
      </c>
      <c r="B9" s="2894" t="s">
        <v>3033</v>
      </c>
      <c r="C9" s="2894" t="s">
        <v>3034</v>
      </c>
      <c r="D9" s="2894">
        <v>36365.370000000003</v>
      </c>
      <c r="E9" s="2894">
        <v>65458</v>
      </c>
      <c r="F9" s="2894">
        <v>1.8</v>
      </c>
      <c r="G9" s="2894" t="s">
        <v>3056</v>
      </c>
      <c r="H9" s="2894" t="s">
        <v>3057</v>
      </c>
      <c r="I9" s="2894">
        <v>180000</v>
      </c>
      <c r="J9" s="2894">
        <v>260000</v>
      </c>
      <c r="K9" s="2894">
        <v>39720.120000000003</v>
      </c>
      <c r="L9" s="2894">
        <v>44.44</v>
      </c>
      <c r="M9" s="2894" t="s">
        <v>3045</v>
      </c>
    </row>
    <row r="10" spans="1:14" s="2894" customFormat="1">
      <c r="A10" s="2894" t="s">
        <v>3058</v>
      </c>
      <c r="B10" s="2894" t="s">
        <v>3042</v>
      </c>
      <c r="C10" s="2894" t="s">
        <v>3034</v>
      </c>
      <c r="D10" s="2894">
        <v>151738.6</v>
      </c>
      <c r="E10" s="2894">
        <v>152374</v>
      </c>
      <c r="F10" s="2894">
        <v>1.004</v>
      </c>
      <c r="G10" s="2894" t="s">
        <v>3059</v>
      </c>
      <c r="H10" s="2894" t="s">
        <v>3060</v>
      </c>
      <c r="I10" s="2894">
        <v>460000</v>
      </c>
      <c r="J10" s="2894">
        <v>685400</v>
      </c>
      <c r="K10" s="2894">
        <v>44981.43</v>
      </c>
      <c r="L10" s="2894">
        <v>49</v>
      </c>
      <c r="M10" s="2894" t="s">
        <v>3037</v>
      </c>
    </row>
    <row r="11" spans="1:14" s="2894" customFormat="1">
      <c r="A11" s="2894" t="s">
        <v>3061</v>
      </c>
      <c r="B11" s="2894" t="s">
        <v>3042</v>
      </c>
      <c r="C11" s="2894" t="s">
        <v>3034</v>
      </c>
      <c r="D11" s="2894">
        <v>132352.79999999999</v>
      </c>
      <c r="E11" s="2894">
        <v>201775</v>
      </c>
      <c r="F11" s="2894">
        <v>1.52</v>
      </c>
      <c r="G11" s="2894" t="s">
        <v>3062</v>
      </c>
      <c r="H11" s="2894" t="s">
        <v>3063</v>
      </c>
      <c r="I11" s="2894">
        <v>365000</v>
      </c>
      <c r="J11" s="2894">
        <v>380000</v>
      </c>
      <c r="K11" s="2894">
        <v>18832.86</v>
      </c>
      <c r="L11" s="2894">
        <v>4.1100000000000003</v>
      </c>
      <c r="M11" s="2894" t="s">
        <v>3037</v>
      </c>
    </row>
    <row r="12" spans="1:14" s="2894" customFormat="1">
      <c r="A12" s="2894" t="s">
        <v>3064</v>
      </c>
      <c r="B12" s="2894" t="s">
        <v>3042</v>
      </c>
      <c r="C12" s="2894" t="s">
        <v>3034</v>
      </c>
      <c r="D12" s="2894">
        <v>65602.95</v>
      </c>
      <c r="E12" s="2894">
        <v>120165</v>
      </c>
      <c r="F12" s="2894">
        <v>1.83</v>
      </c>
      <c r="G12" s="2894" t="s">
        <v>3065</v>
      </c>
      <c r="H12" s="2894" t="s">
        <v>3066</v>
      </c>
      <c r="I12" s="2894">
        <v>330000</v>
      </c>
      <c r="J12" s="2894">
        <v>495000</v>
      </c>
      <c r="K12" s="2894">
        <v>41193.360000000001</v>
      </c>
      <c r="L12" s="2894">
        <v>50</v>
      </c>
      <c r="M12" s="2894" t="s">
        <v>3045</v>
      </c>
    </row>
    <row r="13" spans="1:14" s="2894" customFormat="1">
      <c r="A13" s="2894" t="s">
        <v>3067</v>
      </c>
      <c r="B13" s="2894" t="s">
        <v>3042</v>
      </c>
      <c r="C13" s="2894" t="s">
        <v>3034</v>
      </c>
      <c r="D13" s="2894">
        <v>151051.70000000001</v>
      </c>
      <c r="E13" s="2894">
        <v>274253</v>
      </c>
      <c r="F13" s="2894" t="s">
        <v>3068</v>
      </c>
      <c r="G13" s="2894" t="s">
        <v>3069</v>
      </c>
      <c r="H13" s="2894" t="s">
        <v>3060</v>
      </c>
      <c r="I13" s="2894">
        <v>385000</v>
      </c>
      <c r="J13" s="2894">
        <v>502000</v>
      </c>
      <c r="K13" s="2894">
        <v>18304.27</v>
      </c>
      <c r="L13" s="2894">
        <v>30.39</v>
      </c>
      <c r="M13" s="2894" t="s">
        <v>3045</v>
      </c>
    </row>
    <row r="14" spans="1:14" s="2894" customFormat="1">
      <c r="A14" s="2894" t="s">
        <v>3070</v>
      </c>
      <c r="B14" s="2894" t="s">
        <v>3033</v>
      </c>
      <c r="C14" s="2894" t="s">
        <v>3034</v>
      </c>
      <c r="D14" s="2894">
        <v>155132.79999999999</v>
      </c>
      <c r="E14" s="2894">
        <v>156684</v>
      </c>
      <c r="F14" s="2894">
        <v>1.009999305</v>
      </c>
      <c r="G14" s="2894" t="s">
        <v>3071</v>
      </c>
      <c r="H14" s="2894" t="s">
        <v>3072</v>
      </c>
      <c r="I14" s="2894">
        <v>470000</v>
      </c>
      <c r="J14" s="2894">
        <v>705000</v>
      </c>
      <c r="K14" s="2894">
        <v>44995.01</v>
      </c>
      <c r="L14" s="2894">
        <v>50</v>
      </c>
      <c r="M14" s="2894" t="s">
        <v>3040</v>
      </c>
    </row>
    <row r="15" spans="1:14" s="2894" customFormat="1">
      <c r="A15" s="2894" t="s">
        <v>3073</v>
      </c>
      <c r="B15" s="2894" t="s">
        <v>3033</v>
      </c>
      <c r="C15" s="2894" t="s">
        <v>3034</v>
      </c>
      <c r="D15" s="2894">
        <v>41170.230000000003</v>
      </c>
      <c r="E15" s="2894">
        <v>60109</v>
      </c>
      <c r="F15" s="2894">
        <v>1.46</v>
      </c>
      <c r="G15" s="2894" t="s">
        <v>3074</v>
      </c>
      <c r="H15" s="2894" t="s">
        <v>3075</v>
      </c>
      <c r="I15" s="2894">
        <v>88000</v>
      </c>
      <c r="J15" s="2894">
        <v>121000</v>
      </c>
      <c r="K15" s="2894">
        <v>20130.09</v>
      </c>
      <c r="L15" s="2894">
        <v>37.5</v>
      </c>
      <c r="M15" s="2894" t="s">
        <v>3045</v>
      </c>
    </row>
    <row r="16" spans="1:14" s="2894" customFormat="1">
      <c r="A16" s="2894" t="s">
        <v>3076</v>
      </c>
      <c r="B16" s="2894" t="s">
        <v>3033</v>
      </c>
      <c r="C16" s="2894" t="s">
        <v>3034</v>
      </c>
      <c r="D16" s="2894">
        <v>45104.74</v>
      </c>
      <c r="E16" s="2894">
        <v>112093</v>
      </c>
      <c r="F16" s="2894">
        <v>2.5</v>
      </c>
      <c r="G16" s="2894" t="s">
        <v>3074</v>
      </c>
      <c r="H16" s="2894" t="s">
        <v>3077</v>
      </c>
      <c r="I16" s="2894">
        <v>130000</v>
      </c>
      <c r="J16" s="2894">
        <v>193000</v>
      </c>
      <c r="K16" s="2894">
        <v>17217.84</v>
      </c>
      <c r="L16" s="2894">
        <v>48.46</v>
      </c>
      <c r="M16" s="2894" t="s">
        <v>3045</v>
      </c>
    </row>
    <row r="17" spans="1:14" s="3186" customFormat="1" ht="12.75">
      <c r="A17" s="3186" t="s">
        <v>3078</v>
      </c>
      <c r="B17" s="3186" t="s">
        <v>3042</v>
      </c>
      <c r="C17" s="3186" t="s">
        <v>3034</v>
      </c>
      <c r="D17" s="3186">
        <v>36338.199999999997</v>
      </c>
      <c r="E17" s="3186">
        <v>67633</v>
      </c>
      <c r="F17" s="3186">
        <v>1.86</v>
      </c>
      <c r="G17" s="3186" t="s">
        <v>3079</v>
      </c>
      <c r="H17" s="3186" t="s">
        <v>3080</v>
      </c>
      <c r="I17" s="3186">
        <v>79200</v>
      </c>
      <c r="J17" s="3186">
        <v>79200</v>
      </c>
      <c r="K17" s="3186">
        <v>11710.26</v>
      </c>
      <c r="L17" s="3186">
        <v>0</v>
      </c>
      <c r="M17" s="3186" t="s">
        <v>3037</v>
      </c>
      <c r="N17" s="3186">
        <v>25600</v>
      </c>
    </row>
    <row r="18" spans="1:14" s="2894" customFormat="1">
      <c r="A18" s="2894" t="s">
        <v>3081</v>
      </c>
      <c r="B18" s="2894" t="s">
        <v>3042</v>
      </c>
      <c r="C18" s="2894" t="s">
        <v>3034</v>
      </c>
      <c r="D18" s="2894">
        <v>115895.2</v>
      </c>
      <c r="E18" s="2894">
        <v>176111</v>
      </c>
      <c r="F18" s="2894">
        <v>1.52</v>
      </c>
      <c r="G18" s="2894" t="s">
        <v>3082</v>
      </c>
      <c r="H18" s="2894" t="s">
        <v>3083</v>
      </c>
      <c r="I18" s="2894">
        <v>255500</v>
      </c>
      <c r="J18" s="2894">
        <v>255500</v>
      </c>
      <c r="K18" s="2894">
        <v>14507.89</v>
      </c>
      <c r="L18" s="2894">
        <v>0</v>
      </c>
      <c r="M18" s="2894" t="s">
        <v>3037</v>
      </c>
    </row>
    <row r="19" spans="1:14" s="3187" customFormat="1" ht="12.75">
      <c r="A19" s="3187" t="s">
        <v>3084</v>
      </c>
      <c r="B19" s="3187" t="s">
        <v>3033</v>
      </c>
      <c r="C19" s="3187" t="s">
        <v>3085</v>
      </c>
      <c r="D19" s="3187">
        <v>43539.77</v>
      </c>
      <c r="E19" s="3187">
        <v>108849</v>
      </c>
      <c r="F19" s="3187">
        <v>2.5</v>
      </c>
      <c r="G19" s="3187" t="s">
        <v>3086</v>
      </c>
      <c r="H19" s="3187" t="s">
        <v>3087</v>
      </c>
      <c r="I19" s="3187" t="s">
        <v>2818</v>
      </c>
      <c r="J19" s="3187">
        <v>99450</v>
      </c>
      <c r="K19" s="3187">
        <v>9136.51</v>
      </c>
      <c r="L19" s="3187" t="s">
        <v>2818</v>
      </c>
      <c r="M19" s="3187" t="s">
        <v>3037</v>
      </c>
    </row>
    <row r="20" spans="1:14" s="2894" customFormat="1">
      <c r="A20" s="2894" t="s">
        <v>3088</v>
      </c>
      <c r="B20" s="2894" t="s">
        <v>3042</v>
      </c>
      <c r="C20" s="2894" t="s">
        <v>3034</v>
      </c>
      <c r="D20" s="2894">
        <v>70400.429999999993</v>
      </c>
      <c r="E20" s="2894">
        <v>211202</v>
      </c>
      <c r="F20" s="2894">
        <v>3</v>
      </c>
      <c r="G20" s="2894" t="s">
        <v>3089</v>
      </c>
      <c r="H20" s="2894" t="s">
        <v>3090</v>
      </c>
      <c r="I20" s="2894">
        <v>260000</v>
      </c>
      <c r="J20" s="2894">
        <v>262600</v>
      </c>
      <c r="K20" s="2894">
        <v>12433.59</v>
      </c>
      <c r="L20" s="2894">
        <v>1</v>
      </c>
      <c r="M20" s="2894" t="s">
        <v>3037</v>
      </c>
    </row>
    <row r="21" spans="1:14" s="2894" customFormat="1">
      <c r="A21" s="2894" t="s">
        <v>3091</v>
      </c>
      <c r="B21" s="2894" t="s">
        <v>3042</v>
      </c>
      <c r="C21" s="2894" t="s">
        <v>3034</v>
      </c>
      <c r="D21" s="2894">
        <v>20342.53</v>
      </c>
      <c r="E21" s="2894">
        <v>61028</v>
      </c>
      <c r="F21" s="2894">
        <v>3</v>
      </c>
      <c r="G21" s="2894" t="s">
        <v>3089</v>
      </c>
      <c r="H21" s="2894" t="s">
        <v>3092</v>
      </c>
      <c r="I21" s="2894">
        <v>60000</v>
      </c>
      <c r="J21" s="2894">
        <v>62000</v>
      </c>
      <c r="K21" s="2894">
        <v>10159.27</v>
      </c>
      <c r="L21" s="2894">
        <v>3.33</v>
      </c>
      <c r="M21" s="2894" t="s">
        <v>3037</v>
      </c>
    </row>
    <row r="22" spans="1:14" s="2894" customFormat="1">
      <c r="A22" s="2894" t="s">
        <v>3093</v>
      </c>
      <c r="B22" s="2894" t="s">
        <v>3042</v>
      </c>
      <c r="C22" s="2894" t="s">
        <v>3085</v>
      </c>
      <c r="D22" s="2894">
        <v>59539.89</v>
      </c>
      <c r="E22" s="2894">
        <v>143970</v>
      </c>
      <c r="F22" s="2894">
        <v>2.418042883</v>
      </c>
      <c r="G22" s="2894" t="s">
        <v>3094</v>
      </c>
      <c r="H22" s="2894" t="s">
        <v>3095</v>
      </c>
      <c r="I22" s="2894" t="s">
        <v>2818</v>
      </c>
      <c r="J22" s="2894" t="s">
        <v>2818</v>
      </c>
      <c r="K22" s="2894" t="s">
        <v>2818</v>
      </c>
      <c r="L22" s="2894" t="s">
        <v>2818</v>
      </c>
      <c r="M22" s="2894" t="s">
        <v>3037</v>
      </c>
    </row>
    <row r="23" spans="1:14" s="2894" customFormat="1">
      <c r="A23" s="2894" t="s">
        <v>3096</v>
      </c>
      <c r="B23" s="2894" t="s">
        <v>3033</v>
      </c>
      <c r="C23" s="2894" t="s">
        <v>3034</v>
      </c>
      <c r="D23" s="2894">
        <v>41062.42</v>
      </c>
      <c r="E23" s="2894">
        <v>102664</v>
      </c>
      <c r="F23" s="2894">
        <v>2.5</v>
      </c>
      <c r="G23" s="2894" t="s">
        <v>3097</v>
      </c>
      <c r="H23" s="2894" t="s">
        <v>3098</v>
      </c>
      <c r="I23" s="2894">
        <v>46000</v>
      </c>
      <c r="J23" s="2894">
        <v>68800</v>
      </c>
      <c r="K23" s="2894">
        <v>6701.47</v>
      </c>
      <c r="L23" s="2894">
        <v>49.57</v>
      </c>
      <c r="M23" s="2894" t="s">
        <v>3045</v>
      </c>
    </row>
    <row r="24" spans="1:14" s="2894" customFormat="1">
      <c r="A24" s="2894" t="s">
        <v>3099</v>
      </c>
      <c r="B24" s="2894" t="s">
        <v>3042</v>
      </c>
      <c r="C24" s="2894" t="s">
        <v>3034</v>
      </c>
      <c r="D24" s="2894">
        <v>339897.8</v>
      </c>
      <c r="E24" s="2894">
        <v>231900</v>
      </c>
      <c r="F24" s="2894">
        <v>0.68</v>
      </c>
      <c r="G24" s="2894" t="s">
        <v>3097</v>
      </c>
      <c r="H24" s="2894" t="s">
        <v>3100</v>
      </c>
      <c r="I24" s="2894">
        <v>164500</v>
      </c>
      <c r="J24" s="2894">
        <v>164500</v>
      </c>
      <c r="K24" s="2894">
        <v>7093.56</v>
      </c>
      <c r="L24" s="2894">
        <v>0</v>
      </c>
      <c r="M24" s="2894" t="s">
        <v>3040</v>
      </c>
    </row>
    <row r="25" spans="1:14" s="2894" customFormat="1">
      <c r="A25" s="2894" t="s">
        <v>3101</v>
      </c>
      <c r="B25" s="2894" t="s">
        <v>3033</v>
      </c>
      <c r="C25" s="2894" t="s">
        <v>3034</v>
      </c>
      <c r="D25" s="2894">
        <v>70312</v>
      </c>
      <c r="E25" s="2894">
        <v>130293</v>
      </c>
      <c r="F25" s="2894">
        <v>1.85</v>
      </c>
      <c r="G25" s="2894" t="s">
        <v>3102</v>
      </c>
      <c r="H25" s="2894" t="s">
        <v>3103</v>
      </c>
      <c r="I25" s="2894">
        <v>60895</v>
      </c>
      <c r="J25" s="2894">
        <v>60895</v>
      </c>
      <c r="K25" s="2894">
        <v>4673.6899999999996</v>
      </c>
      <c r="L25" s="2894">
        <v>0</v>
      </c>
      <c r="M25" s="2894" t="s">
        <v>3045</v>
      </c>
    </row>
    <row r="26" spans="1:14" s="2894" customFormat="1">
      <c r="A26" s="2894" t="s">
        <v>3104</v>
      </c>
      <c r="B26" s="2894" t="s">
        <v>3042</v>
      </c>
      <c r="C26" s="2894" t="s">
        <v>3034</v>
      </c>
      <c r="D26" s="2894">
        <v>155163</v>
      </c>
      <c r="E26" s="2894">
        <v>303132</v>
      </c>
      <c r="F26" s="2894">
        <v>1.95</v>
      </c>
      <c r="G26" s="2894" t="s">
        <v>3105</v>
      </c>
      <c r="H26" s="2894" t="s">
        <v>3106</v>
      </c>
      <c r="I26" s="2894">
        <v>49300</v>
      </c>
      <c r="J26" s="2894">
        <v>65300</v>
      </c>
      <c r="K26" s="2894">
        <v>2154.17</v>
      </c>
      <c r="L26" s="2894">
        <v>32.450000000000003</v>
      </c>
      <c r="M26" s="2894" t="s">
        <v>3040</v>
      </c>
    </row>
    <row r="27" spans="1:14" s="2894" customFormat="1">
      <c r="A27" s="2894" t="s">
        <v>3107</v>
      </c>
      <c r="B27" s="2894" t="s">
        <v>3033</v>
      </c>
      <c r="C27" s="2894" t="s">
        <v>3034</v>
      </c>
      <c r="D27" s="2894">
        <v>18727</v>
      </c>
      <c r="E27" s="2894">
        <v>37454</v>
      </c>
      <c r="F27" s="2894">
        <v>2</v>
      </c>
      <c r="G27" s="2894" t="s">
        <v>3108</v>
      </c>
      <c r="H27" s="2894" t="s">
        <v>3109</v>
      </c>
      <c r="I27" s="2894">
        <v>6510</v>
      </c>
      <c r="J27" s="2894">
        <v>6560</v>
      </c>
      <c r="K27" s="2894">
        <v>1751.48</v>
      </c>
      <c r="L27" s="2894">
        <v>0.77</v>
      </c>
      <c r="M27" s="2894" t="s">
        <v>3037</v>
      </c>
    </row>
    <row r="28" spans="1:14" s="2894" customFormat="1">
      <c r="A28" s="2894" t="s">
        <v>3110</v>
      </c>
      <c r="B28" s="2894" t="s">
        <v>3042</v>
      </c>
      <c r="C28" s="2894" t="s">
        <v>3085</v>
      </c>
      <c r="D28" s="2894">
        <v>47613</v>
      </c>
      <c r="E28" s="2894">
        <v>55819</v>
      </c>
      <c r="F28" s="2894">
        <v>1.17</v>
      </c>
      <c r="G28" s="2894" t="s">
        <v>3111</v>
      </c>
      <c r="H28" s="2894" t="s">
        <v>3112</v>
      </c>
      <c r="I28" s="2894">
        <v>16750</v>
      </c>
      <c r="J28" s="2894">
        <v>17310</v>
      </c>
      <c r="K28" s="2894">
        <v>3101.09</v>
      </c>
      <c r="L28" s="2894">
        <v>3.34</v>
      </c>
      <c r="M28" s="2894" t="s">
        <v>3037</v>
      </c>
    </row>
    <row r="29" spans="1:14" s="2894" customFormat="1">
      <c r="A29" s="2894" t="s">
        <v>3113</v>
      </c>
      <c r="B29" s="2894" t="s">
        <v>3042</v>
      </c>
      <c r="C29" s="2894" t="s">
        <v>3034</v>
      </c>
      <c r="D29" s="2894">
        <v>77813.19</v>
      </c>
      <c r="E29" s="2894">
        <v>172891.8</v>
      </c>
      <c r="F29" s="2894">
        <v>2.2000000000000002</v>
      </c>
      <c r="G29" s="2894" t="s">
        <v>3114</v>
      </c>
      <c r="H29" s="2894" t="s">
        <v>3115</v>
      </c>
      <c r="I29" s="2894">
        <v>9777.4699999999993</v>
      </c>
      <c r="J29" s="2894">
        <v>13900</v>
      </c>
      <c r="K29" s="2894">
        <v>803.97</v>
      </c>
      <c r="L29" s="2894">
        <v>42.16</v>
      </c>
      <c r="M29" s="2894" t="s">
        <v>3040</v>
      </c>
    </row>
    <row r="30" spans="1:14" s="2894" customFormat="1">
      <c r="A30" s="2894" t="s">
        <v>3116</v>
      </c>
      <c r="B30" s="2894" t="s">
        <v>3042</v>
      </c>
      <c r="C30" s="2894" t="s">
        <v>3034</v>
      </c>
      <c r="D30" s="2894">
        <v>31687.68</v>
      </c>
      <c r="E30" s="2894">
        <v>79219.199999999997</v>
      </c>
      <c r="F30" s="2894">
        <v>2.5</v>
      </c>
      <c r="G30" s="2894" t="s">
        <v>3117</v>
      </c>
      <c r="H30" s="2894" t="s">
        <v>3118</v>
      </c>
      <c r="I30" s="2894">
        <v>7839.14</v>
      </c>
      <c r="J30" s="2894">
        <v>7839.14</v>
      </c>
      <c r="K30" s="2894">
        <v>989.54</v>
      </c>
      <c r="L30" s="2894">
        <v>0</v>
      </c>
      <c r="M30" s="2894" t="s">
        <v>3037</v>
      </c>
    </row>
    <row r="31" spans="1:14" s="2894" customFormat="1">
      <c r="A31" s="2894" t="s">
        <v>3119</v>
      </c>
      <c r="B31" s="2894" t="s">
        <v>3042</v>
      </c>
      <c r="C31" s="2894" t="s">
        <v>3034</v>
      </c>
      <c r="D31" s="2894">
        <v>75109.55</v>
      </c>
      <c r="E31" s="2894">
        <v>204000</v>
      </c>
      <c r="F31" s="2894">
        <v>2.7</v>
      </c>
      <c r="G31" s="2894" t="s">
        <v>3120</v>
      </c>
      <c r="H31" s="2894" t="s">
        <v>3121</v>
      </c>
      <c r="I31" s="2894">
        <v>21700</v>
      </c>
      <c r="J31" s="2894">
        <v>21800</v>
      </c>
      <c r="K31" s="2894">
        <v>1068.6300000000001</v>
      </c>
      <c r="L31" s="2894">
        <v>0.46</v>
      </c>
      <c r="M31" s="2894" t="s">
        <v>3045</v>
      </c>
    </row>
    <row r="32" spans="1:14" s="2894" customFormat="1">
      <c r="A32" s="2894" t="s">
        <v>3122</v>
      </c>
      <c r="B32" s="2894" t="s">
        <v>3042</v>
      </c>
      <c r="C32" s="2894" t="s">
        <v>3034</v>
      </c>
      <c r="D32" s="2894">
        <v>121729.8</v>
      </c>
      <c r="E32" s="2894">
        <v>327948</v>
      </c>
      <c r="F32" s="2894">
        <v>2.69</v>
      </c>
      <c r="G32" s="2894" t="s">
        <v>3123</v>
      </c>
      <c r="H32" s="2894" t="s">
        <v>3124</v>
      </c>
      <c r="I32" s="2894">
        <v>609400</v>
      </c>
      <c r="J32" s="2894">
        <v>690000</v>
      </c>
      <c r="K32" s="2894">
        <v>21039.91</v>
      </c>
      <c r="L32" s="2894">
        <v>13.23</v>
      </c>
      <c r="M32" s="2894" t="s">
        <v>3037</v>
      </c>
    </row>
    <row r="33" spans="1:14" s="2894" customFormat="1">
      <c r="A33" s="2894" t="s">
        <v>3125</v>
      </c>
      <c r="B33" s="2894" t="s">
        <v>3042</v>
      </c>
      <c r="C33" s="2894" t="s">
        <v>3034</v>
      </c>
      <c r="D33" s="2894">
        <v>97107.81</v>
      </c>
      <c r="E33" s="2894">
        <v>194226</v>
      </c>
      <c r="F33" s="2894">
        <v>2</v>
      </c>
      <c r="G33" s="2894" t="s">
        <v>3049</v>
      </c>
      <c r="H33" s="2894" t="s">
        <v>3126</v>
      </c>
      <c r="I33" s="2894">
        <v>406000</v>
      </c>
      <c r="J33" s="2894">
        <v>410000</v>
      </c>
      <c r="K33" s="2894">
        <v>21109.43</v>
      </c>
      <c r="L33" s="2894">
        <v>0.99</v>
      </c>
      <c r="M33" s="2894" t="s">
        <v>3045</v>
      </c>
    </row>
    <row r="34" spans="1:14" s="2894" customFormat="1">
      <c r="A34" s="2894" t="s">
        <v>3127</v>
      </c>
      <c r="B34" s="2894" t="s">
        <v>3042</v>
      </c>
      <c r="C34" s="2894" t="s">
        <v>3034</v>
      </c>
      <c r="D34" s="2894">
        <v>46848.3</v>
      </c>
      <c r="E34" s="2894">
        <v>137272</v>
      </c>
      <c r="F34" s="2894">
        <v>2.93</v>
      </c>
      <c r="G34" s="2894" t="s">
        <v>3128</v>
      </c>
      <c r="H34" s="2894" t="s">
        <v>3129</v>
      </c>
      <c r="I34" s="2894">
        <v>265700</v>
      </c>
      <c r="J34" s="2894">
        <v>265700</v>
      </c>
      <c r="K34" s="2894">
        <v>19355.72</v>
      </c>
      <c r="L34" s="2894">
        <v>0</v>
      </c>
      <c r="M34" s="2894" t="s">
        <v>3037</v>
      </c>
    </row>
    <row r="35" spans="1:14" s="2894" customFormat="1">
      <c r="A35" s="2894" t="s">
        <v>3130</v>
      </c>
      <c r="B35" s="2894" t="s">
        <v>3042</v>
      </c>
      <c r="C35" s="2894" t="s">
        <v>3034</v>
      </c>
      <c r="D35" s="2894">
        <v>175114.7</v>
      </c>
      <c r="E35" s="2894">
        <v>299579</v>
      </c>
      <c r="F35" s="2894">
        <v>1.7</v>
      </c>
      <c r="G35" s="2894" t="s">
        <v>3131</v>
      </c>
      <c r="H35" s="2894" t="s">
        <v>3132</v>
      </c>
      <c r="I35" s="2894">
        <v>453000</v>
      </c>
      <c r="J35" s="2894">
        <v>545000</v>
      </c>
      <c r="K35" s="2894">
        <v>18192.2</v>
      </c>
      <c r="L35" s="2894">
        <v>20.309999999999999</v>
      </c>
      <c r="M35" s="2894" t="s">
        <v>3037</v>
      </c>
    </row>
    <row r="36" spans="1:14" s="3186" customFormat="1" ht="12.75">
      <c r="A36" s="3186" t="s">
        <v>3133</v>
      </c>
      <c r="B36" s="3186" t="s">
        <v>3042</v>
      </c>
      <c r="C36" s="3186" t="s">
        <v>3034</v>
      </c>
      <c r="D36" s="3186">
        <v>122262</v>
      </c>
      <c r="E36" s="3186">
        <v>285496</v>
      </c>
      <c r="F36" s="3186">
        <v>2.335</v>
      </c>
      <c r="G36" s="3186" t="s">
        <v>3134</v>
      </c>
      <c r="H36" s="3186" t="s">
        <v>3135</v>
      </c>
      <c r="I36" s="3186">
        <v>328500</v>
      </c>
      <c r="J36" s="3186">
        <v>328500</v>
      </c>
      <c r="K36" s="3186">
        <v>11506.29</v>
      </c>
      <c r="L36" s="3186">
        <v>0</v>
      </c>
      <c r="M36" s="3186" t="s">
        <v>3045</v>
      </c>
      <c r="N36" s="3186">
        <v>32000</v>
      </c>
    </row>
    <row r="37" spans="1:14" s="2894" customFormat="1">
      <c r="A37" s="2894" t="s">
        <v>3136</v>
      </c>
      <c r="B37" s="2894" t="s">
        <v>3042</v>
      </c>
      <c r="C37" s="2894" t="s">
        <v>3034</v>
      </c>
      <c r="D37" s="2894">
        <v>71022.78</v>
      </c>
      <c r="E37" s="2894">
        <v>170414</v>
      </c>
      <c r="F37" s="2894">
        <v>2.4</v>
      </c>
      <c r="G37" s="2894" t="s">
        <v>3137</v>
      </c>
      <c r="H37" s="2894" t="s">
        <v>3138</v>
      </c>
      <c r="I37" s="2894">
        <v>450000</v>
      </c>
      <c r="J37" s="2894">
        <v>648000</v>
      </c>
      <c r="K37" s="2894">
        <v>38025.040000000001</v>
      </c>
      <c r="L37" s="2894">
        <v>44</v>
      </c>
      <c r="M37" s="2894" t="s">
        <v>3037</v>
      </c>
    </row>
    <row r="38" spans="1:14" s="2894" customFormat="1">
      <c r="A38" s="2894" t="s">
        <v>3139</v>
      </c>
      <c r="B38" s="2894" t="s">
        <v>3033</v>
      </c>
      <c r="C38" s="2894" t="s">
        <v>3034</v>
      </c>
      <c r="D38" s="2894">
        <v>66465.42</v>
      </c>
      <c r="E38" s="2894">
        <v>99698</v>
      </c>
      <c r="F38" s="2894">
        <v>1.5</v>
      </c>
      <c r="G38" s="2894" t="s">
        <v>3140</v>
      </c>
      <c r="H38" s="2894" t="s">
        <v>3135</v>
      </c>
      <c r="I38" s="2894">
        <v>185000</v>
      </c>
      <c r="J38" s="2894">
        <v>190000</v>
      </c>
      <c r="K38" s="2894">
        <v>19057.54</v>
      </c>
      <c r="L38" s="2894">
        <v>2.7</v>
      </c>
      <c r="M38" s="2894" t="s">
        <v>3037</v>
      </c>
    </row>
    <row r="39" spans="1:14" s="2894" customFormat="1">
      <c r="A39" s="2894" t="s">
        <v>3141</v>
      </c>
      <c r="B39" s="2894" t="s">
        <v>3033</v>
      </c>
      <c r="C39" s="2894" t="s">
        <v>3034</v>
      </c>
      <c r="D39" s="2894">
        <v>30890.99</v>
      </c>
      <c r="E39" s="2894">
        <v>67960</v>
      </c>
      <c r="F39" s="2894">
        <v>2.2000000000000002</v>
      </c>
      <c r="G39" s="2894" t="s">
        <v>3142</v>
      </c>
      <c r="H39" s="2894" t="s">
        <v>3143</v>
      </c>
      <c r="I39" s="2894">
        <v>160000</v>
      </c>
      <c r="J39" s="2894">
        <v>238000</v>
      </c>
      <c r="K39" s="2894">
        <v>35020.589999999997</v>
      </c>
      <c r="L39" s="2894">
        <v>48.75</v>
      </c>
      <c r="M39" s="2894" t="s">
        <v>3037</v>
      </c>
    </row>
    <row r="40" spans="1:14" s="2894" customFormat="1">
      <c r="A40" s="2894" t="s">
        <v>3144</v>
      </c>
      <c r="B40" s="2894" t="s">
        <v>3042</v>
      </c>
      <c r="C40" s="2894" t="s">
        <v>3034</v>
      </c>
      <c r="D40" s="2894">
        <v>101259.5</v>
      </c>
      <c r="E40" s="2894">
        <v>202324</v>
      </c>
      <c r="F40" s="2894">
        <v>2</v>
      </c>
      <c r="G40" s="2894" t="s">
        <v>3145</v>
      </c>
      <c r="H40" s="2894" t="s">
        <v>3044</v>
      </c>
      <c r="I40" s="2894">
        <v>370000</v>
      </c>
      <c r="J40" s="2894">
        <v>395000</v>
      </c>
      <c r="K40" s="2894">
        <v>19523.13</v>
      </c>
      <c r="L40" s="2894">
        <v>6.76</v>
      </c>
      <c r="M40" s="2894" t="s">
        <v>3037</v>
      </c>
    </row>
    <row r="41" spans="1:14" s="2894" customFormat="1">
      <c r="A41" s="2894" t="s">
        <v>3146</v>
      </c>
      <c r="B41" s="2894" t="s">
        <v>3033</v>
      </c>
      <c r="C41" s="2894" t="s">
        <v>3034</v>
      </c>
      <c r="D41" s="2894">
        <v>44353.34</v>
      </c>
      <c r="E41" s="2894">
        <v>97577</v>
      </c>
      <c r="F41" s="2894">
        <v>2.2000000000000002</v>
      </c>
      <c r="G41" s="2894" t="s">
        <v>3147</v>
      </c>
      <c r="H41" s="2894" t="s">
        <v>3148</v>
      </c>
      <c r="I41" s="2894">
        <v>175000</v>
      </c>
      <c r="J41" s="2894">
        <v>222000</v>
      </c>
      <c r="K41" s="2894">
        <v>22751.25</v>
      </c>
      <c r="L41" s="2894">
        <v>26.86</v>
      </c>
      <c r="M41" s="2894" t="s">
        <v>3037</v>
      </c>
    </row>
    <row r="42" spans="1:14" s="2894" customFormat="1">
      <c r="A42" s="2894" t="s">
        <v>3149</v>
      </c>
      <c r="B42" s="2894" t="s">
        <v>3042</v>
      </c>
      <c r="C42" s="2894" t="s">
        <v>3034</v>
      </c>
      <c r="D42" s="2894">
        <v>89347.09</v>
      </c>
      <c r="E42" s="2894">
        <v>178694</v>
      </c>
      <c r="F42" s="2894">
        <v>2</v>
      </c>
      <c r="G42" s="2894" t="s">
        <v>3150</v>
      </c>
      <c r="H42" s="2894" t="s">
        <v>3151</v>
      </c>
      <c r="I42" s="2894">
        <v>213000</v>
      </c>
      <c r="J42" s="2894">
        <v>319500</v>
      </c>
      <c r="K42" s="2894">
        <v>17879.72</v>
      </c>
      <c r="L42" s="2894">
        <v>50</v>
      </c>
      <c r="M42" s="2894" t="s">
        <v>3037</v>
      </c>
    </row>
    <row r="43" spans="1:14" s="2894" customFormat="1">
      <c r="A43" s="2894" t="s">
        <v>3152</v>
      </c>
      <c r="B43" s="2894" t="s">
        <v>3042</v>
      </c>
      <c r="C43" s="2894" t="s">
        <v>3034</v>
      </c>
      <c r="D43" s="2894">
        <v>83732.679999999993</v>
      </c>
      <c r="E43" s="2894">
        <v>167465</v>
      </c>
      <c r="F43" s="2894">
        <v>2</v>
      </c>
      <c r="G43" s="2894" t="s">
        <v>3150</v>
      </c>
      <c r="H43" s="2894" t="s">
        <v>3151</v>
      </c>
      <c r="I43" s="2894">
        <v>200000</v>
      </c>
      <c r="J43" s="2894">
        <v>300000</v>
      </c>
      <c r="K43" s="2894">
        <v>17914.18</v>
      </c>
      <c r="L43" s="2894">
        <v>50</v>
      </c>
      <c r="M43" s="2894" t="s">
        <v>3037</v>
      </c>
    </row>
    <row r="44" spans="1:14" s="2894" customFormat="1">
      <c r="A44" s="2894" t="s">
        <v>3153</v>
      </c>
      <c r="B44" s="2894" t="s">
        <v>3042</v>
      </c>
      <c r="C44" s="2894" t="s">
        <v>3034</v>
      </c>
      <c r="D44" s="2894">
        <v>52140.02</v>
      </c>
      <c r="E44" s="2894">
        <v>83940</v>
      </c>
      <c r="F44" s="2894">
        <v>1.6</v>
      </c>
      <c r="G44" s="2894" t="s">
        <v>3154</v>
      </c>
      <c r="H44" s="2894" t="s">
        <v>3155</v>
      </c>
      <c r="I44" s="2894">
        <v>50450</v>
      </c>
      <c r="J44" s="2894">
        <v>50450</v>
      </c>
      <c r="K44" s="2894">
        <v>6010.25</v>
      </c>
      <c r="L44" s="2894">
        <v>0</v>
      </c>
      <c r="M44" s="2894" t="s">
        <v>3037</v>
      </c>
    </row>
    <row r="45" spans="1:14" s="2894" customFormat="1">
      <c r="A45" s="2894" t="s">
        <v>3156</v>
      </c>
      <c r="B45" s="2894" t="s">
        <v>3042</v>
      </c>
      <c r="C45" s="2894" t="s">
        <v>3034</v>
      </c>
      <c r="D45" s="2894">
        <v>42685.77</v>
      </c>
      <c r="E45" s="2894">
        <v>124350</v>
      </c>
      <c r="F45" s="2894">
        <v>2.91</v>
      </c>
      <c r="G45" s="2894" t="s">
        <v>3157</v>
      </c>
      <c r="H45" s="2894" t="s">
        <v>3158</v>
      </c>
      <c r="I45" s="2894">
        <v>126100</v>
      </c>
      <c r="J45" s="2894">
        <v>172000</v>
      </c>
      <c r="K45" s="2894">
        <v>13831.93</v>
      </c>
      <c r="L45" s="2894">
        <v>36.4</v>
      </c>
      <c r="M45" s="2894" t="s">
        <v>3037</v>
      </c>
    </row>
    <row r="46" spans="1:14" s="2894" customFormat="1">
      <c r="A46" s="2894" t="s">
        <v>3159</v>
      </c>
      <c r="B46" s="2894" t="s">
        <v>3042</v>
      </c>
      <c r="C46" s="2894" t="s">
        <v>3034</v>
      </c>
      <c r="D46" s="2894">
        <v>90996.11</v>
      </c>
      <c r="E46" s="2894">
        <v>343161</v>
      </c>
      <c r="F46" s="2894">
        <v>3.77</v>
      </c>
      <c r="G46" s="2894" t="s">
        <v>3157</v>
      </c>
      <c r="H46" s="2894" t="s">
        <v>3158</v>
      </c>
      <c r="I46" s="2894">
        <v>330000</v>
      </c>
      <c r="J46" s="2894">
        <v>330000</v>
      </c>
      <c r="K46" s="2894">
        <v>9616.4699999999993</v>
      </c>
      <c r="L46" s="2894">
        <v>0</v>
      </c>
      <c r="M46" s="2894" t="s">
        <v>3037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8:N65"/>
  <sheetViews>
    <sheetView topLeftCell="I28" zoomScale="130" zoomScaleNormal="130" workbookViewId="0">
      <selection activeCell="Q64" sqref="Q64"/>
    </sheetView>
  </sheetViews>
  <sheetFormatPr defaultRowHeight="13.5"/>
  <sheetData>
    <row r="18" spans="12:12">
      <c r="L18">
        <v>16.899999999999999</v>
      </c>
    </row>
    <row r="43" spans="14:14">
      <c r="N43">
        <v>14.8</v>
      </c>
    </row>
    <row r="65" spans="14:14">
      <c r="N65">
        <v>12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792" t="s">
        <v>2040</v>
      </c>
      <c r="B2" s="1792"/>
      <c r="C2" s="1792"/>
      <c r="D2" s="1792"/>
      <c r="E2" s="1792"/>
      <c r="F2" s="1792"/>
      <c r="G2" s="1792"/>
      <c r="H2" s="1792"/>
      <c r="I2" s="1793"/>
      <c r="J2" s="1793"/>
      <c r="K2" s="1794" t="str">
        <f>"估价期日："&amp;TEXT(项目基本情况!D3,"yyyy年m月d日;;")</f>
        <v>估价期日：2019年4月17日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3" t="s">
        <v>2029</v>
      </c>
      <c r="B3" s="3203" t="s">
        <v>2731</v>
      </c>
      <c r="C3" s="3204" t="s">
        <v>2030</v>
      </c>
      <c r="D3" s="3203" t="s">
        <v>2735</v>
      </c>
      <c r="E3" s="3206" t="s">
        <v>2031</v>
      </c>
      <c r="F3" s="3206"/>
      <c r="G3" s="3206"/>
      <c r="H3" s="3206" t="s">
        <v>2032</v>
      </c>
      <c r="I3" s="3206"/>
      <c r="J3" s="3206"/>
      <c r="K3" s="3204" t="s">
        <v>2033</v>
      </c>
      <c r="L3" s="3204" t="s">
        <v>2034</v>
      </c>
      <c r="M3" s="3203" t="s">
        <v>2732</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13" t="s">
        <v>2042</v>
      </c>
      <c r="F4" s="2613" t="s">
        <v>2744</v>
      </c>
      <c r="G4" s="2613" t="s">
        <v>2036</v>
      </c>
      <c r="H4" s="2613" t="s">
        <v>2037</v>
      </c>
      <c r="I4" s="2613" t="s">
        <v>2745</v>
      </c>
      <c r="J4" s="2613" t="s">
        <v>2036</v>
      </c>
      <c r="K4" s="3204"/>
      <c r="L4" s="3204"/>
      <c r="M4" s="3203"/>
      <c r="N4" s="3205"/>
      <c r="O4" s="3203"/>
      <c r="P4" s="3204"/>
      <c r="Q4" s="3204"/>
      <c r="R4" s="3204"/>
    </row>
    <row r="5" spans="1:18" ht="135" customHeight="1">
      <c r="A5" s="1928" t="s">
        <v>2655</v>
      </c>
      <c r="B5" s="2822" t="s">
        <v>2653</v>
      </c>
      <c r="C5" s="2612">
        <v>22</v>
      </c>
      <c r="D5" s="2611" t="s">
        <v>2654</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41663.440000000002</v>
      </c>
      <c r="O5" s="1795">
        <f>项目基本情况!C21</f>
        <v>104375.848</v>
      </c>
      <c r="P5" s="1795">
        <f ca="1">结果表!E42</f>
        <v>20154</v>
      </c>
      <c r="Q5" s="1795">
        <f ca="1">结果表!D42</f>
        <v>8045</v>
      </c>
      <c r="R5" s="1796">
        <f ca="1">结果表!C42</f>
        <v>83969</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7">
        <f ca="1">结果表!O39</f>
        <v>82387</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7"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8" t="s">
        <v>2065</v>
      </c>
      <c r="B1" s="3208"/>
      <c r="C1" s="3208"/>
      <c r="D1" s="3208"/>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2066</v>
      </c>
      <c r="B5" s="3207"/>
      <c r="C5" s="3207"/>
      <c r="D5" s="3207"/>
    </row>
    <row r="6" spans="1:4">
      <c r="A6" s="3208" t="s">
        <v>2044</v>
      </c>
      <c r="B6" s="3208"/>
      <c r="C6" s="3208"/>
      <c r="D6" s="3208"/>
    </row>
    <row r="7" spans="1:4" ht="33" customHeight="1">
      <c r="A7" s="3208" t="s">
        <v>2575</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2068</v>
      </c>
      <c r="B12" s="3207"/>
      <c r="C12" s="3207"/>
      <c r="D12" s="3207"/>
    </row>
    <row r="13" spans="1:4">
      <c r="A13" s="3211" t="s">
        <v>2746</v>
      </c>
      <c r="B13" s="3211"/>
      <c r="C13" s="3211"/>
      <c r="D13" s="3211"/>
    </row>
    <row r="14" spans="1:4">
      <c r="A14" s="3210" t="str">
        <f>IF(项目基本情况!B8="抵押","综上，"&amp;结果表!K47,"——")</f>
        <v>综上，本次评估估价师知悉的法定优先受偿款为人民币1582万元整。</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2702</v>
      </c>
      <c r="B17" s="3208"/>
      <c r="C17" s="3208"/>
      <c r="D17" s="3208"/>
    </row>
    <row r="18" spans="1:4">
      <c r="A18" s="3208" t="s">
        <v>2694</v>
      </c>
      <c r="B18" s="3208"/>
      <c r="C18" s="3208"/>
      <c r="D18" s="3208"/>
    </row>
    <row r="19" spans="1:4">
      <c r="A19" s="2823" t="s">
        <v>2695</v>
      </c>
      <c r="B19" s="2823" t="s">
        <v>2696</v>
      </c>
      <c r="C19" s="2823" t="s">
        <v>2697</v>
      </c>
      <c r="D19" s="2823" t="s">
        <v>2698</v>
      </c>
    </row>
    <row r="20" spans="1:4">
      <c r="A20" s="2823" t="str">
        <f>项目基本情况!B4</f>
        <v>赵雯</v>
      </c>
      <c r="B20" s="2823">
        <f ca="1">项目基本情况!C4</f>
        <v>2011110090</v>
      </c>
      <c r="C20" s="2825"/>
      <c r="D20" s="1785" t="s">
        <v>2703</v>
      </c>
    </row>
    <row r="21" spans="1:4">
      <c r="A21" s="2823" t="str">
        <f>项目基本情况!D4</f>
        <v>崔锴</v>
      </c>
      <c r="B21" s="2823">
        <f ca="1">项目基本情况!E4</f>
        <v>2010110070</v>
      </c>
      <c r="C21" s="2825"/>
      <c r="D21" s="1785" t="s">
        <v>2704</v>
      </c>
    </row>
    <row r="23" spans="1:4">
      <c r="A23" s="3208" t="s">
        <v>2699</v>
      </c>
      <c r="B23" s="3208"/>
      <c r="C23" s="3208"/>
      <c r="D23" s="3208"/>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9" t="s">
        <v>53</v>
      </c>
      <c r="B15" s="3220" t="s">
        <v>846</v>
      </c>
      <c r="C15" s="3216"/>
    </row>
    <row r="16" spans="1:7" ht="14.25">
      <c r="A16" s="3219"/>
      <c r="B16" s="3217" t="s">
        <v>54</v>
      </c>
      <c r="C16" s="1168" t="s">
        <v>53</v>
      </c>
    </row>
    <row r="17" spans="1:3" ht="14.25">
      <c r="A17" s="3219"/>
      <c r="B17" s="3217"/>
      <c r="C17" s="1168" t="s">
        <v>55</v>
      </c>
    </row>
    <row r="18" spans="1:3" ht="14.25">
      <c r="A18" s="3219"/>
      <c r="B18" s="3217"/>
      <c r="C18" s="1168" t="s">
        <v>56</v>
      </c>
    </row>
    <row r="19" spans="1:3" ht="14.25">
      <c r="A19" s="3219"/>
      <c r="B19" s="3215" t="s">
        <v>57</v>
      </c>
      <c r="C19" s="3216"/>
    </row>
    <row r="20" spans="1:3" ht="14.25">
      <c r="A20" s="1169" t="s">
        <v>58</v>
      </c>
      <c r="B20" s="1170"/>
      <c r="C20" s="1171"/>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2" t="s">
        <v>837</v>
      </c>
    </row>
    <row r="25" spans="1:3" ht="14.25">
      <c r="A25" s="3218"/>
      <c r="B25" s="3222"/>
      <c r="C25" s="1172" t="s">
        <v>838</v>
      </c>
    </row>
    <row r="26" spans="1:3" ht="14.25">
      <c r="A26" s="3218"/>
      <c r="B26" s="3222"/>
      <c r="C26" s="1172" t="s">
        <v>839</v>
      </c>
    </row>
    <row r="27" spans="1:3" ht="14.25">
      <c r="A27" s="3218"/>
      <c r="B27" s="3222"/>
      <c r="C27" s="1172" t="s">
        <v>840</v>
      </c>
    </row>
    <row r="28" spans="1:3" ht="14.25">
      <c r="A28" s="3218"/>
      <c r="B28" s="3222"/>
      <c r="C28" s="1172" t="s">
        <v>841</v>
      </c>
    </row>
    <row r="29" spans="1:3" ht="14.25">
      <c r="A29" s="3218"/>
      <c r="B29" s="3222"/>
      <c r="C29" s="1172" t="s">
        <v>842</v>
      </c>
    </row>
    <row r="30" spans="1:3" ht="14.25">
      <c r="A30" s="3218"/>
      <c r="B30" s="3222"/>
      <c r="C30" s="1172" t="s">
        <v>843</v>
      </c>
    </row>
    <row r="31" spans="1:3" ht="14.25">
      <c r="A31" s="3218"/>
      <c r="B31" s="3222"/>
      <c r="C31" s="1172" t="s">
        <v>844</v>
      </c>
    </row>
    <row r="32" spans="1:3" ht="14.25">
      <c r="A32" s="3218"/>
      <c r="B32" s="3222"/>
      <c r="C32" s="1172" t="s">
        <v>1646</v>
      </c>
    </row>
    <row r="33" spans="1:3" ht="14.25">
      <c r="A33" s="3218"/>
      <c r="B33" s="3212" t="s">
        <v>1652</v>
      </c>
      <c r="C33" s="1172" t="s">
        <v>1647</v>
      </c>
    </row>
    <row r="34" spans="1:3" ht="14.25">
      <c r="A34" s="3218"/>
      <c r="B34" s="3213"/>
      <c r="C34" s="1177" t="s">
        <v>1648</v>
      </c>
    </row>
    <row r="35" spans="1:3" ht="14.25">
      <c r="A35" s="3218"/>
      <c r="B35" s="3213"/>
      <c r="C35" s="1178" t="s">
        <v>1649</v>
      </c>
    </row>
    <row r="36" spans="1:3" ht="14.25">
      <c r="A36" s="3218"/>
      <c r="B36" s="3213"/>
      <c r="C36" s="1178" t="s">
        <v>1650</v>
      </c>
    </row>
    <row r="37" spans="1:3" ht="14.25">
      <c r="A37" s="3218"/>
      <c r="B37" s="321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43644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2980</v>
      </c>
      <c r="B14" s="3132">
        <f ca="1">IF(C14&lt;B2,"已过期",1120040230)</f>
        <v>1120040230</v>
      </c>
      <c r="C14" s="3136">
        <v>43835</v>
      </c>
      <c r="D14" s="3137" t="s">
        <v>2981</v>
      </c>
      <c r="E14" s="3132">
        <f ca="1">IF(F14&lt;B2,"已过期",98030020)</f>
        <v>98030020</v>
      </c>
      <c r="F14" s="3135">
        <v>47118</v>
      </c>
    </row>
    <row r="15" spans="1:6" ht="20.25" customHeight="1">
      <c r="A15" s="3132" t="s">
        <v>2574</v>
      </c>
      <c r="B15" s="3132">
        <f ca="1">IF(C15&lt;B2,"已过期",1120070085)</f>
        <v>1120070085</v>
      </c>
      <c r="C15" s="3136">
        <v>43814</v>
      </c>
      <c r="D15" s="3132" t="s">
        <v>2982</v>
      </c>
      <c r="E15" s="3132">
        <f ca="1">IF(F15&lt;B2,"已过期",2004110128)</f>
        <v>2004110128</v>
      </c>
      <c r="F15" s="3138">
        <v>47118</v>
      </c>
    </row>
    <row r="16" spans="1:6" ht="20.25" customHeight="1">
      <c r="A16" s="3132" t="s">
        <v>1923</v>
      </c>
      <c r="B16" s="3132">
        <f ca="1">IF(C16&lt;B2,"已过期",1120140022)</f>
        <v>1120140022</v>
      </c>
      <c r="C16" s="3134">
        <v>44029</v>
      </c>
      <c r="D16" s="3132" t="s">
        <v>2983</v>
      </c>
      <c r="E16" s="3132">
        <f ca="1">IF(F16&lt;B2,"已过期",2008110059)</f>
        <v>2008110059</v>
      </c>
      <c r="F16" s="3135">
        <v>47177</v>
      </c>
    </row>
    <row r="17" spans="1:7" ht="20.25" customHeight="1">
      <c r="A17" s="3132"/>
      <c r="B17" s="3132"/>
      <c r="C17" s="3134"/>
      <c r="D17" s="3137" t="s">
        <v>2984</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3" t="s">
        <v>1926</v>
      </c>
      <c r="B25" s="3223"/>
      <c r="C25" s="3223"/>
      <c r="D25" s="3223"/>
      <c r="E25" s="3223"/>
      <c r="F25" s="3223"/>
      <c r="G25" s="3223"/>
    </row>
    <row r="26" spans="1:7" ht="20.25" customHeight="1">
      <c r="A26" s="3224" t="s">
        <v>1927</v>
      </c>
      <c r="B26" s="3224"/>
      <c r="C26" s="3224"/>
      <c r="D26" s="3224" t="s">
        <v>1928</v>
      </c>
      <c r="E26" s="3224"/>
      <c r="F26" s="322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2942</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2954</v>
      </c>
      <c r="C18" s="1540"/>
    </row>
    <row r="19" spans="1:3">
      <c r="A19" s="8" t="s">
        <v>120</v>
      </c>
      <c r="B19" s="3064"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3064" t="s">
        <v>3014</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顺房地产开发有限公司拟使用北京市北京市顺义区顺义新城第13街区SY00-0013-6010地块出让国有建设用地使用权作为抵押担保物，向农行宣武支行办理贷款手续。农行宣武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5"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c r="D53" s="1752"/>
      <c r="E53" s="1752"/>
    </row>
    <row r="54" spans="1:5">
      <c r="A54" s="3225"/>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5"/>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5"/>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5"/>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建安</vt:lpstr>
      <vt:lpstr>土地案例</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2019-06-28T07:08:30Z</dcterms:modified>
</cp:coreProperties>
</file>