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9" r:id="rId14"/>
    <sheet name="数据-汇总表" sheetId="6" r:id="rId15"/>
    <sheet name="数据-取费表" sheetId="1" r:id="rId16"/>
    <sheet name="估价对象房地状况" sheetId="20" state="hidden" r:id="rId17"/>
    <sheet name="系统读取表" sheetId="74" r:id="rId18"/>
    <sheet name="结果表-商业" sheetId="9" r:id="rId19"/>
    <sheet name="成本法" sheetId="68" state="hidden" r:id="rId20"/>
    <sheet name="成本法 (元)" sheetId="69" state="hidden" r:id="rId21"/>
    <sheet name="假设开发法" sheetId="12" state="hidden" r:id="rId22"/>
    <sheet name="土地比较法-住宅、综合" sheetId="39" state="hidden" r:id="rId23"/>
    <sheet name="基准地价修正-商业" sheetId="43" state="hidden" r:id="rId24"/>
    <sheet name="基准地价修正-办公" sheetId="78" state="hidden" r:id="rId25"/>
    <sheet name="比较法-商业" sheetId="33" r:id="rId26"/>
    <sheet name="收益法-商业" sheetId="67" r:id="rId27"/>
    <sheet name="收益法-商业2" sheetId="15" state="hidden" r:id="rId28"/>
    <sheet name="典型户型修正-商业" sheetId="31" r:id="rId29"/>
    <sheet name="结果表-办公" sheetId="82" r:id="rId30"/>
    <sheet name="比较法-办公" sheetId="34" r:id="rId31"/>
    <sheet name="收益法-办公" sheetId="84" r:id="rId32"/>
    <sheet name="收益法-办公2" sheetId="77" state="hidden" r:id="rId33"/>
    <sheet name="收益法（汇总）" sheetId="70" state="hidden" r:id="rId34"/>
    <sheet name="酒店收入计算" sheetId="66" state="hidden" r:id="rId35"/>
    <sheet name="比较法-住宅" sheetId="21"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典型户型修正-办公" sheetId="83" r:id="rId50"/>
    <sheet name="案例" sheetId="80" r:id="rId51"/>
  </sheet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5" hidden="1">'比较法-商业'!$A$1:$L$49</definedName>
    <definedName name="_xlnm._FilterDatabase" localSheetId="35"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definedName>
    <definedName name="_xlnm.Print_Area" localSheetId="8">估价师及机构信息!$A$1:$F$29</definedName>
    <definedName name="_xlnm.Print_Area" localSheetId="18">'结果表-商业'!$A$1:$I$142</definedName>
    <definedName name="_xlnm.Print_Area" localSheetId="31">'收益法-办公'!$A$1:$AK$69</definedName>
    <definedName name="_xlnm.Print_Area" localSheetId="32">'收益法-办公2'!$A$1:$AK$69</definedName>
    <definedName name="_xlnm.Print_Area" localSheetId="26">'收益法-商业'!$A$1:$AK$69</definedName>
    <definedName name="_xlnm.Print_Area" localSheetId="27">'收益法-商业2'!$A$1:$AK$69</definedName>
    <definedName name="_xlnm.Print_Area" localSheetId="14">'数据-汇总表'!$A$1:$I$32</definedName>
    <definedName name="_xlnm.Print_Area" localSheetId="11">'数据-基础表'!$A$1:$L$14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'典型户型修正-办公'!$5:$5</definedName>
    <definedName name="一修多修正项2">'典型户型修正-商业'!$5:$5</definedName>
    <definedName name="一修多修正项3" localSheetId="49">'典型户型修正-办公'!$7:$7</definedName>
    <definedName name="一修多修正项3">'典型户型修正-商业'!$7:$7</definedName>
    <definedName name="一修多修正项4" localSheetId="49">'典型户型修正-办公'!$9:$9</definedName>
    <definedName name="一修多修正项4">'典型户型修正-商业'!$9:$9</definedName>
    <definedName name="一修多修正项5" localSheetId="49">'典型户型修正-办公'!$11:$11</definedName>
    <definedName name="一修多修正项5">'典型户型修正-商业'!$11:$11</definedName>
    <definedName name="一修多修正项6" localSheetId="49">'典型户型修正-办公'!$13:$13</definedName>
    <definedName name="一修多修正项6">'典型户型修正-商业'!$13:$13</definedName>
    <definedName name="一修多修正项7" localSheetId="49">'典型户型修正-办公'!$15:$15</definedName>
    <definedName name="一修多修正项7">'典型户型修正-商业'!$15:$15</definedName>
    <definedName name="一修多修正项8" localSheetId="49">'典型户型修正-办公'!$17:$17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Q72" i="84" l="1"/>
  <c r="Q59" i="84"/>
  <c r="K59" i="84"/>
  <c r="P74" i="84" s="1"/>
  <c r="F59" i="84"/>
  <c r="Q58" i="84"/>
  <c r="Q51" i="84"/>
  <c r="J50" i="84"/>
  <c r="M47" i="84"/>
  <c r="D46" i="84"/>
  <c r="F33" i="84"/>
  <c r="F61" i="84" s="1"/>
  <c r="F31" i="84"/>
  <c r="F23" i="84"/>
  <c r="D24" i="84" s="1"/>
  <c r="D22" i="84"/>
  <c r="F21" i="84"/>
  <c r="F20" i="84"/>
  <c r="M19" i="84"/>
  <c r="F18" i="84"/>
  <c r="M17" i="84"/>
  <c r="F17" i="84"/>
  <c r="F15" i="84"/>
  <c r="D23" i="84" l="1"/>
  <c r="P61" i="84"/>
  <c r="U8" i="1"/>
  <c r="Q9" i="1"/>
  <c r="Q8" i="1"/>
  <c r="L9" i="1"/>
  <c r="L8" i="1"/>
  <c r="H9" i="1"/>
  <c r="I9" i="1"/>
  <c r="J9" i="1"/>
  <c r="J8" i="1"/>
  <c r="I8" i="1"/>
  <c r="H8" i="1"/>
  <c r="F21" i="6"/>
  <c r="C33" i="33" s="1"/>
  <c r="F22" i="6"/>
  <c r="C34" i="34" l="1"/>
  <c r="B15" i="74"/>
  <c r="E379" i="79"/>
  <c r="E380" i="79"/>
  <c r="E381" i="79" s="1"/>
  <c r="J221" i="79"/>
  <c r="G36" i="33" l="1"/>
  <c r="I37" i="34"/>
  <c r="E37" i="34"/>
  <c r="G37" i="34"/>
  <c r="I36" i="33"/>
  <c r="E36" i="3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Q346" i="83"/>
  <c r="O346" i="83"/>
  <c r="M346" i="83"/>
  <c r="K346" i="83"/>
  <c r="I346" i="83"/>
  <c r="G346" i="83"/>
  <c r="E346" i="83"/>
  <c r="C346" i="83"/>
  <c r="Q345" i="83"/>
  <c r="O345" i="83"/>
  <c r="M345" i="83"/>
  <c r="K345" i="83"/>
  <c r="I345" i="83"/>
  <c r="G345" i="83"/>
  <c r="E345" i="83"/>
  <c r="C345" i="83"/>
  <c r="Q344" i="83"/>
  <c r="O344" i="83"/>
  <c r="M344" i="83"/>
  <c r="K344" i="83"/>
  <c r="I344" i="83"/>
  <c r="G344" i="83"/>
  <c r="E344" i="83"/>
  <c r="C344" i="83"/>
  <c r="Q343" i="83"/>
  <c r="O343" i="83"/>
  <c r="M343" i="83"/>
  <c r="K343" i="83"/>
  <c r="I343" i="83"/>
  <c r="G343" i="83"/>
  <c r="E343" i="83"/>
  <c r="C343" i="83"/>
  <c r="Q342" i="83"/>
  <c r="O342" i="83"/>
  <c r="M342" i="83"/>
  <c r="K342" i="83"/>
  <c r="I342" i="83"/>
  <c r="G342" i="83"/>
  <c r="E342" i="83"/>
  <c r="C342" i="83"/>
  <c r="Q341" i="83"/>
  <c r="O341" i="83"/>
  <c r="M341" i="83"/>
  <c r="K341" i="83"/>
  <c r="I341" i="83"/>
  <c r="G341" i="83"/>
  <c r="E341" i="83"/>
  <c r="C341" i="83"/>
  <c r="Q340" i="83"/>
  <c r="O340" i="83"/>
  <c r="M340" i="83"/>
  <c r="K340" i="83"/>
  <c r="I340" i="83"/>
  <c r="G340" i="83"/>
  <c r="E340" i="83"/>
  <c r="C340" i="83"/>
  <c r="Q339" i="83"/>
  <c r="O339" i="83"/>
  <c r="M339" i="83"/>
  <c r="K339" i="83"/>
  <c r="I339" i="83"/>
  <c r="G339" i="83"/>
  <c r="E339" i="83"/>
  <c r="C339" i="83"/>
  <c r="Q338" i="83"/>
  <c r="O338" i="83"/>
  <c r="M338" i="83"/>
  <c r="K338" i="83"/>
  <c r="I338" i="83"/>
  <c r="G338" i="83"/>
  <c r="E338" i="83"/>
  <c r="C338" i="83"/>
  <c r="Q337" i="83"/>
  <c r="O337" i="83"/>
  <c r="M337" i="83"/>
  <c r="K337" i="83"/>
  <c r="I337" i="83"/>
  <c r="G337" i="83"/>
  <c r="E337" i="83"/>
  <c r="C337" i="83"/>
  <c r="Q336" i="83"/>
  <c r="O336" i="83"/>
  <c r="M336" i="83"/>
  <c r="K336" i="83"/>
  <c r="I336" i="83"/>
  <c r="G336" i="83"/>
  <c r="E336" i="83"/>
  <c r="C336" i="83"/>
  <c r="Q335" i="83"/>
  <c r="O335" i="83"/>
  <c r="M335" i="83"/>
  <c r="K335" i="83"/>
  <c r="I335" i="83"/>
  <c r="G335" i="83"/>
  <c r="E335" i="83"/>
  <c r="C335" i="83"/>
  <c r="Q334" i="83"/>
  <c r="O334" i="83"/>
  <c r="M334" i="83"/>
  <c r="K334" i="83"/>
  <c r="I334" i="83"/>
  <c r="G334" i="83"/>
  <c r="E334" i="83"/>
  <c r="C334" i="83"/>
  <c r="Q333" i="83"/>
  <c r="O333" i="83"/>
  <c r="M333" i="83"/>
  <c r="K333" i="83"/>
  <c r="I333" i="83"/>
  <c r="G333" i="83"/>
  <c r="E333" i="83"/>
  <c r="C333" i="83"/>
  <c r="Q332" i="83"/>
  <c r="O332" i="83"/>
  <c r="M332" i="83"/>
  <c r="K332" i="83"/>
  <c r="I332" i="83"/>
  <c r="G332" i="83"/>
  <c r="E332" i="83"/>
  <c r="C332" i="83"/>
  <c r="Q331" i="83"/>
  <c r="O331" i="83"/>
  <c r="M331" i="83"/>
  <c r="K331" i="83"/>
  <c r="I331" i="83"/>
  <c r="G331" i="83"/>
  <c r="E331" i="83"/>
  <c r="C331" i="83"/>
  <c r="Q330" i="83"/>
  <c r="O330" i="83"/>
  <c r="M330" i="83"/>
  <c r="K330" i="83"/>
  <c r="I330" i="83"/>
  <c r="G330" i="83"/>
  <c r="E330" i="83"/>
  <c r="C330" i="83"/>
  <c r="Q329" i="83"/>
  <c r="O329" i="83"/>
  <c r="M329" i="83"/>
  <c r="K329" i="83"/>
  <c r="I329" i="83"/>
  <c r="G329" i="83"/>
  <c r="E329" i="83"/>
  <c r="C329" i="83"/>
  <c r="Q328" i="83"/>
  <c r="O328" i="83"/>
  <c r="M328" i="83"/>
  <c r="K328" i="83"/>
  <c r="I328" i="83"/>
  <c r="G328" i="83"/>
  <c r="E328" i="83"/>
  <c r="C328" i="83"/>
  <c r="Q327" i="83"/>
  <c r="O327" i="83"/>
  <c r="M327" i="83"/>
  <c r="K327" i="83"/>
  <c r="I327" i="83"/>
  <c r="G327" i="83"/>
  <c r="E327" i="83"/>
  <c r="C327" i="83"/>
  <c r="Q326" i="83"/>
  <c r="O326" i="83"/>
  <c r="M326" i="83"/>
  <c r="K326" i="83"/>
  <c r="I326" i="83"/>
  <c r="G326" i="83"/>
  <c r="E326" i="83"/>
  <c r="C326" i="83"/>
  <c r="Q325" i="83"/>
  <c r="O325" i="83"/>
  <c r="M325" i="83"/>
  <c r="K325" i="83"/>
  <c r="I325" i="83"/>
  <c r="G325" i="83"/>
  <c r="E325" i="83"/>
  <c r="C325" i="83"/>
  <c r="Q324" i="83"/>
  <c r="O324" i="83"/>
  <c r="M324" i="83"/>
  <c r="K324" i="83"/>
  <c r="I324" i="83"/>
  <c r="G324" i="83"/>
  <c r="E324" i="83"/>
  <c r="C324" i="83"/>
  <c r="Q323" i="83"/>
  <c r="O323" i="83"/>
  <c r="M323" i="83"/>
  <c r="K323" i="83"/>
  <c r="I323" i="83"/>
  <c r="G323" i="83"/>
  <c r="E323" i="83"/>
  <c r="C323" i="83"/>
  <c r="Q322" i="83"/>
  <c r="O322" i="83"/>
  <c r="M322" i="83"/>
  <c r="K322" i="83"/>
  <c r="I322" i="83"/>
  <c r="G322" i="83"/>
  <c r="E322" i="83"/>
  <c r="C322" i="83"/>
  <c r="Q321" i="83"/>
  <c r="O321" i="83"/>
  <c r="M321" i="83"/>
  <c r="K321" i="83"/>
  <c r="I321" i="83"/>
  <c r="G321" i="83"/>
  <c r="E321" i="83"/>
  <c r="C321" i="83"/>
  <c r="Q320" i="83"/>
  <c r="O320" i="83"/>
  <c r="M320" i="83"/>
  <c r="K320" i="83"/>
  <c r="I320" i="83"/>
  <c r="G320" i="83"/>
  <c r="E320" i="83"/>
  <c r="C320" i="83"/>
  <c r="Q319" i="83"/>
  <c r="O319" i="83"/>
  <c r="M319" i="83"/>
  <c r="K319" i="83"/>
  <c r="I319" i="83"/>
  <c r="G319" i="83"/>
  <c r="E319" i="83"/>
  <c r="C319" i="83"/>
  <c r="Q318" i="83"/>
  <c r="O318" i="83"/>
  <c r="M318" i="83"/>
  <c r="K318" i="83"/>
  <c r="I318" i="83"/>
  <c r="G318" i="83"/>
  <c r="E318" i="83"/>
  <c r="C318" i="83"/>
  <c r="Q317" i="83"/>
  <c r="O317" i="83"/>
  <c r="M317" i="83"/>
  <c r="K317" i="83"/>
  <c r="I317" i="83"/>
  <c r="G317" i="83"/>
  <c r="E317" i="83"/>
  <c r="C317" i="83"/>
  <c r="Q316" i="83"/>
  <c r="O316" i="83"/>
  <c r="M316" i="83"/>
  <c r="K316" i="83"/>
  <c r="I316" i="83"/>
  <c r="G316" i="83"/>
  <c r="E316" i="83"/>
  <c r="C316" i="83"/>
  <c r="Q315" i="83"/>
  <c r="O315" i="83"/>
  <c r="M315" i="83"/>
  <c r="K315" i="83"/>
  <c r="I315" i="83"/>
  <c r="G315" i="83"/>
  <c r="E315" i="83"/>
  <c r="C315" i="83"/>
  <c r="Q314" i="83"/>
  <c r="O314" i="83"/>
  <c r="M314" i="83"/>
  <c r="K314" i="83"/>
  <c r="I314" i="83"/>
  <c r="G314" i="83"/>
  <c r="E314" i="83"/>
  <c r="C314" i="83"/>
  <c r="Q313" i="83"/>
  <c r="O313" i="83"/>
  <c r="M313" i="83"/>
  <c r="K313" i="83"/>
  <c r="I313" i="83"/>
  <c r="G313" i="83"/>
  <c r="E313" i="83"/>
  <c r="C313" i="83"/>
  <c r="Q312" i="83"/>
  <c r="O312" i="83"/>
  <c r="M312" i="83"/>
  <c r="K312" i="83"/>
  <c r="I312" i="83"/>
  <c r="G312" i="83"/>
  <c r="E312" i="83"/>
  <c r="C312" i="83"/>
  <c r="Q311" i="83"/>
  <c r="O311" i="83"/>
  <c r="M311" i="83"/>
  <c r="K311" i="83"/>
  <c r="I311" i="83"/>
  <c r="G311" i="83"/>
  <c r="E311" i="83"/>
  <c r="C311" i="83"/>
  <c r="Q310" i="83"/>
  <c r="O310" i="83"/>
  <c r="M310" i="83"/>
  <c r="K310" i="83"/>
  <c r="I310" i="83"/>
  <c r="G310" i="83"/>
  <c r="E310" i="83"/>
  <c r="C310" i="83"/>
  <c r="Q309" i="83"/>
  <c r="O309" i="83"/>
  <c r="M309" i="83"/>
  <c r="K309" i="83"/>
  <c r="I309" i="83"/>
  <c r="G309" i="83"/>
  <c r="E309" i="83"/>
  <c r="C309" i="83"/>
  <c r="Q308" i="83"/>
  <c r="O308" i="83"/>
  <c r="M308" i="83"/>
  <c r="K308" i="83"/>
  <c r="I308" i="83"/>
  <c r="G308" i="83"/>
  <c r="E308" i="83"/>
  <c r="C308" i="83"/>
  <c r="Q307" i="83"/>
  <c r="O307" i="83"/>
  <c r="M307" i="83"/>
  <c r="K307" i="83"/>
  <c r="I307" i="83"/>
  <c r="G307" i="83"/>
  <c r="E307" i="83"/>
  <c r="C307" i="83"/>
  <c r="Q306" i="83"/>
  <c r="O306" i="83"/>
  <c r="M306" i="83"/>
  <c r="K306" i="83"/>
  <c r="I306" i="83"/>
  <c r="G306" i="83"/>
  <c r="E306" i="83"/>
  <c r="C306" i="83"/>
  <c r="Q305" i="83"/>
  <c r="O305" i="83"/>
  <c r="M305" i="83"/>
  <c r="K305" i="83"/>
  <c r="I305" i="83"/>
  <c r="G305" i="83"/>
  <c r="E305" i="83"/>
  <c r="C305" i="83"/>
  <c r="Q304" i="83"/>
  <c r="O304" i="83"/>
  <c r="M304" i="83"/>
  <c r="K304" i="83"/>
  <c r="I304" i="83"/>
  <c r="G304" i="83"/>
  <c r="E304" i="83"/>
  <c r="C304" i="83"/>
  <c r="Q303" i="83"/>
  <c r="O303" i="83"/>
  <c r="M303" i="83"/>
  <c r="K303" i="83"/>
  <c r="I303" i="83"/>
  <c r="G303" i="83"/>
  <c r="E303" i="83"/>
  <c r="C303" i="83"/>
  <c r="Q302" i="83"/>
  <c r="O302" i="83"/>
  <c r="M302" i="83"/>
  <c r="K302" i="83"/>
  <c r="I302" i="83"/>
  <c r="G302" i="83"/>
  <c r="E302" i="83"/>
  <c r="C302" i="83"/>
  <c r="Q301" i="83"/>
  <c r="O301" i="83"/>
  <c r="M301" i="83"/>
  <c r="K301" i="83"/>
  <c r="I301" i="83"/>
  <c r="G301" i="83"/>
  <c r="E301" i="83"/>
  <c r="C301" i="83"/>
  <c r="Q300" i="83"/>
  <c r="O300" i="83"/>
  <c r="M300" i="83"/>
  <c r="K300" i="83"/>
  <c r="I300" i="83"/>
  <c r="G300" i="83"/>
  <c r="E300" i="83"/>
  <c r="C300" i="83"/>
  <c r="Q299" i="83"/>
  <c r="O299" i="83"/>
  <c r="M299" i="83"/>
  <c r="K299" i="83"/>
  <c r="I299" i="83"/>
  <c r="G299" i="83"/>
  <c r="E299" i="83"/>
  <c r="C299" i="83"/>
  <c r="Q298" i="83"/>
  <c r="O298" i="83"/>
  <c r="M298" i="83"/>
  <c r="K298" i="83"/>
  <c r="I298" i="83"/>
  <c r="G298" i="83"/>
  <c r="E298" i="83"/>
  <c r="C298" i="83"/>
  <c r="Q297" i="83"/>
  <c r="O297" i="83"/>
  <c r="M297" i="83"/>
  <c r="K297" i="83"/>
  <c r="I297" i="83"/>
  <c r="G297" i="83"/>
  <c r="E297" i="83"/>
  <c r="C297" i="83"/>
  <c r="Q296" i="83"/>
  <c r="O296" i="83"/>
  <c r="M296" i="83"/>
  <c r="K296" i="83"/>
  <c r="I296" i="83"/>
  <c r="G296" i="83"/>
  <c r="E296" i="83"/>
  <c r="C296" i="83"/>
  <c r="Q295" i="83"/>
  <c r="O295" i="83"/>
  <c r="M295" i="83"/>
  <c r="K295" i="83"/>
  <c r="I295" i="83"/>
  <c r="G295" i="83"/>
  <c r="E295" i="83"/>
  <c r="C295" i="83"/>
  <c r="Q294" i="83"/>
  <c r="O294" i="83"/>
  <c r="M294" i="83"/>
  <c r="K294" i="83"/>
  <c r="I294" i="83"/>
  <c r="G294" i="83"/>
  <c r="E294" i="83"/>
  <c r="C294" i="83"/>
  <c r="Q293" i="83"/>
  <c r="O293" i="83"/>
  <c r="M293" i="83"/>
  <c r="K293" i="83"/>
  <c r="I293" i="83"/>
  <c r="G293" i="83"/>
  <c r="E293" i="83"/>
  <c r="C293" i="83"/>
  <c r="Q292" i="83"/>
  <c r="O292" i="83"/>
  <c r="M292" i="83"/>
  <c r="K292" i="83"/>
  <c r="I292" i="83"/>
  <c r="G292" i="83"/>
  <c r="E292" i="83"/>
  <c r="C292" i="83"/>
  <c r="Q291" i="83"/>
  <c r="O291" i="83"/>
  <c r="M291" i="83"/>
  <c r="K291" i="83"/>
  <c r="I291" i="83"/>
  <c r="G291" i="83"/>
  <c r="E291" i="83"/>
  <c r="C291" i="83"/>
  <c r="Q290" i="83"/>
  <c r="O290" i="83"/>
  <c r="M290" i="83"/>
  <c r="K290" i="83"/>
  <c r="I290" i="83"/>
  <c r="G290" i="83"/>
  <c r="E290" i="83"/>
  <c r="C290" i="83"/>
  <c r="Q289" i="83"/>
  <c r="O289" i="83"/>
  <c r="M289" i="83"/>
  <c r="K289" i="83"/>
  <c r="I289" i="83"/>
  <c r="G289" i="83"/>
  <c r="E289" i="83"/>
  <c r="C289" i="83"/>
  <c r="Q288" i="83"/>
  <c r="O288" i="83"/>
  <c r="M288" i="83"/>
  <c r="K288" i="83"/>
  <c r="I288" i="83"/>
  <c r="G288" i="83"/>
  <c r="E288" i="83"/>
  <c r="C288" i="83"/>
  <c r="Q287" i="83"/>
  <c r="O287" i="83"/>
  <c r="M287" i="83"/>
  <c r="K287" i="83"/>
  <c r="I287" i="83"/>
  <c r="G287" i="83"/>
  <c r="E287" i="83"/>
  <c r="C287" i="83"/>
  <c r="Q286" i="83"/>
  <c r="O286" i="83"/>
  <c r="M286" i="83"/>
  <c r="K286" i="83"/>
  <c r="I286" i="83"/>
  <c r="G286" i="83"/>
  <c r="E286" i="83"/>
  <c r="C286" i="83"/>
  <c r="Q285" i="83"/>
  <c r="O285" i="83"/>
  <c r="M285" i="83"/>
  <c r="K285" i="83"/>
  <c r="I285" i="83"/>
  <c r="G285" i="83"/>
  <c r="E285" i="83"/>
  <c r="C285" i="83"/>
  <c r="Q284" i="83"/>
  <c r="O284" i="83"/>
  <c r="M284" i="83"/>
  <c r="K284" i="83"/>
  <c r="I284" i="83"/>
  <c r="G284" i="83"/>
  <c r="E284" i="83"/>
  <c r="C284" i="83"/>
  <c r="Q283" i="83"/>
  <c r="O283" i="83"/>
  <c r="M283" i="83"/>
  <c r="K283" i="83"/>
  <c r="I283" i="83"/>
  <c r="G283" i="83"/>
  <c r="E283" i="83"/>
  <c r="C283" i="83"/>
  <c r="Q282" i="83"/>
  <c r="O282" i="83"/>
  <c r="M282" i="83"/>
  <c r="K282" i="83"/>
  <c r="I282" i="83"/>
  <c r="G282" i="83"/>
  <c r="E282" i="83"/>
  <c r="C282" i="83"/>
  <c r="Q281" i="83"/>
  <c r="O281" i="83"/>
  <c r="M281" i="83"/>
  <c r="K281" i="83"/>
  <c r="I281" i="83"/>
  <c r="G281" i="83"/>
  <c r="E281" i="83"/>
  <c r="C281" i="83"/>
  <c r="Q280" i="83"/>
  <c r="O280" i="83"/>
  <c r="M280" i="83"/>
  <c r="K280" i="83"/>
  <c r="I280" i="83"/>
  <c r="G280" i="83"/>
  <c r="E280" i="83"/>
  <c r="C280" i="83"/>
  <c r="Q279" i="83"/>
  <c r="O279" i="83"/>
  <c r="M279" i="83"/>
  <c r="K279" i="83"/>
  <c r="I279" i="83"/>
  <c r="G279" i="83"/>
  <c r="E279" i="83"/>
  <c r="C279" i="83"/>
  <c r="Q278" i="83"/>
  <c r="O278" i="83"/>
  <c r="M278" i="83"/>
  <c r="K278" i="83"/>
  <c r="I278" i="83"/>
  <c r="G278" i="83"/>
  <c r="E278" i="83"/>
  <c r="C278" i="83"/>
  <c r="Q277" i="83"/>
  <c r="O277" i="83"/>
  <c r="M277" i="83"/>
  <c r="K277" i="83"/>
  <c r="I277" i="83"/>
  <c r="G277" i="83"/>
  <c r="E277" i="83"/>
  <c r="C277" i="83"/>
  <c r="Q276" i="83"/>
  <c r="O276" i="83"/>
  <c r="M276" i="83"/>
  <c r="K276" i="83"/>
  <c r="I276" i="83"/>
  <c r="G276" i="83"/>
  <c r="E276" i="83"/>
  <c r="C276" i="83"/>
  <c r="Q275" i="83"/>
  <c r="O275" i="83"/>
  <c r="M275" i="83"/>
  <c r="K275" i="83"/>
  <c r="I275" i="83"/>
  <c r="G275" i="83"/>
  <c r="E275" i="83"/>
  <c r="C275" i="83"/>
  <c r="Q274" i="83"/>
  <c r="O274" i="83"/>
  <c r="M274" i="83"/>
  <c r="K274" i="83"/>
  <c r="I274" i="83"/>
  <c r="G274" i="83"/>
  <c r="E274" i="83"/>
  <c r="C274" i="83"/>
  <c r="Q273" i="83"/>
  <c r="O273" i="83"/>
  <c r="M273" i="83"/>
  <c r="K273" i="83"/>
  <c r="I273" i="83"/>
  <c r="G273" i="83"/>
  <c r="E273" i="83"/>
  <c r="C273" i="83"/>
  <c r="Q272" i="83"/>
  <c r="O272" i="83"/>
  <c r="M272" i="83"/>
  <c r="K272" i="83"/>
  <c r="I272" i="83"/>
  <c r="G272" i="83"/>
  <c r="E272" i="83"/>
  <c r="C272" i="83"/>
  <c r="Q271" i="83"/>
  <c r="O271" i="83"/>
  <c r="M271" i="83"/>
  <c r="K271" i="83"/>
  <c r="I271" i="83"/>
  <c r="G271" i="83"/>
  <c r="E271" i="83"/>
  <c r="C271" i="83"/>
  <c r="Q270" i="83"/>
  <c r="O270" i="83"/>
  <c r="M270" i="83"/>
  <c r="K270" i="83"/>
  <c r="I270" i="83"/>
  <c r="G270" i="83"/>
  <c r="E270" i="83"/>
  <c r="C270" i="83"/>
  <c r="Q269" i="83"/>
  <c r="O269" i="83"/>
  <c r="M269" i="83"/>
  <c r="K269" i="83"/>
  <c r="I269" i="83"/>
  <c r="G269" i="83"/>
  <c r="E269" i="83"/>
  <c r="C269" i="83"/>
  <c r="Q268" i="83"/>
  <c r="O268" i="83"/>
  <c r="M268" i="83"/>
  <c r="K268" i="83"/>
  <c r="I268" i="83"/>
  <c r="G268" i="83"/>
  <c r="E268" i="83"/>
  <c r="C268" i="83"/>
  <c r="Q267" i="83"/>
  <c r="O267" i="83"/>
  <c r="M267" i="83"/>
  <c r="K267" i="83"/>
  <c r="I267" i="83"/>
  <c r="G267" i="83"/>
  <c r="E267" i="83"/>
  <c r="C267" i="83"/>
  <c r="Q266" i="83"/>
  <c r="O266" i="83"/>
  <c r="M266" i="83"/>
  <c r="K266" i="83"/>
  <c r="I266" i="83"/>
  <c r="G266" i="83"/>
  <c r="E266" i="83"/>
  <c r="C266" i="83"/>
  <c r="Q265" i="83"/>
  <c r="O265" i="83"/>
  <c r="M265" i="83"/>
  <c r="K265" i="83"/>
  <c r="I265" i="83"/>
  <c r="G265" i="83"/>
  <c r="E265" i="83"/>
  <c r="C265" i="83"/>
  <c r="Q264" i="83"/>
  <c r="O264" i="83"/>
  <c r="M264" i="83"/>
  <c r="K264" i="83"/>
  <c r="I264" i="83"/>
  <c r="G264" i="83"/>
  <c r="E264" i="83"/>
  <c r="C264" i="83"/>
  <c r="Q263" i="83"/>
  <c r="O263" i="83"/>
  <c r="M263" i="83"/>
  <c r="K263" i="83"/>
  <c r="I263" i="83"/>
  <c r="G263" i="83"/>
  <c r="E263" i="83"/>
  <c r="C263" i="83"/>
  <c r="Q262" i="83"/>
  <c r="O262" i="83"/>
  <c r="M262" i="83"/>
  <c r="K262" i="83"/>
  <c r="I262" i="83"/>
  <c r="G262" i="83"/>
  <c r="E262" i="83"/>
  <c r="C262" i="83"/>
  <c r="Q261" i="83"/>
  <c r="O261" i="83"/>
  <c r="M261" i="83"/>
  <c r="K261" i="83"/>
  <c r="I261" i="83"/>
  <c r="G261" i="83"/>
  <c r="E261" i="83"/>
  <c r="C261" i="83"/>
  <c r="Q260" i="83"/>
  <c r="O260" i="83"/>
  <c r="M260" i="83"/>
  <c r="K260" i="83"/>
  <c r="I260" i="83"/>
  <c r="G260" i="83"/>
  <c r="E260" i="83"/>
  <c r="C260" i="83"/>
  <c r="Q259" i="83"/>
  <c r="O259" i="83"/>
  <c r="M259" i="83"/>
  <c r="K259" i="83"/>
  <c r="I259" i="83"/>
  <c r="G259" i="83"/>
  <c r="E259" i="83"/>
  <c r="C259" i="83"/>
  <c r="Q258" i="83"/>
  <c r="O258" i="83"/>
  <c r="M258" i="83"/>
  <c r="K258" i="83"/>
  <c r="I258" i="83"/>
  <c r="G258" i="83"/>
  <c r="E258" i="83"/>
  <c r="C258" i="83"/>
  <c r="Q257" i="83"/>
  <c r="O257" i="83"/>
  <c r="M257" i="83"/>
  <c r="K257" i="83"/>
  <c r="I257" i="83"/>
  <c r="G257" i="83"/>
  <c r="E257" i="83"/>
  <c r="C257" i="83"/>
  <c r="Q256" i="83"/>
  <c r="O256" i="83"/>
  <c r="M256" i="83"/>
  <c r="K256" i="83"/>
  <c r="I256" i="83"/>
  <c r="G256" i="83"/>
  <c r="E256" i="83"/>
  <c r="C256" i="83"/>
  <c r="Q255" i="83"/>
  <c r="O255" i="83"/>
  <c r="M255" i="83"/>
  <c r="K255" i="83"/>
  <c r="I255" i="83"/>
  <c r="G255" i="83"/>
  <c r="E255" i="83"/>
  <c r="C255" i="83"/>
  <c r="Q254" i="83"/>
  <c r="O254" i="83"/>
  <c r="M254" i="83"/>
  <c r="K254" i="83"/>
  <c r="I254" i="83"/>
  <c r="G254" i="83"/>
  <c r="E254" i="83"/>
  <c r="C254" i="83"/>
  <c r="Q253" i="83"/>
  <c r="O253" i="83"/>
  <c r="M253" i="83"/>
  <c r="K253" i="83"/>
  <c r="I253" i="83"/>
  <c r="G253" i="83"/>
  <c r="E253" i="83"/>
  <c r="C253" i="83"/>
  <c r="Q252" i="83"/>
  <c r="O252" i="83"/>
  <c r="M252" i="83"/>
  <c r="K252" i="83"/>
  <c r="I252" i="83"/>
  <c r="G252" i="83"/>
  <c r="E252" i="83"/>
  <c r="C252" i="83"/>
  <c r="Q251" i="83"/>
  <c r="O251" i="83"/>
  <c r="M251" i="83"/>
  <c r="K251" i="83"/>
  <c r="I251" i="83"/>
  <c r="G251" i="83"/>
  <c r="E251" i="83"/>
  <c r="C251" i="83"/>
  <c r="Q250" i="83"/>
  <c r="O250" i="83"/>
  <c r="M250" i="83"/>
  <c r="K250" i="83"/>
  <c r="I250" i="83"/>
  <c r="G250" i="83"/>
  <c r="E250" i="83"/>
  <c r="C250" i="83"/>
  <c r="Q249" i="83"/>
  <c r="O249" i="83"/>
  <c r="M249" i="83"/>
  <c r="K249" i="83"/>
  <c r="I249" i="83"/>
  <c r="G249" i="83"/>
  <c r="E249" i="83"/>
  <c r="C249" i="83"/>
  <c r="Q248" i="83"/>
  <c r="O248" i="83"/>
  <c r="M248" i="83"/>
  <c r="K248" i="83"/>
  <c r="I248" i="83"/>
  <c r="G248" i="83"/>
  <c r="E248" i="83"/>
  <c r="C248" i="83"/>
  <c r="Q247" i="83"/>
  <c r="O247" i="83"/>
  <c r="M247" i="83"/>
  <c r="K247" i="83"/>
  <c r="I247" i="83"/>
  <c r="G247" i="83"/>
  <c r="E247" i="83"/>
  <c r="C247" i="83"/>
  <c r="Q246" i="83"/>
  <c r="O246" i="83"/>
  <c r="M246" i="83"/>
  <c r="K246" i="83"/>
  <c r="I246" i="83"/>
  <c r="G246" i="83"/>
  <c r="E246" i="83"/>
  <c r="C246" i="83"/>
  <c r="Q245" i="83"/>
  <c r="O245" i="83"/>
  <c r="M245" i="83"/>
  <c r="K245" i="83"/>
  <c r="I245" i="83"/>
  <c r="G245" i="83"/>
  <c r="E245" i="83"/>
  <c r="C245" i="83"/>
  <c r="Q244" i="83"/>
  <c r="O244" i="83"/>
  <c r="M244" i="83"/>
  <c r="K244" i="83"/>
  <c r="I244" i="83"/>
  <c r="G244" i="83"/>
  <c r="E244" i="83"/>
  <c r="C244" i="83"/>
  <c r="Q243" i="83"/>
  <c r="O243" i="83"/>
  <c r="M243" i="83"/>
  <c r="K243" i="83"/>
  <c r="I243" i="83"/>
  <c r="G243" i="83"/>
  <c r="E243" i="83"/>
  <c r="C243" i="83"/>
  <c r="Q242" i="83"/>
  <c r="O242" i="83"/>
  <c r="M242" i="83"/>
  <c r="K242" i="83"/>
  <c r="I242" i="83"/>
  <c r="G242" i="83"/>
  <c r="E242" i="83"/>
  <c r="C242" i="83"/>
  <c r="Q241" i="83"/>
  <c r="O241" i="83"/>
  <c r="M241" i="83"/>
  <c r="K241" i="83"/>
  <c r="I241" i="83"/>
  <c r="G241" i="83"/>
  <c r="E241" i="83"/>
  <c r="C241" i="83"/>
  <c r="Q240" i="83"/>
  <c r="O240" i="83"/>
  <c r="M240" i="83"/>
  <c r="K240" i="83"/>
  <c r="I240" i="83"/>
  <c r="G240" i="83"/>
  <c r="E240" i="83"/>
  <c r="C240" i="83"/>
  <c r="Q239" i="83"/>
  <c r="O239" i="83"/>
  <c r="M239" i="83"/>
  <c r="K239" i="83"/>
  <c r="I239" i="83"/>
  <c r="G239" i="83"/>
  <c r="E239" i="83"/>
  <c r="C239" i="83"/>
  <c r="Q238" i="83"/>
  <c r="O238" i="83"/>
  <c r="M238" i="83"/>
  <c r="K238" i="83"/>
  <c r="I238" i="83"/>
  <c r="G238" i="83"/>
  <c r="E238" i="83"/>
  <c r="C238" i="83"/>
  <c r="Q237" i="83"/>
  <c r="O237" i="83"/>
  <c r="M237" i="83"/>
  <c r="K237" i="83"/>
  <c r="I237" i="83"/>
  <c r="G237" i="83"/>
  <c r="E237" i="83"/>
  <c r="C237" i="83"/>
  <c r="Q236" i="83"/>
  <c r="O236" i="83"/>
  <c r="M236" i="83"/>
  <c r="K236" i="83"/>
  <c r="I236" i="83"/>
  <c r="G236" i="83"/>
  <c r="E236" i="83"/>
  <c r="C236" i="83"/>
  <c r="Q235" i="83"/>
  <c r="O235" i="83"/>
  <c r="M235" i="83"/>
  <c r="K235" i="83"/>
  <c r="I235" i="83"/>
  <c r="G235" i="83"/>
  <c r="E235" i="83"/>
  <c r="C235" i="83"/>
  <c r="Q234" i="83"/>
  <c r="O234" i="83"/>
  <c r="M234" i="83"/>
  <c r="K234" i="83"/>
  <c r="I234" i="83"/>
  <c r="G234" i="83"/>
  <c r="E234" i="83"/>
  <c r="C234" i="83"/>
  <c r="Q233" i="83"/>
  <c r="O233" i="83"/>
  <c r="M233" i="83"/>
  <c r="K233" i="83"/>
  <c r="I233" i="83"/>
  <c r="G233" i="83"/>
  <c r="E233" i="83"/>
  <c r="C233" i="83"/>
  <c r="Q232" i="83"/>
  <c r="O232" i="83"/>
  <c r="M232" i="83"/>
  <c r="K232" i="83"/>
  <c r="I232" i="83"/>
  <c r="G232" i="83"/>
  <c r="E232" i="83"/>
  <c r="C232" i="83"/>
  <c r="Q231" i="83"/>
  <c r="O231" i="83"/>
  <c r="M231" i="83"/>
  <c r="K231" i="83"/>
  <c r="I231" i="83"/>
  <c r="G231" i="83"/>
  <c r="E231" i="83"/>
  <c r="C231" i="83"/>
  <c r="Q230" i="83"/>
  <c r="O230" i="83"/>
  <c r="M230" i="83"/>
  <c r="K230" i="83"/>
  <c r="I230" i="83"/>
  <c r="G230" i="83"/>
  <c r="E230" i="83"/>
  <c r="C230" i="83"/>
  <c r="Q229" i="83"/>
  <c r="O229" i="83"/>
  <c r="M229" i="83"/>
  <c r="K229" i="83"/>
  <c r="I229" i="83"/>
  <c r="G229" i="83"/>
  <c r="E229" i="83"/>
  <c r="C229" i="83"/>
  <c r="Q228" i="83"/>
  <c r="O228" i="83"/>
  <c r="M228" i="83"/>
  <c r="K228" i="83"/>
  <c r="I228" i="83"/>
  <c r="G228" i="83"/>
  <c r="E228" i="83"/>
  <c r="C228" i="83"/>
  <c r="Q227" i="83"/>
  <c r="O227" i="83"/>
  <c r="M227" i="83"/>
  <c r="K227" i="83"/>
  <c r="I227" i="83"/>
  <c r="G227" i="83"/>
  <c r="E227" i="83"/>
  <c r="C227" i="83"/>
  <c r="Q226" i="83"/>
  <c r="O226" i="83"/>
  <c r="M226" i="83"/>
  <c r="K226" i="83"/>
  <c r="I226" i="83"/>
  <c r="G226" i="83"/>
  <c r="E226" i="83"/>
  <c r="C226" i="83"/>
  <c r="Q225" i="83"/>
  <c r="O225" i="83"/>
  <c r="M225" i="83"/>
  <c r="K225" i="83"/>
  <c r="I225" i="83"/>
  <c r="G225" i="83"/>
  <c r="E225" i="83"/>
  <c r="C225" i="83"/>
  <c r="Q224" i="83"/>
  <c r="O224" i="83"/>
  <c r="M224" i="83"/>
  <c r="K224" i="83"/>
  <c r="I224" i="83"/>
  <c r="G224" i="83"/>
  <c r="E224" i="83"/>
  <c r="C224" i="83"/>
  <c r="Q223" i="83"/>
  <c r="O223" i="83"/>
  <c r="M223" i="83"/>
  <c r="K223" i="83"/>
  <c r="I223" i="83"/>
  <c r="G223" i="83"/>
  <c r="E223" i="83"/>
  <c r="C223" i="83"/>
  <c r="Q222" i="83"/>
  <c r="O222" i="83"/>
  <c r="M222" i="83"/>
  <c r="K222" i="83"/>
  <c r="I222" i="83"/>
  <c r="G222" i="83"/>
  <c r="E222" i="83"/>
  <c r="C222" i="83"/>
  <c r="Q221" i="83"/>
  <c r="O221" i="83"/>
  <c r="M221" i="83"/>
  <c r="K221" i="83"/>
  <c r="I221" i="83"/>
  <c r="G221" i="83"/>
  <c r="E221" i="83"/>
  <c r="C221" i="83"/>
  <c r="Q220" i="83"/>
  <c r="O220" i="83"/>
  <c r="M220" i="83"/>
  <c r="K220" i="83"/>
  <c r="I220" i="83"/>
  <c r="G220" i="83"/>
  <c r="E220" i="83"/>
  <c r="C220" i="83"/>
  <c r="Q219" i="83"/>
  <c r="O219" i="83"/>
  <c r="M219" i="83"/>
  <c r="K219" i="83"/>
  <c r="I219" i="83"/>
  <c r="G219" i="83"/>
  <c r="E219" i="83"/>
  <c r="C219" i="83"/>
  <c r="Q218" i="83"/>
  <c r="O218" i="83"/>
  <c r="M218" i="83"/>
  <c r="K218" i="83"/>
  <c r="I218" i="83"/>
  <c r="G218" i="83"/>
  <c r="E218" i="83"/>
  <c r="C218" i="83"/>
  <c r="Q217" i="83"/>
  <c r="O217" i="83"/>
  <c r="M217" i="83"/>
  <c r="K217" i="83"/>
  <c r="I217" i="83"/>
  <c r="G217" i="83"/>
  <c r="E217" i="83"/>
  <c r="C217" i="83"/>
  <c r="Q216" i="83"/>
  <c r="O216" i="83"/>
  <c r="M216" i="83"/>
  <c r="K216" i="83"/>
  <c r="I216" i="83"/>
  <c r="G216" i="83"/>
  <c r="E216" i="83"/>
  <c r="C216" i="83"/>
  <c r="Q215" i="83"/>
  <c r="O215" i="83"/>
  <c r="M215" i="83"/>
  <c r="K215" i="83"/>
  <c r="I215" i="83"/>
  <c r="G215" i="83"/>
  <c r="E215" i="83"/>
  <c r="C215" i="83"/>
  <c r="Q214" i="83"/>
  <c r="O214" i="83"/>
  <c r="M214" i="83"/>
  <c r="K214" i="83"/>
  <c r="I214" i="83"/>
  <c r="G214" i="83"/>
  <c r="E214" i="83"/>
  <c r="C214" i="83"/>
  <c r="Q213" i="83"/>
  <c r="O213" i="83"/>
  <c r="M213" i="83"/>
  <c r="K213" i="83"/>
  <c r="I213" i="83"/>
  <c r="G213" i="83"/>
  <c r="E213" i="83"/>
  <c r="C213" i="83"/>
  <c r="Q212" i="83"/>
  <c r="O212" i="83"/>
  <c r="M212" i="83"/>
  <c r="K212" i="83"/>
  <c r="I212" i="83"/>
  <c r="G212" i="83"/>
  <c r="E212" i="83"/>
  <c r="C212" i="83"/>
  <c r="Q211" i="83"/>
  <c r="O211" i="83"/>
  <c r="M211" i="83"/>
  <c r="K211" i="83"/>
  <c r="I211" i="83"/>
  <c r="G211" i="83"/>
  <c r="E211" i="83"/>
  <c r="C211" i="83"/>
  <c r="Q210" i="83"/>
  <c r="O210" i="83"/>
  <c r="M210" i="83"/>
  <c r="K210" i="83"/>
  <c r="I210" i="83"/>
  <c r="G210" i="83"/>
  <c r="E210" i="83"/>
  <c r="C210" i="83"/>
  <c r="Q209" i="83"/>
  <c r="O209" i="83"/>
  <c r="M209" i="83"/>
  <c r="K209" i="83"/>
  <c r="I209" i="83"/>
  <c r="G209" i="83"/>
  <c r="E209" i="83"/>
  <c r="C209" i="83"/>
  <c r="Q208" i="83"/>
  <c r="O208" i="83"/>
  <c r="M208" i="83"/>
  <c r="K208" i="83"/>
  <c r="I208" i="83"/>
  <c r="G208" i="83"/>
  <c r="E208" i="83"/>
  <c r="C208" i="83"/>
  <c r="Q207" i="83"/>
  <c r="O207" i="83"/>
  <c r="M207" i="83"/>
  <c r="K207" i="83"/>
  <c r="I207" i="83"/>
  <c r="G207" i="83"/>
  <c r="E207" i="83"/>
  <c r="C207" i="83"/>
  <c r="Q206" i="83"/>
  <c r="O206" i="83"/>
  <c r="M206" i="83"/>
  <c r="K206" i="83"/>
  <c r="I206" i="83"/>
  <c r="G206" i="83"/>
  <c r="E206" i="83"/>
  <c r="C206" i="83"/>
  <c r="Q205" i="83"/>
  <c r="O205" i="83"/>
  <c r="M205" i="83"/>
  <c r="K205" i="83"/>
  <c r="I205" i="83"/>
  <c r="G205" i="83"/>
  <c r="E205" i="83"/>
  <c r="C205" i="83"/>
  <c r="Q204" i="83"/>
  <c r="O204" i="83"/>
  <c r="M204" i="83"/>
  <c r="K204" i="83"/>
  <c r="I204" i="83"/>
  <c r="G204" i="83"/>
  <c r="E204" i="83"/>
  <c r="C204" i="83"/>
  <c r="Q203" i="83"/>
  <c r="O203" i="83"/>
  <c r="M203" i="83"/>
  <c r="K203" i="83"/>
  <c r="I203" i="83"/>
  <c r="G203" i="83"/>
  <c r="E203" i="83"/>
  <c r="C203" i="83"/>
  <c r="Q202" i="83"/>
  <c r="O202" i="83"/>
  <c r="M202" i="83"/>
  <c r="K202" i="83"/>
  <c r="I202" i="83"/>
  <c r="G202" i="83"/>
  <c r="E202" i="83"/>
  <c r="C202" i="83"/>
  <c r="Q201" i="83"/>
  <c r="O201" i="83"/>
  <c r="M201" i="83"/>
  <c r="K201" i="83"/>
  <c r="I201" i="83"/>
  <c r="G201" i="83"/>
  <c r="E201" i="83"/>
  <c r="C201" i="83"/>
  <c r="Q200" i="83"/>
  <c r="O200" i="83"/>
  <c r="M200" i="83"/>
  <c r="K200" i="83"/>
  <c r="I200" i="83"/>
  <c r="G200" i="83"/>
  <c r="E200" i="83"/>
  <c r="C200" i="83"/>
  <c r="Q199" i="83"/>
  <c r="O199" i="83"/>
  <c r="M199" i="83"/>
  <c r="K199" i="83"/>
  <c r="I199" i="83"/>
  <c r="G199" i="83"/>
  <c r="E199" i="83"/>
  <c r="C199" i="83"/>
  <c r="Q198" i="83"/>
  <c r="O198" i="83"/>
  <c r="M198" i="83"/>
  <c r="K198" i="83"/>
  <c r="I198" i="83"/>
  <c r="G198" i="83"/>
  <c r="E198" i="83"/>
  <c r="C198" i="83"/>
  <c r="Q197" i="83"/>
  <c r="O197" i="83"/>
  <c r="M197" i="83"/>
  <c r="K197" i="83"/>
  <c r="I197" i="83"/>
  <c r="G197" i="83"/>
  <c r="E197" i="83"/>
  <c r="C197" i="83"/>
  <c r="Q196" i="83"/>
  <c r="O196" i="83"/>
  <c r="M196" i="83"/>
  <c r="K196" i="83"/>
  <c r="I196" i="83"/>
  <c r="G196" i="83"/>
  <c r="E196" i="83"/>
  <c r="C196" i="83"/>
  <c r="Q195" i="83"/>
  <c r="O195" i="83"/>
  <c r="M195" i="83"/>
  <c r="K195" i="83"/>
  <c r="I195" i="83"/>
  <c r="G195" i="83"/>
  <c r="E195" i="83"/>
  <c r="C195" i="83"/>
  <c r="Q194" i="83"/>
  <c r="O194" i="83"/>
  <c r="M194" i="83"/>
  <c r="K194" i="83"/>
  <c r="I194" i="83"/>
  <c r="G194" i="83"/>
  <c r="E194" i="83"/>
  <c r="C194" i="83"/>
  <c r="Q193" i="83"/>
  <c r="O193" i="83"/>
  <c r="M193" i="83"/>
  <c r="K193" i="83"/>
  <c r="I193" i="83"/>
  <c r="G193" i="83"/>
  <c r="E193" i="83"/>
  <c r="C193" i="83"/>
  <c r="Q192" i="83"/>
  <c r="O192" i="83"/>
  <c r="M192" i="83"/>
  <c r="K192" i="83"/>
  <c r="I192" i="83"/>
  <c r="G192" i="83"/>
  <c r="E192" i="83"/>
  <c r="C192" i="83"/>
  <c r="Q191" i="83"/>
  <c r="O191" i="83"/>
  <c r="M191" i="83"/>
  <c r="K191" i="83"/>
  <c r="I191" i="83"/>
  <c r="G191" i="83"/>
  <c r="E191" i="83"/>
  <c r="C191" i="83"/>
  <c r="Q190" i="83"/>
  <c r="O190" i="83"/>
  <c r="M190" i="83"/>
  <c r="K190" i="83"/>
  <c r="I190" i="83"/>
  <c r="G190" i="83"/>
  <c r="E190" i="83"/>
  <c r="C190" i="83"/>
  <c r="Q189" i="83"/>
  <c r="O189" i="83"/>
  <c r="M189" i="83"/>
  <c r="K189" i="83"/>
  <c r="I189" i="83"/>
  <c r="G189" i="83"/>
  <c r="E189" i="83"/>
  <c r="C189" i="83"/>
  <c r="Q188" i="83"/>
  <c r="O188" i="83"/>
  <c r="M188" i="83"/>
  <c r="K188" i="83"/>
  <c r="I188" i="83"/>
  <c r="G188" i="83"/>
  <c r="E188" i="83"/>
  <c r="C188" i="83"/>
  <c r="Q187" i="83"/>
  <c r="O187" i="83"/>
  <c r="M187" i="83"/>
  <c r="K187" i="83"/>
  <c r="I187" i="83"/>
  <c r="G187" i="83"/>
  <c r="E187" i="83"/>
  <c r="C187" i="83"/>
  <c r="Q186" i="83"/>
  <c r="O186" i="83"/>
  <c r="M186" i="83"/>
  <c r="K186" i="83"/>
  <c r="I186" i="83"/>
  <c r="G186" i="83"/>
  <c r="E186" i="83"/>
  <c r="C186" i="83"/>
  <c r="Q185" i="83"/>
  <c r="O185" i="83"/>
  <c r="M185" i="83"/>
  <c r="K185" i="83"/>
  <c r="I185" i="83"/>
  <c r="G185" i="83"/>
  <c r="E185" i="83"/>
  <c r="C185" i="83"/>
  <c r="Q184" i="83"/>
  <c r="O184" i="83"/>
  <c r="M184" i="83"/>
  <c r="K184" i="83"/>
  <c r="I184" i="83"/>
  <c r="G184" i="83"/>
  <c r="E184" i="83"/>
  <c r="C184" i="83"/>
  <c r="Q183" i="83"/>
  <c r="O183" i="83"/>
  <c r="M183" i="83"/>
  <c r="K183" i="83"/>
  <c r="I183" i="83"/>
  <c r="G183" i="83"/>
  <c r="E183" i="83"/>
  <c r="C183" i="83"/>
  <c r="Q182" i="83"/>
  <c r="O182" i="83"/>
  <c r="M182" i="83"/>
  <c r="K182" i="83"/>
  <c r="I182" i="83"/>
  <c r="G182" i="83"/>
  <c r="E182" i="83"/>
  <c r="C182" i="83"/>
  <c r="Q181" i="83"/>
  <c r="O181" i="83"/>
  <c r="M181" i="83"/>
  <c r="K181" i="83"/>
  <c r="I181" i="83"/>
  <c r="G181" i="83"/>
  <c r="E181" i="83"/>
  <c r="C181" i="83"/>
  <c r="Q180" i="83"/>
  <c r="O180" i="83"/>
  <c r="M180" i="83"/>
  <c r="K180" i="83"/>
  <c r="I180" i="83"/>
  <c r="G180" i="83"/>
  <c r="E180" i="83"/>
  <c r="C180" i="83"/>
  <c r="Q179" i="83"/>
  <c r="O179" i="83"/>
  <c r="M179" i="83"/>
  <c r="K179" i="83"/>
  <c r="I179" i="83"/>
  <c r="G179" i="83"/>
  <c r="E179" i="83"/>
  <c r="C179" i="83"/>
  <c r="Q178" i="83"/>
  <c r="O178" i="83"/>
  <c r="M178" i="83"/>
  <c r="K178" i="83"/>
  <c r="I178" i="83"/>
  <c r="G178" i="83"/>
  <c r="E178" i="83"/>
  <c r="C178" i="83"/>
  <c r="Q177" i="83"/>
  <c r="O177" i="83"/>
  <c r="M177" i="83"/>
  <c r="K177" i="83"/>
  <c r="I177" i="83"/>
  <c r="G177" i="83"/>
  <c r="E177" i="83"/>
  <c r="C177" i="83"/>
  <c r="Q176" i="83"/>
  <c r="O176" i="83"/>
  <c r="M176" i="83"/>
  <c r="K176" i="83"/>
  <c r="I176" i="83"/>
  <c r="G176" i="83"/>
  <c r="E176" i="83"/>
  <c r="C176" i="83"/>
  <c r="Q175" i="83"/>
  <c r="O175" i="83"/>
  <c r="M175" i="83"/>
  <c r="K175" i="83"/>
  <c r="I175" i="83"/>
  <c r="G175" i="83"/>
  <c r="E175" i="83"/>
  <c r="C175" i="83"/>
  <c r="Q174" i="83"/>
  <c r="O174" i="83"/>
  <c r="M174" i="83"/>
  <c r="K174" i="83"/>
  <c r="I174" i="83"/>
  <c r="G174" i="83"/>
  <c r="E174" i="83"/>
  <c r="C174" i="83"/>
  <c r="Q173" i="83"/>
  <c r="O173" i="83"/>
  <c r="M173" i="83"/>
  <c r="K173" i="83"/>
  <c r="I173" i="83"/>
  <c r="G173" i="83"/>
  <c r="E173" i="83"/>
  <c r="C173" i="83"/>
  <c r="Q172" i="83"/>
  <c r="O172" i="83"/>
  <c r="M172" i="83"/>
  <c r="K172" i="83"/>
  <c r="I172" i="83"/>
  <c r="G172" i="83"/>
  <c r="E172" i="83"/>
  <c r="C172" i="83"/>
  <c r="Q171" i="83"/>
  <c r="O171" i="83"/>
  <c r="M171" i="83"/>
  <c r="K171" i="83"/>
  <c r="I171" i="83"/>
  <c r="G171" i="83"/>
  <c r="E171" i="83"/>
  <c r="C171" i="83"/>
  <c r="Q170" i="83"/>
  <c r="O170" i="83"/>
  <c r="M170" i="83"/>
  <c r="K170" i="83"/>
  <c r="I170" i="83"/>
  <c r="G170" i="83"/>
  <c r="E170" i="83"/>
  <c r="C170" i="83"/>
  <c r="Q169" i="83"/>
  <c r="O169" i="83"/>
  <c r="M169" i="83"/>
  <c r="K169" i="83"/>
  <c r="I169" i="83"/>
  <c r="G169" i="83"/>
  <c r="E169" i="83"/>
  <c r="C169" i="83"/>
  <c r="Q168" i="83"/>
  <c r="O168" i="83"/>
  <c r="M168" i="83"/>
  <c r="K168" i="83"/>
  <c r="I168" i="83"/>
  <c r="G168" i="83"/>
  <c r="E168" i="83"/>
  <c r="C168" i="83"/>
  <c r="Q167" i="83"/>
  <c r="O167" i="83"/>
  <c r="M167" i="83"/>
  <c r="K167" i="83"/>
  <c r="I167" i="83"/>
  <c r="G167" i="83"/>
  <c r="E167" i="83"/>
  <c r="C167" i="83"/>
  <c r="Q166" i="83"/>
  <c r="O166" i="83"/>
  <c r="M166" i="83"/>
  <c r="K166" i="83"/>
  <c r="I166" i="83"/>
  <c r="G166" i="83"/>
  <c r="E166" i="83"/>
  <c r="C166" i="83"/>
  <c r="Q165" i="83"/>
  <c r="O165" i="83"/>
  <c r="M165" i="83"/>
  <c r="K165" i="83"/>
  <c r="I165" i="83"/>
  <c r="G165" i="83"/>
  <c r="E165" i="83"/>
  <c r="C165" i="83"/>
  <c r="Q164" i="83"/>
  <c r="O164" i="83"/>
  <c r="M164" i="83"/>
  <c r="K164" i="83"/>
  <c r="I164" i="83"/>
  <c r="G164" i="83"/>
  <c r="E164" i="83"/>
  <c r="C164" i="83"/>
  <c r="Q163" i="83"/>
  <c r="O163" i="83"/>
  <c r="M163" i="83"/>
  <c r="K163" i="83"/>
  <c r="I163" i="83"/>
  <c r="G163" i="83"/>
  <c r="E163" i="83"/>
  <c r="C163" i="83"/>
  <c r="Q162" i="83"/>
  <c r="O162" i="83"/>
  <c r="M162" i="83"/>
  <c r="K162" i="83"/>
  <c r="I162" i="83"/>
  <c r="G162" i="83"/>
  <c r="E162" i="83"/>
  <c r="C162" i="83"/>
  <c r="Q161" i="83"/>
  <c r="O161" i="83"/>
  <c r="M161" i="83"/>
  <c r="K161" i="83"/>
  <c r="I161" i="83"/>
  <c r="G161" i="83"/>
  <c r="E161" i="83"/>
  <c r="C161" i="83"/>
  <c r="Q160" i="83"/>
  <c r="O160" i="83"/>
  <c r="M160" i="83"/>
  <c r="K160" i="83"/>
  <c r="I160" i="83"/>
  <c r="G160" i="83"/>
  <c r="E160" i="83"/>
  <c r="C160" i="83"/>
  <c r="Q159" i="83"/>
  <c r="O159" i="83"/>
  <c r="M159" i="83"/>
  <c r="K159" i="83"/>
  <c r="I159" i="83"/>
  <c r="G159" i="83"/>
  <c r="E159" i="83"/>
  <c r="C159" i="83"/>
  <c r="Q158" i="83"/>
  <c r="O158" i="83"/>
  <c r="M158" i="83"/>
  <c r="K158" i="83"/>
  <c r="I158" i="83"/>
  <c r="G158" i="83"/>
  <c r="E158" i="83"/>
  <c r="C158" i="83"/>
  <c r="Q157" i="83"/>
  <c r="O157" i="83"/>
  <c r="M157" i="83"/>
  <c r="K157" i="83"/>
  <c r="I157" i="83"/>
  <c r="G157" i="83"/>
  <c r="E157" i="83"/>
  <c r="C157" i="83"/>
  <c r="Q156" i="83"/>
  <c r="O156" i="83"/>
  <c r="M156" i="83"/>
  <c r="K156" i="83"/>
  <c r="I156" i="83"/>
  <c r="G156" i="83"/>
  <c r="E156" i="83"/>
  <c r="C156" i="83"/>
  <c r="Q155" i="83"/>
  <c r="O155" i="83"/>
  <c r="M155" i="83"/>
  <c r="K155" i="83"/>
  <c r="I155" i="83"/>
  <c r="G155" i="83"/>
  <c r="E155" i="83"/>
  <c r="C155" i="83"/>
  <c r="Q154" i="83"/>
  <c r="O154" i="83"/>
  <c r="M154" i="83"/>
  <c r="K154" i="83"/>
  <c r="I154" i="83"/>
  <c r="G154" i="83"/>
  <c r="E154" i="83"/>
  <c r="C154" i="83"/>
  <c r="Q153" i="83"/>
  <c r="O153" i="83"/>
  <c r="M153" i="83"/>
  <c r="K153" i="83"/>
  <c r="I153" i="83"/>
  <c r="G153" i="83"/>
  <c r="E153" i="83"/>
  <c r="C153" i="83"/>
  <c r="Q152" i="83"/>
  <c r="O152" i="83"/>
  <c r="M152" i="83"/>
  <c r="K152" i="83"/>
  <c r="I152" i="83"/>
  <c r="G152" i="83"/>
  <c r="E152" i="83"/>
  <c r="C152" i="83"/>
  <c r="Q151" i="83"/>
  <c r="O151" i="83"/>
  <c r="M151" i="83"/>
  <c r="K151" i="83"/>
  <c r="I151" i="83"/>
  <c r="G151" i="83"/>
  <c r="E151" i="83"/>
  <c r="C151" i="83"/>
  <c r="Q150" i="83"/>
  <c r="O150" i="83"/>
  <c r="M150" i="83"/>
  <c r="K150" i="83"/>
  <c r="I150" i="83"/>
  <c r="G150" i="83"/>
  <c r="E150" i="83"/>
  <c r="C150" i="83"/>
  <c r="Q149" i="83"/>
  <c r="O149" i="83"/>
  <c r="M149" i="83"/>
  <c r="K149" i="83"/>
  <c r="I149" i="83"/>
  <c r="G149" i="83"/>
  <c r="E149" i="83"/>
  <c r="C149" i="83"/>
  <c r="Q148" i="83"/>
  <c r="O148" i="83"/>
  <c r="M148" i="83"/>
  <c r="K148" i="83"/>
  <c r="I148" i="83"/>
  <c r="G148" i="83"/>
  <c r="E148" i="83"/>
  <c r="C148" i="83"/>
  <c r="Q147" i="83"/>
  <c r="O147" i="83"/>
  <c r="M147" i="83"/>
  <c r="K147" i="83"/>
  <c r="I147" i="83"/>
  <c r="G147" i="83"/>
  <c r="E147" i="83"/>
  <c r="C147" i="83"/>
  <c r="Q146" i="83"/>
  <c r="O146" i="83"/>
  <c r="M146" i="83"/>
  <c r="K146" i="83"/>
  <c r="I146" i="83"/>
  <c r="G146" i="83"/>
  <c r="E146" i="83"/>
  <c r="C146" i="83"/>
  <c r="Q145" i="83"/>
  <c r="O145" i="83"/>
  <c r="M145" i="83"/>
  <c r="K145" i="83"/>
  <c r="I145" i="83"/>
  <c r="G145" i="83"/>
  <c r="E145" i="83"/>
  <c r="C145" i="83"/>
  <c r="Q144" i="83"/>
  <c r="O144" i="83"/>
  <c r="M144" i="83"/>
  <c r="K144" i="83"/>
  <c r="I144" i="83"/>
  <c r="G144" i="83"/>
  <c r="E144" i="83"/>
  <c r="C144" i="83"/>
  <c r="Q143" i="83"/>
  <c r="O143" i="83"/>
  <c r="M143" i="83"/>
  <c r="K143" i="83"/>
  <c r="I143" i="83"/>
  <c r="G143" i="83"/>
  <c r="E143" i="83"/>
  <c r="C143" i="83"/>
  <c r="Q142" i="83"/>
  <c r="O142" i="83"/>
  <c r="M142" i="83"/>
  <c r="K142" i="83"/>
  <c r="I142" i="83"/>
  <c r="G142" i="83"/>
  <c r="E142" i="83"/>
  <c r="C142" i="83"/>
  <c r="Q141" i="83"/>
  <c r="O141" i="83"/>
  <c r="M141" i="83"/>
  <c r="K141" i="83"/>
  <c r="I141" i="83"/>
  <c r="G141" i="83"/>
  <c r="E141" i="83"/>
  <c r="C141" i="83"/>
  <c r="Q140" i="83"/>
  <c r="O140" i="83"/>
  <c r="M140" i="83"/>
  <c r="K140" i="83"/>
  <c r="I140" i="83"/>
  <c r="G140" i="83"/>
  <c r="E140" i="83"/>
  <c r="C140" i="83"/>
  <c r="Q139" i="83"/>
  <c r="O139" i="83"/>
  <c r="M139" i="83"/>
  <c r="K139" i="83"/>
  <c r="I139" i="83"/>
  <c r="G139" i="83"/>
  <c r="E139" i="83"/>
  <c r="C139" i="83"/>
  <c r="Q138" i="83"/>
  <c r="O138" i="83"/>
  <c r="M138" i="83"/>
  <c r="K138" i="83"/>
  <c r="I138" i="83"/>
  <c r="G138" i="83"/>
  <c r="E138" i="83"/>
  <c r="C138" i="83"/>
  <c r="Q137" i="83"/>
  <c r="O137" i="83"/>
  <c r="M137" i="83"/>
  <c r="K137" i="83"/>
  <c r="I137" i="83"/>
  <c r="G137" i="83"/>
  <c r="E137" i="83"/>
  <c r="C137" i="83"/>
  <c r="Q136" i="83"/>
  <c r="O136" i="83"/>
  <c r="M136" i="83"/>
  <c r="K136" i="83"/>
  <c r="I136" i="83"/>
  <c r="G136" i="83"/>
  <c r="E136" i="83"/>
  <c r="C136" i="83"/>
  <c r="Q135" i="83"/>
  <c r="O135" i="83"/>
  <c r="M135" i="83"/>
  <c r="K135" i="83"/>
  <c r="I135" i="83"/>
  <c r="G135" i="83"/>
  <c r="E135" i="83"/>
  <c r="C135" i="83"/>
  <c r="Q134" i="83"/>
  <c r="O134" i="83"/>
  <c r="M134" i="83"/>
  <c r="K134" i="83"/>
  <c r="I134" i="83"/>
  <c r="G134" i="83"/>
  <c r="E134" i="83"/>
  <c r="C134" i="83"/>
  <c r="Q133" i="83"/>
  <c r="O133" i="83"/>
  <c r="M133" i="83"/>
  <c r="K133" i="83"/>
  <c r="I133" i="83"/>
  <c r="G133" i="83"/>
  <c r="E133" i="83"/>
  <c r="C133" i="83"/>
  <c r="Q132" i="83"/>
  <c r="O132" i="83"/>
  <c r="M132" i="83"/>
  <c r="K132" i="83"/>
  <c r="I132" i="83"/>
  <c r="G132" i="83"/>
  <c r="E132" i="83"/>
  <c r="C132" i="83"/>
  <c r="Q131" i="83"/>
  <c r="O131" i="83"/>
  <c r="M131" i="83"/>
  <c r="K131" i="83"/>
  <c r="I131" i="83"/>
  <c r="G131" i="83"/>
  <c r="E131" i="83"/>
  <c r="C131" i="83"/>
  <c r="Q130" i="83"/>
  <c r="O130" i="83"/>
  <c r="M130" i="83"/>
  <c r="K130" i="83"/>
  <c r="I130" i="83"/>
  <c r="G130" i="83"/>
  <c r="E130" i="83"/>
  <c r="C130" i="83"/>
  <c r="Q129" i="83"/>
  <c r="O129" i="83"/>
  <c r="M129" i="83"/>
  <c r="K129" i="83"/>
  <c r="I129" i="83"/>
  <c r="G129" i="83"/>
  <c r="E129" i="83"/>
  <c r="C129" i="83"/>
  <c r="Q128" i="83"/>
  <c r="O128" i="83"/>
  <c r="M128" i="83"/>
  <c r="K128" i="83"/>
  <c r="I128" i="83"/>
  <c r="G128" i="83"/>
  <c r="E128" i="83"/>
  <c r="C128" i="83"/>
  <c r="Q127" i="83"/>
  <c r="O127" i="83"/>
  <c r="M127" i="83"/>
  <c r="K127" i="83"/>
  <c r="I127" i="83"/>
  <c r="G127" i="83"/>
  <c r="E127" i="83"/>
  <c r="C127" i="83"/>
  <c r="Q126" i="83"/>
  <c r="O126" i="83"/>
  <c r="M126" i="83"/>
  <c r="K126" i="83"/>
  <c r="I126" i="83"/>
  <c r="G126" i="83"/>
  <c r="E126" i="83"/>
  <c r="C126" i="83"/>
  <c r="Q125" i="83"/>
  <c r="O125" i="83"/>
  <c r="M125" i="83"/>
  <c r="K125" i="83"/>
  <c r="I125" i="83"/>
  <c r="G125" i="83"/>
  <c r="E125" i="83"/>
  <c r="C125" i="83"/>
  <c r="Q124" i="83"/>
  <c r="O124" i="83"/>
  <c r="M124" i="83"/>
  <c r="K124" i="83"/>
  <c r="I124" i="83"/>
  <c r="G124" i="83"/>
  <c r="E124" i="83"/>
  <c r="C124" i="83"/>
  <c r="Q123" i="83"/>
  <c r="O123" i="83"/>
  <c r="M123" i="83"/>
  <c r="K123" i="83"/>
  <c r="I123" i="83"/>
  <c r="G123" i="83"/>
  <c r="E123" i="83"/>
  <c r="C123" i="83"/>
  <c r="Q122" i="83"/>
  <c r="O122" i="83"/>
  <c r="M122" i="83"/>
  <c r="K122" i="83"/>
  <c r="I122" i="83"/>
  <c r="G122" i="83"/>
  <c r="E122" i="83"/>
  <c r="C122" i="83"/>
  <c r="Q121" i="83"/>
  <c r="O121" i="83"/>
  <c r="M121" i="83"/>
  <c r="K121" i="83"/>
  <c r="I121" i="83"/>
  <c r="G121" i="83"/>
  <c r="E121" i="83"/>
  <c r="C121" i="83"/>
  <c r="Q120" i="83"/>
  <c r="O120" i="83"/>
  <c r="M120" i="83"/>
  <c r="K120" i="83"/>
  <c r="I120" i="83"/>
  <c r="G120" i="83"/>
  <c r="E120" i="83"/>
  <c r="C120" i="83"/>
  <c r="Q119" i="83"/>
  <c r="O119" i="83"/>
  <c r="M119" i="83"/>
  <c r="K119" i="83"/>
  <c r="I119" i="83"/>
  <c r="G119" i="83"/>
  <c r="E119" i="83"/>
  <c r="C119" i="83"/>
  <c r="Q118" i="83"/>
  <c r="O118" i="83"/>
  <c r="M118" i="83"/>
  <c r="K118" i="83"/>
  <c r="I118" i="83"/>
  <c r="G118" i="83"/>
  <c r="E118" i="83"/>
  <c r="C118" i="83"/>
  <c r="Q117" i="83"/>
  <c r="O117" i="83"/>
  <c r="M117" i="83"/>
  <c r="K117" i="83"/>
  <c r="I117" i="83"/>
  <c r="G117" i="83"/>
  <c r="E117" i="83"/>
  <c r="C117" i="83"/>
  <c r="Q116" i="83"/>
  <c r="O116" i="83"/>
  <c r="M116" i="83"/>
  <c r="K116" i="83"/>
  <c r="I116" i="83"/>
  <c r="G116" i="83"/>
  <c r="E116" i="83"/>
  <c r="C116" i="83"/>
  <c r="Q115" i="83"/>
  <c r="O115" i="83"/>
  <c r="M115" i="83"/>
  <c r="K115" i="83"/>
  <c r="I115" i="83"/>
  <c r="G115" i="83"/>
  <c r="E115" i="83"/>
  <c r="C115" i="83"/>
  <c r="Q114" i="83"/>
  <c r="O114" i="83"/>
  <c r="M114" i="83"/>
  <c r="K114" i="83"/>
  <c r="I114" i="83"/>
  <c r="G114" i="83"/>
  <c r="E114" i="83"/>
  <c r="C114" i="83"/>
  <c r="Q113" i="83"/>
  <c r="O113" i="83"/>
  <c r="M113" i="83"/>
  <c r="K113" i="83"/>
  <c r="I113" i="83"/>
  <c r="G113" i="83"/>
  <c r="E113" i="83"/>
  <c r="C113" i="83"/>
  <c r="Q112" i="83"/>
  <c r="O112" i="83"/>
  <c r="M112" i="83"/>
  <c r="K112" i="83"/>
  <c r="I112" i="83"/>
  <c r="G112" i="83"/>
  <c r="E112" i="83"/>
  <c r="C112" i="83"/>
  <c r="Q111" i="83"/>
  <c r="O111" i="83"/>
  <c r="M111" i="83"/>
  <c r="K111" i="83"/>
  <c r="I111" i="83"/>
  <c r="G111" i="83"/>
  <c r="E111" i="83"/>
  <c r="C111" i="83"/>
  <c r="Q110" i="83"/>
  <c r="O110" i="83"/>
  <c r="M110" i="83"/>
  <c r="K110" i="83"/>
  <c r="I110" i="83"/>
  <c r="G110" i="83"/>
  <c r="E110" i="83"/>
  <c r="C110" i="83"/>
  <c r="Q109" i="83"/>
  <c r="O109" i="83"/>
  <c r="M109" i="83"/>
  <c r="K109" i="83"/>
  <c r="I109" i="83"/>
  <c r="G109" i="83"/>
  <c r="E109" i="83"/>
  <c r="C109" i="83"/>
  <c r="Q108" i="83"/>
  <c r="O108" i="83"/>
  <c r="M108" i="83"/>
  <c r="K108" i="83"/>
  <c r="I108" i="83"/>
  <c r="G108" i="83"/>
  <c r="E108" i="83"/>
  <c r="C108" i="83"/>
  <c r="Q107" i="83"/>
  <c r="O107" i="83"/>
  <c r="M107" i="83"/>
  <c r="K107" i="83"/>
  <c r="I107" i="83"/>
  <c r="G107" i="83"/>
  <c r="E107" i="83"/>
  <c r="C107" i="83"/>
  <c r="Q106" i="83"/>
  <c r="O106" i="83"/>
  <c r="M106" i="83"/>
  <c r="K106" i="83"/>
  <c r="I106" i="83"/>
  <c r="G106" i="83"/>
  <c r="E106" i="83"/>
  <c r="C106" i="83"/>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B17" i="74" s="1"/>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A120" i="82"/>
  <c r="E111" i="82"/>
  <c r="H112"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F20" i="83"/>
  <c r="H103" i="82" l="1"/>
  <c r="D120" i="82" s="1"/>
  <c r="A126" i="82"/>
  <c r="H111" i="82"/>
  <c r="D126" i="82" s="1"/>
  <c r="D127" i="82" s="1"/>
  <c r="C18" i="82"/>
  <c r="D18" i="82" s="1"/>
  <c r="K120" i="82"/>
  <c r="D121" i="82"/>
  <c r="C92" i="82"/>
  <c r="C94" i="82"/>
  <c r="E382" i="79"/>
  <c r="V21" i="1" s="1"/>
  <c r="E383" i="79"/>
  <c r="V22" i="1" s="1"/>
  <c r="E384" i="79"/>
  <c r="V23" i="1" s="1"/>
  <c r="E385" i="79"/>
  <c r="K14" i="3" s="1"/>
  <c r="F20" i="6" s="1"/>
  <c r="I13" i="3" l="1"/>
  <c r="F19" i="6" s="1"/>
  <c r="D41" i="43"/>
  <c r="D40" i="43"/>
  <c r="D29" i="43"/>
  <c r="F113" i="78"/>
  <c r="N99" i="78"/>
  <c r="N108" i="78" s="1"/>
  <c r="M99" i="78"/>
  <c r="L99" i="78"/>
  <c r="L108" i="78" s="1"/>
  <c r="K99" i="78"/>
  <c r="J99" i="78"/>
  <c r="J108" i="78" s="1"/>
  <c r="I99" i="78"/>
  <c r="H99" i="78"/>
  <c r="H108" i="78" s="1"/>
  <c r="G99" i="78"/>
  <c r="F99" i="78"/>
  <c r="F108" i="78" s="1"/>
  <c r="E99" i="78"/>
  <c r="D99" i="78"/>
  <c r="D108" i="78" s="1"/>
  <c r="C99" i="78"/>
  <c r="M88" i="78"/>
  <c r="N88" i="78" s="1"/>
  <c r="K88" i="78"/>
  <c r="J88" i="78" s="1"/>
  <c r="D88" i="78"/>
  <c r="N87" i="78"/>
  <c r="M87" i="78"/>
  <c r="K87" i="78"/>
  <c r="J87" i="78" s="1"/>
  <c r="D87" i="78"/>
  <c r="N86" i="78"/>
  <c r="M86" i="78"/>
  <c r="K86" i="78"/>
  <c r="J86" i="78" s="1"/>
  <c r="D86" i="78"/>
  <c r="N85" i="78"/>
  <c r="M85" i="78"/>
  <c r="K85" i="78"/>
  <c r="J85" i="78" s="1"/>
  <c r="D85" i="78"/>
  <c r="N84" i="78"/>
  <c r="M84" i="78"/>
  <c r="K84" i="78"/>
  <c r="J84" i="78" s="1"/>
  <c r="D84" i="78"/>
  <c r="B84" i="78"/>
  <c r="N83" i="78"/>
  <c r="M83" i="78"/>
  <c r="K83" i="78"/>
  <c r="J83" i="78" s="1"/>
  <c r="D83" i="78"/>
  <c r="B83" i="78"/>
  <c r="N82" i="78"/>
  <c r="M82" i="78"/>
  <c r="K82" i="78"/>
  <c r="J82" i="78" s="1"/>
  <c r="D82" i="78"/>
  <c r="N81" i="78"/>
  <c r="M81" i="78"/>
  <c r="K81" i="78"/>
  <c r="J81" i="78" s="1"/>
  <c r="F81" i="78"/>
  <c r="H87" i="78" s="1"/>
  <c r="D81" i="78"/>
  <c r="E81" i="78" s="1"/>
  <c r="B79" i="78" s="1"/>
  <c r="N78" i="78"/>
  <c r="M78" i="78"/>
  <c r="K78" i="78"/>
  <c r="J78" i="78" s="1"/>
  <c r="D78" i="78"/>
  <c r="M77" i="78"/>
  <c r="N77" i="78" s="1"/>
  <c r="K77" i="78"/>
  <c r="J77" i="78"/>
  <c r="D77" i="78"/>
  <c r="N76" i="78"/>
  <c r="M76" i="78"/>
  <c r="K76" i="78"/>
  <c r="J76" i="78" s="1"/>
  <c r="D76" i="78"/>
  <c r="M75" i="78"/>
  <c r="N75" i="78" s="1"/>
  <c r="K75" i="78"/>
  <c r="J75" i="78" s="1"/>
  <c r="D75" i="78"/>
  <c r="N74" i="78"/>
  <c r="M74" i="78"/>
  <c r="K74" i="78"/>
  <c r="J74" i="78" s="1"/>
  <c r="D74" i="78"/>
  <c r="M73" i="78"/>
  <c r="N73" i="78" s="1"/>
  <c r="K73" i="78"/>
  <c r="J73" i="78" s="1"/>
  <c r="D73" i="78"/>
  <c r="N72" i="78"/>
  <c r="M72" i="78"/>
  <c r="K72" i="78"/>
  <c r="J72" i="78" s="1"/>
  <c r="D72" i="78"/>
  <c r="B72" i="78"/>
  <c r="M71" i="78"/>
  <c r="N71" i="78" s="1"/>
  <c r="K71" i="78"/>
  <c r="J71" i="78" s="1"/>
  <c r="D71" i="78"/>
  <c r="N70" i="78"/>
  <c r="M70" i="78"/>
  <c r="K70" i="78"/>
  <c r="J70" i="78" s="1"/>
  <c r="F70" i="78"/>
  <c r="H76" i="78" s="1"/>
  <c r="D70" i="78"/>
  <c r="E70" i="78" s="1"/>
  <c r="B68" i="78" s="1"/>
  <c r="D67" i="78"/>
  <c r="B61" i="78"/>
  <c r="D59" i="78"/>
  <c r="M56" i="78"/>
  <c r="N56" i="78" s="1"/>
  <c r="K56" i="78"/>
  <c r="J56" i="78" s="1"/>
  <c r="D56" i="78"/>
  <c r="N55" i="78"/>
  <c r="M55" i="78"/>
  <c r="K55" i="78"/>
  <c r="J55" i="78" s="1"/>
  <c r="D55" i="78"/>
  <c r="M54" i="78"/>
  <c r="N54" i="78" s="1"/>
  <c r="K54" i="78"/>
  <c r="J54" i="78" s="1"/>
  <c r="D54" i="78"/>
  <c r="N53" i="78"/>
  <c r="M53" i="78"/>
  <c r="K53" i="78"/>
  <c r="J53" i="78" s="1"/>
  <c r="D53" i="78"/>
  <c r="N52" i="78"/>
  <c r="M52" i="78"/>
  <c r="K52" i="78"/>
  <c r="J52" i="78" s="1"/>
  <c r="D52" i="78"/>
  <c r="M51" i="78"/>
  <c r="N51" i="78" s="1"/>
  <c r="K51" i="78"/>
  <c r="J51" i="78" s="1"/>
  <c r="D51" i="78"/>
  <c r="M50" i="78"/>
  <c r="N50" i="78" s="1"/>
  <c r="K50" i="78"/>
  <c r="J50" i="78" s="1"/>
  <c r="D50" i="78"/>
  <c r="B50" i="78"/>
  <c r="N49" i="78"/>
  <c r="M49" i="78"/>
  <c r="K49" i="78"/>
  <c r="J49" i="78" s="1"/>
  <c r="D49" i="78"/>
  <c r="M48" i="78"/>
  <c r="N48" i="78" s="1"/>
  <c r="K48" i="78"/>
  <c r="J48" i="78" s="1"/>
  <c r="D48" i="78"/>
  <c r="E48" i="78" s="1"/>
  <c r="B46" i="78" s="1"/>
  <c r="B48" i="78"/>
  <c r="H39" i="78"/>
  <c r="H38" i="78"/>
  <c r="H37" i="78"/>
  <c r="H36" i="78"/>
  <c r="H35" i="78"/>
  <c r="H34" i="78"/>
  <c r="H33" i="78"/>
  <c r="J20" i="78"/>
  <c r="I19" i="78"/>
  <c r="C18" i="78"/>
  <c r="F15" i="78"/>
  <c r="E15" i="78"/>
  <c r="D15" i="78"/>
  <c r="C15" i="78"/>
  <c r="Y12" i="78"/>
  <c r="Y10" i="78"/>
  <c r="C10" i="78"/>
  <c r="C11"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C9" i="78"/>
  <c r="A7" i="78"/>
  <c r="G3" i="78"/>
  <c r="AH11" i="78" s="1"/>
  <c r="I2" i="78"/>
  <c r="N12" i="78" s="1"/>
  <c r="G2" i="78"/>
  <c r="H17" i="78" s="1"/>
  <c r="M1" i="78"/>
  <c r="Q72" i="77"/>
  <c r="Q59" i="77"/>
  <c r="K59" i="77"/>
  <c r="P74" i="77" s="1"/>
  <c r="F59" i="77"/>
  <c r="Q58" i="77"/>
  <c r="Q51" i="77"/>
  <c r="J50" i="77"/>
  <c r="M47" i="77"/>
  <c r="D46" i="77"/>
  <c r="F33" i="77"/>
  <c r="F61" i="77" s="1"/>
  <c r="F31" i="77"/>
  <c r="F23" i="77"/>
  <c r="D24" i="77" s="1"/>
  <c r="D23" i="77"/>
  <c r="D22" i="77"/>
  <c r="F21" i="77"/>
  <c r="F20" i="77"/>
  <c r="M19" i="77"/>
  <c r="F18" i="77"/>
  <c r="M17" i="77"/>
  <c r="F17" i="77"/>
  <c r="F15" i="77"/>
  <c r="V24" i="1"/>
  <c r="W24" i="1" s="1"/>
  <c r="N7" i="1"/>
  <c r="N9" i="1" s="1"/>
  <c r="N6" i="1"/>
  <c r="N8" i="1" s="1"/>
  <c r="C36" i="33" l="1"/>
  <c r="Y9" i="1"/>
  <c r="C12" i="78"/>
  <c r="H70" i="78"/>
  <c r="H81" i="78"/>
  <c r="X7" i="78"/>
  <c r="E11" i="78"/>
  <c r="E10" i="78"/>
  <c r="E9" i="78"/>
  <c r="E8" i="78"/>
  <c r="M10" i="78"/>
  <c r="AA10" i="78"/>
  <c r="AC10" i="78"/>
  <c r="AE10" i="78"/>
  <c r="AG10" i="78"/>
  <c r="AI10" i="78"/>
  <c r="M11" i="78"/>
  <c r="Y11" i="78"/>
  <c r="Y13" i="78" s="1"/>
  <c r="AA11" i="78"/>
  <c r="AA13" i="78" s="1"/>
  <c r="AC11" i="78"/>
  <c r="AC13" i="78" s="1"/>
  <c r="AE11" i="78"/>
  <c r="AE13" i="78" s="1"/>
  <c r="M12" i="78"/>
  <c r="N2" i="78"/>
  <c r="M3" i="78"/>
  <c r="N4" i="78"/>
  <c r="M5" i="78"/>
  <c r="M6" i="78"/>
  <c r="N7" i="78"/>
  <c r="F48" i="78" s="1"/>
  <c r="N8" i="78"/>
  <c r="N9" i="78"/>
  <c r="N1" i="78"/>
  <c r="H113" i="78"/>
  <c r="F39" i="78"/>
  <c r="F38" i="78"/>
  <c r="F37" i="78"/>
  <c r="F36" i="78"/>
  <c r="F35" i="78"/>
  <c r="F34" i="78"/>
  <c r="F33" i="78"/>
  <c r="I17" i="78"/>
  <c r="G17" i="78"/>
  <c r="C17" i="78"/>
  <c r="M2" i="78"/>
  <c r="N101" i="78"/>
  <c r="L101" i="78"/>
  <c r="J101" i="78"/>
  <c r="H101" i="78"/>
  <c r="F101" i="78"/>
  <c r="D101" i="78"/>
  <c r="B113" i="78"/>
  <c r="M101" i="78"/>
  <c r="K101" i="78"/>
  <c r="I101" i="78"/>
  <c r="G101" i="78"/>
  <c r="E101" i="78"/>
  <c r="C101" i="78"/>
  <c r="H22" i="78"/>
  <c r="F22" i="78"/>
  <c r="AI11" i="78"/>
  <c r="AI13" i="78" s="1"/>
  <c r="AG11" i="78"/>
  <c r="AG13" i="78" s="1"/>
  <c r="J22" i="78"/>
  <c r="G22" i="78"/>
  <c r="E22" i="78"/>
  <c r="N3" i="78"/>
  <c r="M4" i="78"/>
  <c r="N5" i="78"/>
  <c r="N6" i="78"/>
  <c r="M7" i="78"/>
  <c r="C6" i="78" s="1"/>
  <c r="Z7" i="78"/>
  <c r="M8" i="78"/>
  <c r="M9" i="78"/>
  <c r="AH13" i="78"/>
  <c r="N10" i="78"/>
  <c r="Z10" i="78"/>
  <c r="AB10" i="78"/>
  <c r="AD10" i="78"/>
  <c r="AF10" i="78"/>
  <c r="AH10" i="78"/>
  <c r="AJ10" i="78"/>
  <c r="N11" i="78"/>
  <c r="Z11" i="78"/>
  <c r="Z13" i="78" s="1"/>
  <c r="AB11" i="78"/>
  <c r="AB13" i="78" s="1"/>
  <c r="AD11" i="78"/>
  <c r="AD13" i="78" s="1"/>
  <c r="AF11" i="78"/>
  <c r="AF13" i="78" s="1"/>
  <c r="AJ11" i="78"/>
  <c r="AJ13" i="78" s="1"/>
  <c r="E17" i="78"/>
  <c r="J17" i="78"/>
  <c r="H72" i="78"/>
  <c r="H74" i="78"/>
  <c r="H77" i="78"/>
  <c r="H78" i="78"/>
  <c r="H83" i="78"/>
  <c r="H85" i="78"/>
  <c r="H88" i="78"/>
  <c r="D109" i="78"/>
  <c r="F109" i="78"/>
  <c r="H109" i="78"/>
  <c r="J109" i="78"/>
  <c r="L109" i="78"/>
  <c r="N109" i="78"/>
  <c r="F100" i="78"/>
  <c r="J100" i="78"/>
  <c r="N100" i="78"/>
  <c r="H71" i="78"/>
  <c r="H73" i="78"/>
  <c r="H75" i="78"/>
  <c r="H82" i="78"/>
  <c r="H84" i="78"/>
  <c r="H86" i="78"/>
  <c r="C108" i="78"/>
  <c r="C100" i="78"/>
  <c r="E108" i="78"/>
  <c r="E109" i="78" s="1"/>
  <c r="E100" i="78"/>
  <c r="G108" i="78"/>
  <c r="G100" i="78"/>
  <c r="I108" i="78"/>
  <c r="I109" i="78" s="1"/>
  <c r="I100" i="78"/>
  <c r="K108" i="78"/>
  <c r="K100" i="78"/>
  <c r="M108" i="78"/>
  <c r="M109" i="78" s="1"/>
  <c r="M100" i="78"/>
  <c r="D100" i="78"/>
  <c r="H100" i="78"/>
  <c r="L100" i="78"/>
  <c r="P61" i="77"/>
  <c r="F59" i="78" l="1"/>
  <c r="K109" i="78"/>
  <c r="G109" i="78"/>
  <c r="C109" i="78"/>
  <c r="H55" i="78"/>
  <c r="H50" i="78"/>
  <c r="H54" i="78"/>
  <c r="H52" i="78"/>
  <c r="H48" i="78"/>
  <c r="H51" i="78"/>
  <c r="H56" i="78"/>
  <c r="H49" i="78"/>
  <c r="H53" i="78"/>
  <c r="D2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F107" i="78"/>
  <c r="F106" i="78"/>
  <c r="F105" i="78"/>
  <c r="F104" i="78"/>
  <c r="F103" i="78"/>
  <c r="F102" i="78"/>
  <c r="J107" i="78"/>
  <c r="J106" i="78"/>
  <c r="J105" i="78"/>
  <c r="J104" i="78"/>
  <c r="J103" i="78"/>
  <c r="J102" i="78"/>
  <c r="N107" i="78"/>
  <c r="N106" i="78"/>
  <c r="N105" i="78"/>
  <c r="N104" i="78"/>
  <c r="N103" i="78"/>
  <c r="N102" i="78"/>
  <c r="C16" i="78"/>
  <c r="D5" i="78" s="1"/>
  <c r="D113" i="78"/>
  <c r="E107" i="78"/>
  <c r="E106" i="78"/>
  <c r="E105" i="78"/>
  <c r="E104" i="78"/>
  <c r="E103" i="78"/>
  <c r="E102" i="78"/>
  <c r="I107" i="78"/>
  <c r="I106" i="78"/>
  <c r="I105" i="78"/>
  <c r="I104" i="78"/>
  <c r="I103" i="78"/>
  <c r="I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C7" i="78"/>
  <c r="C5" i="78" s="1"/>
  <c r="H66" i="78" l="1"/>
  <c r="G66" i="78" s="1"/>
  <c r="H61" i="78"/>
  <c r="G61" i="78" s="1"/>
  <c r="H65" i="78"/>
  <c r="G65" i="78" s="1"/>
  <c r="H60" i="78"/>
  <c r="G60" i="78" s="1"/>
  <c r="H64" i="78"/>
  <c r="G64" i="78" s="1"/>
  <c r="H59" i="78"/>
  <c r="G59" i="78" s="1"/>
  <c r="H62" i="78"/>
  <c r="G62" i="78" s="1"/>
  <c r="H67" i="78"/>
  <c r="G67" i="78" s="1"/>
  <c r="H63" i="78"/>
  <c r="G63" i="78" s="1"/>
  <c r="S6" i="78"/>
  <c r="S2" i="78"/>
  <c r="S3" i="78"/>
  <c r="S5" i="78"/>
  <c r="C23" i="78"/>
  <c r="C21" i="78" s="1"/>
  <c r="S4" i="78"/>
  <c r="S7" i="78"/>
  <c r="K67" i="78" l="1"/>
  <c r="J67" i="78" s="1"/>
  <c r="M67" i="78"/>
  <c r="N67" i="78" s="1"/>
  <c r="K59" i="78"/>
  <c r="J59" i="78" s="1"/>
  <c r="M59" i="78"/>
  <c r="N59" i="78" s="1"/>
  <c r="K60" i="78"/>
  <c r="M60" i="78"/>
  <c r="N60" i="78" s="1"/>
  <c r="M61" i="78"/>
  <c r="N61" i="78" s="1"/>
  <c r="K61" i="78"/>
  <c r="K63" i="78"/>
  <c r="J63" i="78" s="1"/>
  <c r="M63" i="78"/>
  <c r="M62" i="78"/>
  <c r="N62" i="78" s="1"/>
  <c r="K62" i="78"/>
  <c r="M64" i="78"/>
  <c r="N64" i="78" s="1"/>
  <c r="K64" i="78"/>
  <c r="K65" i="78"/>
  <c r="M65" i="78"/>
  <c r="N65" i="78" s="1"/>
  <c r="K66" i="78"/>
  <c r="J66" i="78" s="1"/>
  <c r="D66" i="78" s="1"/>
  <c r="M66" i="78"/>
  <c r="N66" i="78" s="1"/>
  <c r="D29" i="78"/>
  <c r="D1" i="78" s="1"/>
  <c r="D7" i="71"/>
  <c r="D65" i="78" l="1"/>
  <c r="J65" i="78"/>
  <c r="J60" i="78"/>
  <c r="D60" i="78"/>
  <c r="J64" i="78"/>
  <c r="D64" i="78"/>
  <c r="J62" i="78"/>
  <c r="D62" i="78"/>
  <c r="N63" i="78"/>
  <c r="D63" i="78"/>
  <c r="J61" i="78"/>
  <c r="D61" i="78"/>
  <c r="AH5" i="71"/>
  <c r="AG5" i="71"/>
  <c r="AE5" i="71"/>
  <c r="AF5" i="71" s="1"/>
  <c r="AD5" i="71"/>
  <c r="Q5" i="71"/>
  <c r="P5" i="71"/>
  <c r="O5" i="71"/>
  <c r="N5" i="71"/>
  <c r="E59" i="78" l="1"/>
  <c r="B57" i="78" s="1"/>
  <c r="C24" i="78" s="1"/>
  <c r="L3" i="7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9" i="76"/>
  <c r="B12" i="76"/>
  <c r="B8" i="76"/>
  <c r="E9" i="76"/>
  <c r="E11" i="76"/>
  <c r="E12" i="76"/>
  <c r="E10" i="76"/>
  <c r="B10" i="76"/>
  <c r="B11" i="76"/>
  <c r="B7" i="76"/>
  <c r="E7" i="76"/>
  <c r="E13" i="76"/>
  <c r="E8" i="76"/>
  <c r="B13" i="76"/>
  <c r="C76" i="9" l="1"/>
  <c r="I107" i="40" l="1"/>
  <c r="K6" i="4" l="1"/>
  <c r="M56" i="82" l="1"/>
  <c r="J56" i="82"/>
  <c r="J57" i="82" s="1"/>
  <c r="J59" i="82" s="1"/>
  <c r="J61" i="82" s="1"/>
  <c r="N56" i="82"/>
  <c r="K56" i="82"/>
  <c r="B22" i="31"/>
  <c r="N56" i="9" l="1"/>
  <c r="M56" i="9"/>
  <c r="K56" i="9"/>
  <c r="E18" i="74" l="1"/>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3" i="73"/>
  <c r="F4" i="73"/>
  <c r="D3" i="73"/>
  <c r="F5" i="73"/>
  <c r="D5" i="73"/>
  <c r="F6" i="73"/>
  <c r="D6" i="73"/>
  <c r="I1" i="73" l="1"/>
  <c r="B39" i="1" s="1"/>
  <c r="D7" i="73"/>
  <c r="D4" i="73"/>
  <c r="M11" i="84" l="1"/>
  <c r="J10" i="84" s="1"/>
  <c r="F11" i="84"/>
  <c r="E20"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O17" i="78"/>
  <c r="M17" i="78"/>
  <c r="P17" i="78"/>
  <c r="N17" i="78"/>
  <c r="C53" i="77"/>
  <c r="AA10" i="43"/>
  <c r="AC10" i="43"/>
  <c r="AE10" i="43"/>
  <c r="AG10" i="43"/>
  <c r="AI10" i="43"/>
  <c r="Z10" i="43"/>
  <c r="AB10" i="43"/>
  <c r="AD10" i="43"/>
  <c r="AF10" i="43"/>
  <c r="AH10" i="43"/>
  <c r="AJ10" i="43"/>
  <c r="G20" i="78" l="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17" i="71" l="1"/>
  <c r="Z17" i="71" s="1"/>
  <c r="AB17" i="71"/>
  <c r="Y18" i="71"/>
  <c r="Z18" i="71" s="1"/>
  <c r="AB18" i="71"/>
  <c r="Y21" i="71"/>
  <c r="Z21" i="71" s="1"/>
  <c r="Y5" i="71"/>
  <c r="Z5" i="71" s="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5" i="71"/>
  <c r="AA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M19" i="43" s="1"/>
  <c r="D21" i="71"/>
  <c r="C18" i="71"/>
  <c r="D17" i="71"/>
  <c r="C14" i="71"/>
  <c r="D13" i="71"/>
  <c r="C8" i="71" l="1"/>
  <c r="D8" i="71" s="1"/>
  <c r="D9" i="71"/>
  <c r="V10" i="71"/>
  <c r="P47" i="71"/>
  <c r="P48" i="71"/>
  <c r="O48" i="71"/>
  <c r="D48" i="71"/>
  <c r="O47" i="71"/>
  <c r="T14" i="71"/>
  <c r="D14" i="71"/>
  <c r="T18" i="71"/>
  <c r="D18" i="71"/>
  <c r="T22" i="71"/>
  <c r="D22" i="71"/>
  <c r="M19" i="78" s="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3" i="1"/>
  <c r="AO12" i="1"/>
  <c r="AO11" i="1"/>
  <c r="AO10" i="1"/>
  <c r="B75" i="78" l="1"/>
  <c r="B66" i="78"/>
  <c r="B55" i="78"/>
  <c r="B86" i="43"/>
  <c r="B86" i="78"/>
  <c r="B11" i="70"/>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F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74" i="31"/>
  <c r="S488" i="31"/>
  <c r="S9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E109" i="39" s="1"/>
  <c r="F109" i="39" s="1"/>
  <c r="G109" i="39" s="1"/>
  <c r="H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F47" i="34" s="1"/>
  <c r="S47" i="34" s="1"/>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J35" i="39"/>
  <c r="AC35" i="39" s="1"/>
  <c r="F35" i="39"/>
  <c r="AA35" i="39" s="1"/>
  <c r="J36"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S27" i="35"/>
  <c r="F11" i="40"/>
  <c r="AA11" i="40" s="1"/>
  <c r="H11" i="40"/>
  <c r="AB11" i="40" s="1"/>
  <c r="W8" i="40"/>
  <c r="AA9" i="40"/>
  <c r="U9" i="40"/>
  <c r="S34" i="40"/>
  <c r="F42" i="39"/>
  <c r="AA42" i="39" s="1"/>
  <c r="H40" i="39"/>
  <c r="H39" i="39"/>
  <c r="U39" i="39" s="1"/>
  <c r="S38" i="39"/>
  <c r="E101" i="39"/>
  <c r="F101" i="39" s="1"/>
  <c r="G101" i="39" s="1"/>
  <c r="H19" i="39"/>
  <c r="AB19" i="39" s="1"/>
  <c r="F19" i="39"/>
  <c r="AA19" i="39" s="1"/>
  <c r="H17" i="39"/>
  <c r="AB17" i="39" s="1"/>
  <c r="J23" i="40"/>
  <c r="AC23" i="40" s="1"/>
  <c r="F21" i="40"/>
  <c r="J21" i="40"/>
  <c r="W21" i="40" s="1"/>
  <c r="H42" i="39"/>
  <c r="AB42"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F45" i="34"/>
  <c r="S45"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30" i="21"/>
  <c r="AA14" i="37"/>
  <c r="S11" i="36"/>
  <c r="W11" i="36"/>
  <c r="W11" i="35"/>
  <c r="AC30" i="34"/>
  <c r="S45" i="33"/>
  <c r="AB31" i="33"/>
  <c r="W29" i="33"/>
  <c r="AC28" i="21"/>
  <c r="BA586" i="3"/>
  <c r="F17" i="21"/>
  <c r="AA17" i="21" s="1"/>
  <c r="H17" i="21"/>
  <c r="AB17" i="21" s="1"/>
  <c r="F15" i="21"/>
  <c r="S15" i="21" s="1"/>
  <c r="AB11" i="21"/>
  <c r="J41" i="39"/>
  <c r="W41" i="39" s="1"/>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c r="AZ575" i="3" s="1"/>
  <c r="BQ573" i="3"/>
  <c r="BQ571" i="3"/>
  <c r="BQ569" i="3"/>
  <c r="BL569" i="3" s="1"/>
  <c r="BQ567" i="3"/>
  <c r="BL567" i="3" s="1"/>
  <c r="BQ565" i="3"/>
  <c r="BQ563" i="3"/>
  <c r="BQ561" i="3"/>
  <c r="BQ559" i="3"/>
  <c r="BL559" i="3" s="1"/>
  <c r="G555" i="3"/>
  <c r="G549" i="3"/>
  <c r="G545" i="3"/>
  <c r="G541" i="3"/>
  <c r="BQ555" i="3"/>
  <c r="BL555" i="3" s="1"/>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s="1"/>
  <c r="BQ513" i="3"/>
  <c r="BQ511" i="3"/>
  <c r="AC509" i="3"/>
  <c r="BQ509" i="3"/>
  <c r="BL508" i="3"/>
  <c r="G503"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U14" i="40"/>
  <c r="AC33" i="36"/>
  <c r="U35" i="35"/>
  <c r="AA12" i="35"/>
  <c r="W23" i="35"/>
  <c r="AB28" i="37"/>
  <c r="AC8" i="37"/>
  <c r="AA13" i="33"/>
  <c r="AC31" i="33"/>
  <c r="AC45" i="33"/>
  <c r="W44" i="33"/>
  <c r="U11" i="33"/>
  <c r="U19" i="21"/>
  <c r="U26" i="21"/>
  <c r="U12"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C12" i="43"/>
  <c r="H19" i="40"/>
  <c r="U19" i="40" s="1"/>
  <c r="F88" i="40"/>
  <c r="G88" i="40" s="1"/>
  <c r="F19" i="40"/>
  <c r="S19" i="40" s="1"/>
  <c r="S14" i="40"/>
  <c r="H37" i="39"/>
  <c r="AB37" i="39" s="1"/>
  <c r="AC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E7" i="34" s="1"/>
  <c r="C7" i="36"/>
  <c r="W35" i="40"/>
  <c r="A118" i="9"/>
  <c r="F11" i="39"/>
  <c r="AA11" i="39" s="1"/>
  <c r="A12" i="52"/>
  <c r="B56" i="72" s="1"/>
  <c r="S11" i="39"/>
  <c r="G4" i="4"/>
  <c r="I4" i="4"/>
  <c r="K5" i="4"/>
  <c r="B47" i="48" s="1"/>
  <c r="A2" i="9"/>
  <c r="N2" i="43"/>
  <c r="F59" i="43" s="1"/>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59" i="3"/>
  <c r="AZ63" i="3"/>
  <c r="AZ67" i="3"/>
  <c r="AZ71" i="3"/>
  <c r="AZ79" i="3"/>
  <c r="AZ83" i="3"/>
  <c r="AZ136" i="3"/>
  <c r="AZ200" i="3"/>
  <c r="AZ85" i="3"/>
  <c r="AZ89" i="3"/>
  <c r="AZ105"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AZ356" i="3" s="1"/>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AZ138" i="3"/>
  <c r="AZ142" i="3"/>
  <c r="AZ146" i="3"/>
  <c r="AZ162" i="3"/>
  <c r="AZ178" i="3"/>
  <c r="AZ194"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303"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233" i="3"/>
  <c r="AZ237" i="3"/>
  <c r="AZ269" i="3"/>
  <c r="AZ273" i="3"/>
  <c r="BA379" i="3"/>
  <c r="AZ379" i="3"/>
  <c r="BL380" i="3"/>
  <c r="G381" i="3"/>
  <c r="BA383" i="3"/>
  <c r="BL384" i="3"/>
  <c r="G385" i="3"/>
  <c r="BA387" i="3"/>
  <c r="AZ387" i="3"/>
  <c r="BL388" i="3"/>
  <c r="G389" i="3"/>
  <c r="BA391" i="3"/>
  <c r="AZ391" i="3"/>
  <c r="BL392" i="3"/>
  <c r="G393" i="3"/>
  <c r="AZ275" i="3"/>
  <c r="AZ291" i="3"/>
  <c r="BM5" i="3"/>
  <c r="BH5" i="3"/>
  <c r="BD5" i="3"/>
  <c r="BQ5" i="3"/>
  <c r="G548" i="3"/>
  <c r="G538" i="3"/>
  <c r="G502" i="3"/>
  <c r="BP5" i="3"/>
  <c r="BI5" i="3"/>
  <c r="BE5" i="3"/>
  <c r="G17" i="3"/>
  <c r="BA17" i="3"/>
  <c r="BT5" i="3"/>
  <c r="AZ352" i="3"/>
  <c r="AZ360" i="3"/>
  <c r="AZ368" i="3"/>
  <c r="BA15" i="3"/>
  <c r="BB5" i="3"/>
  <c r="AZ380" i="3"/>
  <c r="AZ384" i="3"/>
  <c r="AZ388" i="3"/>
  <c r="AZ392" i="3"/>
  <c r="BL493" i="3"/>
  <c r="AZ491" i="3"/>
  <c r="AZ376" i="3"/>
  <c r="AZ382" i="3"/>
  <c r="U36" i="40"/>
  <c r="N4" i="43"/>
  <c r="F81" i="43"/>
  <c r="H83" i="43" s="1"/>
  <c r="F70" i="43"/>
  <c r="H73" i="43" s="1"/>
  <c r="M11" i="43"/>
  <c r="F39" i="43"/>
  <c r="F35" i="43"/>
  <c r="F6" i="1"/>
  <c r="I20" i="43" s="1"/>
  <c r="U43" i="21"/>
  <c r="AC35" i="21"/>
  <c r="U10" i="21"/>
  <c r="G8" i="1"/>
  <c r="G9" i="1"/>
  <c r="G10" i="1"/>
  <c r="F48" i="9"/>
  <c r="O52" i="9" s="1"/>
  <c r="W44" i="34"/>
  <c r="AC44" i="34"/>
  <c r="S15" i="37"/>
  <c r="U12" i="40"/>
  <c r="AA12" i="40"/>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268" i="3"/>
  <c r="AZ271" i="3"/>
  <c r="AZ288" i="3"/>
  <c r="AZ133" i="3"/>
  <c r="AZ61" i="3"/>
  <c r="AZ69" i="3"/>
  <c r="AZ82" i="3"/>
  <c r="AZ102" i="3"/>
  <c r="H75" i="43"/>
  <c r="F23" i="39"/>
  <c r="AA23" i="39" s="1"/>
  <c r="H27" i="36"/>
  <c r="U27" i="36" s="1"/>
  <c r="F27" i="36"/>
  <c r="AA27" i="36" s="1"/>
  <c r="H33" i="34"/>
  <c r="U33" i="34" s="1"/>
  <c r="F32" i="37"/>
  <c r="AA32" i="37" s="1"/>
  <c r="F20" i="36"/>
  <c r="AA20" i="36" s="1"/>
  <c r="J33" i="34"/>
  <c r="AC33" i="34" s="1"/>
  <c r="H23" i="39"/>
  <c r="U23" i="39" s="1"/>
  <c r="D48" i="9"/>
  <c r="M52" i="9" s="1"/>
  <c r="H86" i="43"/>
  <c r="K9" i="1"/>
  <c r="S12" i="21" l="1"/>
  <c r="AA12" i="21"/>
  <c r="W12" i="36"/>
  <c r="AC12" i="36"/>
  <c r="G7" i="34"/>
  <c r="I7" i="34"/>
  <c r="F42" i="33"/>
  <c r="AA42" i="33" s="1"/>
  <c r="BL587" i="3"/>
  <c r="B71" i="43"/>
  <c r="B71" i="78"/>
  <c r="B60" i="78"/>
  <c r="B49" i="78"/>
  <c r="B54" i="78"/>
  <c r="B74" i="78"/>
  <c r="B65" i="78"/>
  <c r="B81" i="43"/>
  <c r="B81" i="78"/>
  <c r="B85" i="43"/>
  <c r="B85" i="78"/>
  <c r="F10" i="34"/>
  <c r="AA10" i="34" s="1"/>
  <c r="J27" i="34"/>
  <c r="H43" i="34"/>
  <c r="AB43" i="34" s="1"/>
  <c r="F9" i="36"/>
  <c r="AA9" i="36" s="1"/>
  <c r="H24" i="36"/>
  <c r="AB24" i="36" s="1"/>
  <c r="BA559" i="3"/>
  <c r="BA558" i="3"/>
  <c r="BL557" i="3"/>
  <c r="BA557" i="3"/>
  <c r="G557" i="3"/>
  <c r="BA540" i="3"/>
  <c r="AZ540" i="3" s="1"/>
  <c r="BA539" i="3"/>
  <c r="BA532" i="3"/>
  <c r="BA531" i="3"/>
  <c r="BL530" i="3"/>
  <c r="BA526" i="3"/>
  <c r="BA523" i="3"/>
  <c r="BA520" i="3"/>
  <c r="BA513" i="3"/>
  <c r="BL512" i="3"/>
  <c r="BA512" i="3"/>
  <c r="BL510" i="3"/>
  <c r="BA509" i="3"/>
  <c r="G509" i="3"/>
  <c r="BA508" i="3"/>
  <c r="AZ508" i="3" s="1"/>
  <c r="BA503" i="3"/>
  <c r="BA502" i="3"/>
  <c r="AZ502" i="3" s="1"/>
  <c r="BL501" i="3"/>
  <c r="BL499" i="3"/>
  <c r="AZ499" i="3" s="1"/>
  <c r="BL497" i="3"/>
  <c r="BA496" i="3"/>
  <c r="BS5" i="3"/>
  <c r="BL495" i="3"/>
  <c r="BA495" i="3"/>
  <c r="BL494" i="3"/>
  <c r="BK5" i="3"/>
  <c r="BG5" i="3"/>
  <c r="AC5" i="3"/>
  <c r="BR5" i="3"/>
  <c r="BO5" i="3"/>
  <c r="BJ5" i="3"/>
  <c r="BF5" i="3"/>
  <c r="D78" i="9"/>
  <c r="D78" i="82"/>
  <c r="D93" i="82"/>
  <c r="M9" i="1"/>
  <c r="O9" i="1" s="1"/>
  <c r="P9" i="1" s="1"/>
  <c r="AZ345" i="3"/>
  <c r="AZ326" i="3"/>
  <c r="AZ318" i="3"/>
  <c r="AZ16" i="3"/>
  <c r="AZ389" i="3"/>
  <c r="AZ372" i="3"/>
  <c r="AZ364" i="3"/>
  <c r="AZ320" i="3"/>
  <c r="AZ313" i="3"/>
  <c r="AZ305" i="3"/>
  <c r="AZ394" i="3"/>
  <c r="AZ362" i="3"/>
  <c r="AZ341" i="3"/>
  <c r="AZ325" i="3"/>
  <c r="AZ309" i="3"/>
  <c r="AC12" i="37"/>
  <c r="B70" i="43"/>
  <c r="B70" i="78"/>
  <c r="B59" i="43"/>
  <c r="B59" i="78"/>
  <c r="B77" i="43"/>
  <c r="B56" i="78"/>
  <c r="B77" i="78"/>
  <c r="B67" i="78"/>
  <c r="B73" i="43"/>
  <c r="B73" i="78"/>
  <c r="B63" i="78"/>
  <c r="B52" i="78"/>
  <c r="B82" i="43"/>
  <c r="B82" i="78"/>
  <c r="B88" i="43"/>
  <c r="B88" i="78"/>
  <c r="H39" i="40"/>
  <c r="U39" i="40" s="1"/>
  <c r="G570" i="3"/>
  <c r="BL568" i="3"/>
  <c r="G568" i="3"/>
  <c r="BA567" i="3"/>
  <c r="G567" i="3"/>
  <c r="G566" i="3"/>
  <c r="G565" i="3"/>
  <c r="G564" i="3"/>
  <c r="G563" i="3"/>
  <c r="G556" i="3"/>
  <c r="G553" i="3"/>
  <c r="G552" i="3"/>
  <c r="G551" i="3"/>
  <c r="G550" i="3"/>
  <c r="G547" i="3"/>
  <c r="G546" i="3"/>
  <c r="G544" i="3"/>
  <c r="G543" i="3"/>
  <c r="M20" i="15"/>
  <c r="F34" i="84"/>
  <c r="F62" i="84" s="1"/>
  <c r="M20" i="84"/>
  <c r="F34" i="77"/>
  <c r="F62" i="77" s="1"/>
  <c r="M20" i="77"/>
  <c r="G14" i="3"/>
  <c r="M8" i="1"/>
  <c r="G398" i="3"/>
  <c r="BA399" i="3"/>
  <c r="AZ399" i="3" s="1"/>
  <c r="BL399" i="3"/>
  <c r="BA400" i="3"/>
  <c r="AZ400" i="3" s="1"/>
  <c r="BA402" i="3"/>
  <c r="BL402" i="3"/>
  <c r="BL404" i="3"/>
  <c r="G405" i="3"/>
  <c r="G407" i="3"/>
  <c r="BL408" i="3"/>
  <c r="BA409" i="3"/>
  <c r="AZ409" i="3" s="1"/>
  <c r="BA410" i="3"/>
  <c r="AZ410" i="3" s="1"/>
  <c r="BA411" i="3"/>
  <c r="AZ411" i="3" s="1"/>
  <c r="BL413" i="3"/>
  <c r="G414" i="3"/>
  <c r="BA415" i="3"/>
  <c r="AZ415" i="3" s="1"/>
  <c r="BL415" i="3"/>
  <c r="BA416" i="3"/>
  <c r="AZ416" i="3" s="1"/>
  <c r="BA418" i="3"/>
  <c r="BL418" i="3"/>
  <c r="BL420" i="3"/>
  <c r="G421" i="3"/>
  <c r="G423" i="3"/>
  <c r="G425" i="3"/>
  <c r="BL328" i="3"/>
  <c r="AZ328" i="3" s="1"/>
  <c r="G329" i="3"/>
  <c r="BA331" i="3"/>
  <c r="AZ331" i="3" s="1"/>
  <c r="BL333" i="3"/>
  <c r="G334"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AZ425" i="3"/>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BL64" i="3"/>
  <c r="G65" i="3"/>
  <c r="G67" i="3"/>
  <c r="G71" i="3"/>
  <c r="G73" i="3"/>
  <c r="BL74" i="3"/>
  <c r="G75" i="3"/>
  <c r="BA76" i="3"/>
  <c r="AZ76" i="3" s="1"/>
  <c r="BL76" i="3"/>
  <c r="J51" i="84"/>
  <c r="M47" i="82"/>
  <c r="G19" i="78"/>
  <c r="J51" i="77"/>
  <c r="G100" i="4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G1" i="84"/>
  <c r="J51" i="15"/>
  <c r="G7" i="1"/>
  <c r="I20" i="78"/>
  <c r="C20" i="78" s="1"/>
  <c r="AC15" i="34"/>
  <c r="I4" i="6"/>
  <c r="G3" i="43" s="1"/>
  <c r="BC5" i="3"/>
  <c r="E8" i="6" s="1"/>
  <c r="M18" i="82"/>
  <c r="B118" i="82" s="1"/>
  <c r="C51" i="10"/>
  <c r="A13" i="51" s="1"/>
  <c r="B11" i="72" s="1"/>
  <c r="A2" i="82"/>
  <c r="A118" i="82"/>
  <c r="A4" i="52"/>
  <c r="B41" i="72" s="1"/>
  <c r="AA38" i="34"/>
  <c r="H45" i="34"/>
  <c r="U45" i="34" s="1"/>
  <c r="AB23" i="34"/>
  <c r="AC36" i="34"/>
  <c r="AC28" i="34"/>
  <c r="S28" i="34"/>
  <c r="S15" i="34"/>
  <c r="AC17" i="34"/>
  <c r="J42" i="33"/>
  <c r="AC42" i="33" s="1"/>
  <c r="S41" i="33"/>
  <c r="W39" i="33"/>
  <c r="AB26" i="33"/>
  <c r="S26" i="33"/>
  <c r="S9" i="34"/>
  <c r="J11" i="39"/>
  <c r="W40" i="39"/>
  <c r="F41" i="39"/>
  <c r="S41" i="39" s="1"/>
  <c r="H31" i="39"/>
  <c r="AB31" i="39" s="1"/>
  <c r="I109" i="39"/>
  <c r="J109" i="39" s="1"/>
  <c r="K109" i="39" s="1"/>
  <c r="L109" i="39" s="1"/>
  <c r="M109" i="39" s="1"/>
  <c r="J34" i="39"/>
  <c r="AC34" i="39" s="1"/>
  <c r="F34" i="39"/>
  <c r="H34" i="39"/>
  <c r="F17" i="39"/>
  <c r="AA17" i="39" s="1"/>
  <c r="U44" i="39"/>
  <c r="AB44" i="39"/>
  <c r="W43" i="39"/>
  <c r="AC43" i="39"/>
  <c r="AB45" i="39"/>
  <c r="U45" i="39"/>
  <c r="H43" i="39"/>
  <c r="J44" i="39"/>
  <c r="F45" i="39"/>
  <c r="S45" i="39" s="1"/>
  <c r="U17" i="39"/>
  <c r="U9" i="39"/>
  <c r="AA41" i="39"/>
  <c r="H87" i="43"/>
  <c r="G20" i="43"/>
  <c r="C20" i="43" s="1"/>
  <c r="H82" i="43"/>
  <c r="J17" i="43"/>
  <c r="I17" i="43"/>
  <c r="E17" i="43"/>
  <c r="M6" i="43"/>
  <c r="N7" i="43"/>
  <c r="F48" i="43" s="1"/>
  <c r="H50" i="43" s="1"/>
  <c r="G50" i="43" s="1"/>
  <c r="H113" i="43"/>
  <c r="F36" i="43"/>
  <c r="G13" i="1"/>
  <c r="G28" i="6"/>
  <c r="H74" i="43"/>
  <c r="A15" i="62"/>
  <c r="B61" i="72" s="1"/>
  <c r="AZ557" i="3"/>
  <c r="AZ512" i="3"/>
  <c r="S41" i="34"/>
  <c r="AA41" i="34"/>
  <c r="S25" i="21"/>
  <c r="AA25" i="21"/>
  <c r="AZ520" i="3"/>
  <c r="AZ510" i="3"/>
  <c r="AC14" i="37"/>
  <c r="W14" i="37"/>
  <c r="U11" i="36"/>
  <c r="AB11" i="36"/>
  <c r="U37" i="34"/>
  <c r="AB37" i="34"/>
  <c r="AB33" i="37"/>
  <c r="U33" i="37"/>
  <c r="S29" i="35"/>
  <c r="AA29" i="35"/>
  <c r="AB33" i="35"/>
  <c r="U33" i="35"/>
  <c r="AB23" i="40"/>
  <c r="U23" i="40"/>
  <c r="AB32" i="33"/>
  <c r="U32" i="33"/>
  <c r="AB40" i="39"/>
  <c r="U40" i="39"/>
  <c r="W45" i="39"/>
  <c r="AC45" i="39"/>
  <c r="U38" i="21"/>
  <c r="AB38" i="21"/>
  <c r="B74" i="43"/>
  <c r="C27" i="39"/>
  <c r="W16" i="36"/>
  <c r="AC16" i="36"/>
  <c r="J25" i="36"/>
  <c r="W25" i="36" s="1"/>
  <c r="H25" i="36"/>
  <c r="AB25" i="36" s="1"/>
  <c r="S31" i="36"/>
  <c r="AA31" i="36"/>
  <c r="J39" i="37"/>
  <c r="AC39" i="37" s="1"/>
  <c r="F39" i="37"/>
  <c r="H39" i="37"/>
  <c r="AB40" i="40"/>
  <c r="U40" i="40"/>
  <c r="J31" i="40"/>
  <c r="H31" i="40"/>
  <c r="U31" i="40" s="1"/>
  <c r="J33" i="40"/>
  <c r="F33" i="40"/>
  <c r="AA33" i="40" s="1"/>
  <c r="BA569" i="3"/>
  <c r="AZ569" i="3" s="1"/>
  <c r="BA565" i="3"/>
  <c r="BL563" i="3"/>
  <c r="AZ563" i="3" s="1"/>
  <c r="BL561" i="3"/>
  <c r="BA561" i="3"/>
  <c r="BA541" i="3"/>
  <c r="BA537" i="3"/>
  <c r="BA533" i="3"/>
  <c r="BA529" i="3"/>
  <c r="BA525" i="3"/>
  <c r="BL521" i="3"/>
  <c r="BA521" i="3"/>
  <c r="BA518" i="3"/>
  <c r="AZ518" i="3" s="1"/>
  <c r="BL516" i="3"/>
  <c r="BL514" i="3"/>
  <c r="BA514" i="3"/>
  <c r="BL506" i="3"/>
  <c r="BA506" i="3"/>
  <c r="BA501" i="3"/>
  <c r="AZ501" i="3" s="1"/>
  <c r="BA500" i="3"/>
  <c r="AZ500" i="3" s="1"/>
  <c r="BL498" i="3"/>
  <c r="AZ498" i="3" s="1"/>
  <c r="BA493" i="3"/>
  <c r="AZ493" i="3" s="1"/>
  <c r="W24" i="36"/>
  <c r="W37" i="37"/>
  <c r="U35" i="21"/>
  <c r="S14" i="35"/>
  <c r="BN5" i="3"/>
  <c r="AZ377" i="3"/>
  <c r="AZ355"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AC12" i="33" s="1"/>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C31" i="39" s="1"/>
  <c r="AA34" i="39"/>
  <c r="S34" i="39"/>
  <c r="W9" i="40"/>
  <c r="AC9" i="40"/>
  <c r="AB34" i="40"/>
  <c r="U34" i="40"/>
  <c r="H13" i="40"/>
  <c r="U13" i="40" s="1"/>
  <c r="F13" i="40"/>
  <c r="AA13" i="40" s="1"/>
  <c r="J32" i="40"/>
  <c r="H32" i="40"/>
  <c r="AB32" i="40" s="1"/>
  <c r="AB36" i="39"/>
  <c r="U36" i="39"/>
  <c r="BA584" i="3"/>
  <c r="AZ584" i="3" s="1"/>
  <c r="BL582" i="3"/>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BL542" i="3"/>
  <c r="BA542" i="3"/>
  <c r="F29" i="6"/>
  <c r="AZ559" i="3"/>
  <c r="AZ567" i="3"/>
  <c r="AZ587" i="3"/>
  <c r="AZ516" i="3"/>
  <c r="AZ544" i="3"/>
  <c r="AZ582" i="3"/>
  <c r="AA21" i="40"/>
  <c r="S21" i="40"/>
  <c r="BA585" i="3"/>
  <c r="H13" i="21"/>
  <c r="J13" i="21"/>
  <c r="AC13" i="21" s="1"/>
  <c r="J27" i="21"/>
  <c r="W27" i="21" s="1"/>
  <c r="F27" i="21"/>
  <c r="AA27" i="21" s="1"/>
  <c r="H31" i="21"/>
  <c r="J31" i="21"/>
  <c r="AC31" i="21" s="1"/>
  <c r="J45" i="21"/>
  <c r="W45" i="21" s="1"/>
  <c r="F45" i="21"/>
  <c r="AA45" i="21" s="1"/>
  <c r="AB35" i="33"/>
  <c r="U35" i="33"/>
  <c r="AB8" i="35"/>
  <c r="U8" i="35"/>
  <c r="AC28" i="36"/>
  <c r="W28" i="36"/>
  <c r="F32" i="36"/>
  <c r="J32" i="36"/>
  <c r="AC26" i="37"/>
  <c r="W26" i="37"/>
  <c r="H27" i="37"/>
  <c r="F27" i="37"/>
  <c r="AA27" i="37" s="1"/>
  <c r="J27" i="37"/>
  <c r="AC27" i="37" s="1"/>
  <c r="F38" i="40"/>
  <c r="H38" i="40"/>
  <c r="J40" i="40"/>
  <c r="F40" i="40"/>
  <c r="BA568" i="3"/>
  <c r="AZ568" i="3" s="1"/>
  <c r="BL566" i="3"/>
  <c r="BA566" i="3"/>
  <c r="BL564" i="3"/>
  <c r="BA564" i="3"/>
  <c r="BA562" i="3"/>
  <c r="AZ562" i="3" s="1"/>
  <c r="BA560" i="3"/>
  <c r="AZ560" i="3" s="1"/>
  <c r="BL558" i="3"/>
  <c r="AZ558" i="3" s="1"/>
  <c r="BL556" i="3"/>
  <c r="BA556" i="3"/>
  <c r="BA538" i="3"/>
  <c r="AZ538" i="3" s="1"/>
  <c r="BL536" i="3"/>
  <c r="AZ536" i="3" s="1"/>
  <c r="BL534" i="3"/>
  <c r="BA534" i="3"/>
  <c r="BL532" i="3"/>
  <c r="AZ532" i="3" s="1"/>
  <c r="BA530" i="3"/>
  <c r="AZ530" i="3" s="1"/>
  <c r="BL528" i="3"/>
  <c r="AZ528" i="3" s="1"/>
  <c r="BL526" i="3"/>
  <c r="AZ526" i="3" s="1"/>
  <c r="BL524" i="3"/>
  <c r="AZ524" i="3" s="1"/>
  <c r="BA522" i="3"/>
  <c r="AZ522" i="3" s="1"/>
  <c r="BL519" i="3"/>
  <c r="BA519" i="3"/>
  <c r="BA515" i="3"/>
  <c r="AZ515" i="3" s="1"/>
  <c r="BL511" i="3"/>
  <c r="BA511" i="3"/>
  <c r="BL509" i="3"/>
  <c r="AZ509" i="3" s="1"/>
  <c r="BL505" i="3"/>
  <c r="BA505" i="3"/>
  <c r="BL504" i="3"/>
  <c r="AZ504" i="3" s="1"/>
  <c r="BA497" i="3"/>
  <c r="AZ497" i="3" s="1"/>
  <c r="BL496" i="3"/>
  <c r="AZ496" i="3" s="1"/>
  <c r="BA494" i="3"/>
  <c r="AZ494"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AZ458" i="3"/>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AZ434" i="3"/>
  <c r="AZ443" i="3"/>
  <c r="AZ445" i="3"/>
  <c r="AZ446" i="3"/>
  <c r="AZ449" i="3"/>
  <c r="AZ450"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469" i="3"/>
  <c r="AZ486" i="3"/>
  <c r="AZ487"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N104"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s="1"/>
  <c r="N109" i="43"/>
  <c r="F100" i="43"/>
  <c r="H17" i="43"/>
  <c r="D9" i="53"/>
  <c r="B25" i="72" s="1"/>
  <c r="B24" i="72"/>
  <c r="G6" i="1"/>
  <c r="H85" i="43"/>
  <c r="H81" i="43"/>
  <c r="H84" i="43"/>
  <c r="H88" i="43"/>
  <c r="H53" i="43"/>
  <c r="G53" i="43" s="1"/>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1" i="43"/>
  <c r="G51" i="43" s="1"/>
  <c r="H76" i="43"/>
  <c r="H72" i="43"/>
  <c r="H77" i="43"/>
  <c r="L20" i="6"/>
  <c r="E62"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77"/>
  <c r="F16" i="15"/>
  <c r="F43" i="67"/>
  <c r="M9" i="15"/>
  <c r="C76" i="15"/>
  <c r="F40" i="67"/>
  <c r="M29" i="67"/>
  <c r="F8" i="15"/>
  <c r="M22" i="67"/>
  <c r="F37" i="15"/>
  <c r="M23" i="15"/>
  <c r="M24" i="67"/>
  <c r="M6" i="67"/>
  <c r="F6" i="67"/>
  <c r="M24" i="15"/>
  <c r="F9" i="15"/>
  <c r="G1" i="73"/>
  <c r="L47" i="15"/>
  <c r="J15" i="67"/>
  <c r="F26" i="67"/>
  <c r="F40" i="15"/>
  <c r="F36" i="67"/>
  <c r="L48" i="15"/>
  <c r="F7" i="67"/>
  <c r="F43" i="15"/>
  <c r="F16" i="67"/>
  <c r="F38" i="15"/>
  <c r="M8" i="15"/>
  <c r="M26" i="15"/>
  <c r="F43" i="77"/>
  <c r="J15" i="15"/>
  <c r="F42" i="67"/>
  <c r="F6" i="15"/>
  <c r="F36" i="15"/>
  <c r="L48" i="67"/>
  <c r="M29" i="15"/>
  <c r="M26" i="67"/>
  <c r="F38" i="67"/>
  <c r="F7" i="15"/>
  <c r="F37" i="67"/>
  <c r="F9" i="67"/>
  <c r="M28" i="15"/>
  <c r="M28" i="67"/>
  <c r="F42" i="15"/>
  <c r="L47" i="67"/>
  <c r="F13" i="15"/>
  <c r="F8" i="67"/>
  <c r="M23" i="67"/>
  <c r="F7" i="77"/>
  <c r="M8" i="67"/>
  <c r="M22" i="15"/>
  <c r="M6" i="15"/>
  <c r="F26" i="15"/>
  <c r="M9" i="67"/>
  <c r="C76" i="67"/>
  <c r="F13" i="67"/>
  <c r="M51" i="43" l="1"/>
  <c r="N51" i="43" s="1"/>
  <c r="K51" i="43"/>
  <c r="J51" i="43" s="1"/>
  <c r="D51" i="43" s="1"/>
  <c r="M53" i="43"/>
  <c r="N53" i="43" s="1"/>
  <c r="K53" i="43"/>
  <c r="J53" i="43" s="1"/>
  <c r="D53" i="43" s="1"/>
  <c r="F53" i="9"/>
  <c r="M18" i="84"/>
  <c r="F32" i="84"/>
  <c r="F60" i="84" s="1"/>
  <c r="F28" i="84"/>
  <c r="C28" i="84" s="1"/>
  <c r="D68" i="82"/>
  <c r="F54" i="82"/>
  <c r="F53" i="82"/>
  <c r="F52" i="82"/>
  <c r="M18" i="77"/>
  <c r="F32" i="77"/>
  <c r="F60" i="77" s="1"/>
  <c r="F28" i="77"/>
  <c r="C28" i="77" s="1"/>
  <c r="C77" i="82"/>
  <c r="C74" i="82" s="1"/>
  <c r="AZ505" i="3"/>
  <c r="AZ519" i="3"/>
  <c r="AZ564" i="3"/>
  <c r="AZ566" i="3"/>
  <c r="AZ506" i="3"/>
  <c r="AZ514" i="3"/>
  <c r="AZ521" i="3"/>
  <c r="AZ561" i="3"/>
  <c r="AZ95" i="3"/>
  <c r="AZ54" i="3"/>
  <c r="AZ50" i="3"/>
  <c r="AZ33" i="3"/>
  <c r="AZ31" i="3"/>
  <c r="AZ20" i="3"/>
  <c r="AZ170" i="3"/>
  <c r="AZ117" i="3"/>
  <c r="AZ461" i="3"/>
  <c r="AZ251" i="3"/>
  <c r="AZ214" i="3"/>
  <c r="AZ395" i="3"/>
  <c r="AZ353" i="3"/>
  <c r="AZ495" i="3"/>
  <c r="C58" i="33"/>
  <c r="D58" i="33" s="1"/>
  <c r="E58" i="33" s="1"/>
  <c r="F58" i="33" s="1"/>
  <c r="G58" i="33" s="1"/>
  <c r="H58" i="33" s="1"/>
  <c r="I58" i="33" s="1"/>
  <c r="J58" i="33" s="1"/>
  <c r="K58" i="33" s="1"/>
  <c r="L58" i="33" s="1"/>
  <c r="M58" i="33" s="1"/>
  <c r="N58" i="33" s="1"/>
  <c r="O58" i="33" s="1"/>
  <c r="E7" i="33"/>
  <c r="M50" i="43"/>
  <c r="N50" i="43" s="1"/>
  <c r="K50" i="43"/>
  <c r="J50" i="43" s="1"/>
  <c r="D50" i="43" s="1"/>
  <c r="M20" i="78"/>
  <c r="O19" i="78"/>
  <c r="C19" i="78"/>
  <c r="C34" i="78"/>
  <c r="T2" i="78"/>
  <c r="V2" i="78" s="1"/>
  <c r="T12" i="78"/>
  <c r="V12" i="78" s="1"/>
  <c r="C36" i="78"/>
  <c r="T4" i="78"/>
  <c r="V4" i="78" s="1"/>
  <c r="T14" i="78"/>
  <c r="V14" i="78" s="1"/>
  <c r="C33" i="78"/>
  <c r="T7" i="78"/>
  <c r="V7" i="78" s="1"/>
  <c r="T16" i="78"/>
  <c r="V16" i="78" s="1"/>
  <c r="C35" i="78"/>
  <c r="T3" i="78"/>
  <c r="V3" i="78" s="1"/>
  <c r="C29" i="78"/>
  <c r="T10" i="78"/>
  <c r="V10" i="78" s="1"/>
  <c r="T5" i="78"/>
  <c r="V5" i="78" s="1"/>
  <c r="C37" i="78"/>
  <c r="T11" i="78"/>
  <c r="V11" i="78" s="1"/>
  <c r="T6" i="78"/>
  <c r="V6" i="78" s="1"/>
  <c r="C38" i="78"/>
  <c r="T13" i="78"/>
  <c r="V13" i="78" s="1"/>
  <c r="T8" i="78"/>
  <c r="V8" i="78" s="1"/>
  <c r="C39" i="78"/>
  <c r="T15" i="78"/>
  <c r="V15" i="78" s="1"/>
  <c r="T9" i="78"/>
  <c r="V9" i="78" s="1"/>
  <c r="G109" i="43"/>
  <c r="AR10" i="1"/>
  <c r="N107" i="43"/>
  <c r="J106" i="43"/>
  <c r="K105" i="43"/>
  <c r="G106" i="43"/>
  <c r="G104" i="43"/>
  <c r="G107" i="43"/>
  <c r="K102" i="43"/>
  <c r="J102" i="43"/>
  <c r="J107" i="43"/>
  <c r="N105" i="43"/>
  <c r="D22" i="43"/>
  <c r="F27" i="6"/>
  <c r="F31" i="6" s="1"/>
  <c r="E51" i="40"/>
  <c r="E56" i="39"/>
  <c r="M7" i="77"/>
  <c r="F50" i="77"/>
  <c r="F71" i="77"/>
  <c r="W11" i="39"/>
  <c r="AC11" i="39"/>
  <c r="U31" i="39"/>
  <c r="U34" i="39"/>
  <c r="AB34" i="39"/>
  <c r="AC44" i="39"/>
  <c r="W44" i="39"/>
  <c r="H56" i="43"/>
  <c r="G56" i="43" s="1"/>
  <c r="H55" i="43"/>
  <c r="G55" i="43" s="1"/>
  <c r="H54" i="43"/>
  <c r="G54" i="43" s="1"/>
  <c r="H52" i="43"/>
  <c r="G52" i="43" s="1"/>
  <c r="H49" i="43"/>
  <c r="G49" i="43" s="1"/>
  <c r="H48" i="43"/>
  <c r="G48" i="43" s="1"/>
  <c r="E56" i="40"/>
  <c r="T10" i="1"/>
  <c r="C4" i="4"/>
  <c r="E4" i="4"/>
  <c r="B5" i="62" s="1"/>
  <c r="B73" i="72" s="1"/>
  <c r="AZ511" i="3"/>
  <c r="AZ534" i="3"/>
  <c r="AZ556" i="3"/>
  <c r="AA40" i="40"/>
  <c r="S40" i="40"/>
  <c r="AB38" i="40"/>
  <c r="U38" i="40"/>
  <c r="U27" i="37"/>
  <c r="AB27" i="37"/>
  <c r="AZ542" i="3"/>
  <c r="AZ574" i="3"/>
  <c r="AZ580" i="3"/>
  <c r="AZ581" i="3"/>
  <c r="AC25" i="37"/>
  <c r="W25" i="37"/>
  <c r="AC47" i="34"/>
  <c r="W47" i="34"/>
  <c r="S44" i="33"/>
  <c r="AA44" i="33"/>
  <c r="U12" i="33"/>
  <c r="AB12" i="33"/>
  <c r="AB13" i="37"/>
  <c r="U13" i="37"/>
  <c r="W33" i="40"/>
  <c r="AC33" i="40"/>
  <c r="AC31" i="40"/>
  <c r="W31" i="40"/>
  <c r="S39" i="37"/>
  <c r="AA39" i="37"/>
  <c r="W40" i="40"/>
  <c r="AC40" i="40"/>
  <c r="AA38" i="40"/>
  <c r="S38" i="40"/>
  <c r="AC32" i="36"/>
  <c r="W32" i="36"/>
  <c r="AC32" i="40"/>
  <c r="W32" i="40"/>
  <c r="AA31" i="39"/>
  <c r="S31" i="39"/>
  <c r="U25" i="37"/>
  <c r="AB25" i="37"/>
  <c r="AC31" i="34"/>
  <c r="W31" i="34"/>
  <c r="U13" i="34"/>
  <c r="AB13" i="34"/>
  <c r="AB39" i="37"/>
  <c r="U39" i="37"/>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59" i="67"/>
  <c r="F59" i="15"/>
  <c r="M17" i="67"/>
  <c r="F31" i="15"/>
  <c r="M17" i="15"/>
  <c r="F31" i="67"/>
  <c r="M27" i="77"/>
  <c r="F36" i="77"/>
  <c r="F9" i="77"/>
  <c r="M8" i="77"/>
  <c r="M24" i="77"/>
  <c r="L47" i="77"/>
  <c r="J15" i="77"/>
  <c r="L48" i="77"/>
  <c r="F37" i="77"/>
  <c r="F38" i="77"/>
  <c r="C76" i="77"/>
  <c r="M9" i="77"/>
  <c r="M27" i="84"/>
  <c r="M8" i="84"/>
  <c r="F7" i="84"/>
  <c r="L47" i="84"/>
  <c r="M26" i="84"/>
  <c r="M6" i="84"/>
  <c r="F42" i="84"/>
  <c r="F26" i="84"/>
  <c r="F6" i="84"/>
  <c r="C76" i="84"/>
  <c r="F38" i="84"/>
  <c r="M23" i="84"/>
  <c r="F8" i="84"/>
  <c r="C16" i="67"/>
  <c r="C16" i="15"/>
  <c r="F26" i="77"/>
  <c r="M6" i="77"/>
  <c r="F13" i="77"/>
  <c r="M28" i="77"/>
  <c r="F6" i="77"/>
  <c r="M26" i="77"/>
  <c r="F42" i="77"/>
  <c r="F16" i="77"/>
  <c r="M23" i="77"/>
  <c r="F40" i="77"/>
  <c r="M22" i="77"/>
  <c r="F8" i="77"/>
  <c r="L48" i="84"/>
  <c r="J15" i="84"/>
  <c r="M22" i="84"/>
  <c r="F43" i="84"/>
  <c r="F36" i="84"/>
  <c r="F16" i="84"/>
  <c r="M28" i="84"/>
  <c r="F37" i="84"/>
  <c r="F13" i="84"/>
  <c r="M24" i="84"/>
  <c r="F40" i="84"/>
  <c r="M29" i="84"/>
  <c r="M9" i="84"/>
  <c r="F9" i="84"/>
  <c r="F68" i="84" l="1"/>
  <c r="F65" i="84"/>
  <c r="F64" i="84"/>
  <c r="F71" i="84"/>
  <c r="L56" i="84"/>
  <c r="L60" i="84"/>
  <c r="L57" i="84"/>
  <c r="J57" i="84"/>
  <c r="J55" i="84" s="1"/>
  <c r="J58" i="84" s="1"/>
  <c r="Q50" i="84" s="1"/>
  <c r="J53" i="84"/>
  <c r="I54" i="84"/>
  <c r="F51" i="77"/>
  <c r="F68" i="77"/>
  <c r="C6" i="77"/>
  <c r="C10" i="77" s="1"/>
  <c r="C5" i="77" s="1"/>
  <c r="C27" i="77"/>
  <c r="F51" i="84"/>
  <c r="F66" i="84"/>
  <c r="Q71" i="84"/>
  <c r="C6" i="84"/>
  <c r="C10" i="84" s="1"/>
  <c r="C5" i="84" s="1"/>
  <c r="C27" i="84"/>
  <c r="F70" i="84"/>
  <c r="N59" i="84"/>
  <c r="L58" i="84"/>
  <c r="M59" i="84"/>
  <c r="L59" i="84"/>
  <c r="F50" i="84"/>
  <c r="M7" i="84"/>
  <c r="J6" i="84" s="1"/>
  <c r="J5" i="84" s="1"/>
  <c r="Q71" i="77"/>
  <c r="F66" i="77"/>
  <c r="F65" i="77"/>
  <c r="J57" i="77"/>
  <c r="J55" i="77" s="1"/>
  <c r="J58" i="77" s="1"/>
  <c r="Q50" i="77" s="1"/>
  <c r="I54" i="77"/>
  <c r="J53" i="77"/>
  <c r="L56" i="77"/>
  <c r="L59" i="77"/>
  <c r="N59" i="77"/>
  <c r="L58" i="77"/>
  <c r="M59" i="77"/>
  <c r="F64" i="77"/>
  <c r="M48" i="43"/>
  <c r="N48" i="43" s="1"/>
  <c r="K48" i="43"/>
  <c r="J48" i="43" s="1"/>
  <c r="D48" i="43" s="1"/>
  <c r="M52" i="43"/>
  <c r="N52" i="43" s="1"/>
  <c r="K52" i="43"/>
  <c r="J52" i="43" s="1"/>
  <c r="D52" i="43" s="1"/>
  <c r="M55" i="43"/>
  <c r="N55" i="43" s="1"/>
  <c r="K55" i="43"/>
  <c r="J55" i="43" s="1"/>
  <c r="D55" i="43" s="1"/>
  <c r="J6" i="77"/>
  <c r="J10" i="77" s="1"/>
  <c r="J5" i="77" s="1"/>
  <c r="J24" i="77" s="1"/>
  <c r="M49" i="43"/>
  <c r="N49" i="43" s="1"/>
  <c r="K49" i="43"/>
  <c r="J49" i="43" s="1"/>
  <c r="D49" i="43" s="1"/>
  <c r="M54" i="43"/>
  <c r="N54" i="43" s="1"/>
  <c r="K54" i="43"/>
  <c r="J54" i="43" s="1"/>
  <c r="D54" i="43" s="1"/>
  <c r="M56" i="43"/>
  <c r="N56" i="43" s="1"/>
  <c r="K56" i="43"/>
  <c r="J56" i="43" s="1"/>
  <c r="D56" i="43" s="1"/>
  <c r="C49" i="77"/>
  <c r="C48" i="77" s="1"/>
  <c r="I7" i="33"/>
  <c r="G7" i="33"/>
  <c r="F24" i="77"/>
  <c r="C24" i="77" s="1"/>
  <c r="F24" i="84"/>
  <c r="E38" i="78"/>
  <c r="G38" i="78"/>
  <c r="I38" i="78" s="1"/>
  <c r="E29" i="78"/>
  <c r="C30" i="78"/>
  <c r="E30" i="78" s="1"/>
  <c r="G35" i="78"/>
  <c r="I35" i="78" s="1"/>
  <c r="E35" i="78"/>
  <c r="G36" i="78"/>
  <c r="I36" i="78" s="1"/>
  <c r="E36" i="78"/>
  <c r="G39" i="78"/>
  <c r="I39" i="78" s="1"/>
  <c r="E39" i="78"/>
  <c r="E37" i="78"/>
  <c r="G37" i="78"/>
  <c r="I37" i="78" s="1"/>
  <c r="E33" i="78"/>
  <c r="G33" i="78"/>
  <c r="I33" i="78" s="1"/>
  <c r="E34" i="78"/>
  <c r="G34" i="78"/>
  <c r="I34" i="78" s="1"/>
  <c r="E27" i="6"/>
  <c r="K16" i="1"/>
  <c r="O7" i="1"/>
  <c r="C66" i="77"/>
  <c r="C60" i="77"/>
  <c r="C38" i="77"/>
  <c r="C32" i="77"/>
  <c r="J26" i="77"/>
  <c r="D5" i="43"/>
  <c r="K4" i="4"/>
  <c r="B46" i="48" s="1"/>
  <c r="B4" i="72" s="1"/>
  <c r="B4" i="62"/>
  <c r="B71" i="72" s="1"/>
  <c r="C30" i="69"/>
  <c r="L59" i="15"/>
  <c r="Q74" i="15" s="1"/>
  <c r="C30" i="11"/>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16" i="84"/>
  <c r="C16" i="77"/>
  <c r="J18" i="77" l="1"/>
  <c r="E48" i="43"/>
  <c r="B46" i="43" s="1"/>
  <c r="C24" i="43" s="1"/>
  <c r="Q60" i="77"/>
  <c r="Q73" i="77"/>
  <c r="Q61" i="77"/>
  <c r="Q74" i="77"/>
  <c r="Q52" i="77"/>
  <c r="F1" i="77"/>
  <c r="J18" i="84"/>
  <c r="J24" i="84"/>
  <c r="J26" i="84"/>
  <c r="Q74" i="84"/>
  <c r="Q61" i="84"/>
  <c r="Q73" i="84"/>
  <c r="Q60" i="84"/>
  <c r="C33" i="84"/>
  <c r="C38" i="84"/>
  <c r="C32" i="84"/>
  <c r="Q52" i="84"/>
  <c r="F1" i="84"/>
  <c r="C49" i="84"/>
  <c r="C48" i="84" s="1"/>
  <c r="Q57" i="84"/>
  <c r="Q66" i="84"/>
  <c r="B16" i="74"/>
  <c r="B1" i="74" s="1"/>
  <c r="C24" i="84"/>
  <c r="C27" i="78"/>
  <c r="C26" i="78"/>
  <c r="B2" i="78" s="1"/>
  <c r="B3" i="78" s="1"/>
  <c r="K20" i="6"/>
  <c r="K21" i="6"/>
  <c r="K22" i="6"/>
  <c r="K25" i="6"/>
  <c r="M25" i="6" s="1"/>
  <c r="I25" i="6" s="1"/>
  <c r="S25" i="6" s="1"/>
  <c r="K24" i="6"/>
  <c r="M24" i="6" s="1"/>
  <c r="I24" i="6" s="1"/>
  <c r="S24" i="6" s="1"/>
  <c r="K26" i="6"/>
  <c r="M26" i="6" s="1"/>
  <c r="I26" i="6" s="1"/>
  <c r="S26" i="6" s="1"/>
  <c r="K19" i="6"/>
  <c r="K23" i="6"/>
  <c r="M23" i="6" s="1"/>
  <c r="I23" i="6" s="1"/>
  <c r="S23" i="6" s="1"/>
  <c r="E31" i="6"/>
  <c r="C34" i="43"/>
  <c r="E34" i="43" s="1"/>
  <c r="Q61" i="15"/>
  <c r="AA7" i="36"/>
  <c r="R36" i="36" s="1"/>
  <c r="E36" i="36" s="1"/>
  <c r="E40" i="36" s="1"/>
  <c r="F40" i="36" s="1"/>
  <c r="AC11" i="37"/>
  <c r="W11" i="37"/>
  <c r="AB7" i="37"/>
  <c r="T42" i="37" s="1"/>
  <c r="G42" i="37" s="1"/>
  <c r="G46" i="37" s="1"/>
  <c r="H46" i="37" s="1"/>
  <c r="W11" i="34"/>
  <c r="AC11" i="34"/>
  <c r="J5" i="67"/>
  <c r="J5" i="15"/>
  <c r="AB7" i="36"/>
  <c r="T36" i="36" s="1"/>
  <c r="C38" i="15"/>
  <c r="E6" i="3"/>
  <c r="C47" i="68"/>
  <c r="D45" i="68" s="1"/>
  <c r="AA10" i="39"/>
  <c r="D10" i="68"/>
  <c r="D10" i="11"/>
  <c r="C10" i="11" s="1"/>
  <c r="D20" i="12"/>
  <c r="C20" i="12" s="1"/>
  <c r="C18" i="12" s="1"/>
  <c r="D19" i="6"/>
  <c r="D25" i="6"/>
  <c r="D26" i="6"/>
  <c r="D15" i="6"/>
  <c r="C18" i="4"/>
  <c r="D22" i="6"/>
  <c r="D8" i="6"/>
  <c r="D21" i="6"/>
  <c r="D23" i="6"/>
  <c r="D24" i="6"/>
  <c r="D14" i="6"/>
  <c r="D20" i="6"/>
  <c r="D5" i="6"/>
  <c r="D6" i="6"/>
  <c r="D12" i="6"/>
  <c r="D9" i="6"/>
  <c r="D11" i="6"/>
  <c r="D10" i="6"/>
  <c r="D13" i="6"/>
  <c r="D28" i="6"/>
  <c r="D29" i="6"/>
  <c r="E61" i="40"/>
  <c r="H25" i="6"/>
  <c r="H23"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AE9" i="1"/>
  <c r="C66" i="84" l="1"/>
  <c r="C60" i="84"/>
  <c r="C38" i="43"/>
  <c r="T11" i="43"/>
  <c r="V11" i="43" s="1"/>
  <c r="T14" i="43"/>
  <c r="V14" i="43" s="1"/>
  <c r="T9" i="43"/>
  <c r="V9" i="43" s="1"/>
  <c r="T7" i="43"/>
  <c r="V7" i="43" s="1"/>
  <c r="T8" i="43"/>
  <c r="V8" i="43" s="1"/>
  <c r="T13" i="43"/>
  <c r="V13" i="43" s="1"/>
  <c r="T5" i="43"/>
  <c r="V5" i="43" s="1"/>
  <c r="T4" i="43"/>
  <c r="C37" i="43"/>
  <c r="C33" i="43"/>
  <c r="C29" i="43"/>
  <c r="T16" i="43"/>
  <c r="V16" i="43" s="1"/>
  <c r="T12" i="43"/>
  <c r="V12" i="43" s="1"/>
  <c r="T3" i="43"/>
  <c r="T2" i="43"/>
  <c r="V2" i="43" s="1"/>
  <c r="T15" i="43"/>
  <c r="V15" i="43" s="1"/>
  <c r="T10" i="43"/>
  <c r="V10" i="43" s="1"/>
  <c r="T6" i="43"/>
  <c r="V6" i="43" s="1"/>
  <c r="C39" i="43"/>
  <c r="I41" i="36"/>
  <c r="J41" i="36" s="1"/>
  <c r="M19" i="9"/>
  <c r="C118" i="9" s="1"/>
  <c r="C14" i="74" s="1"/>
  <c r="B2" i="74" s="1"/>
  <c r="C35" i="43"/>
  <c r="E35" i="43" s="1"/>
  <c r="C36" i="43"/>
  <c r="M21" i="6"/>
  <c r="I21" i="6" s="1"/>
  <c r="S8" i="1"/>
  <c r="E8" i="70" s="1"/>
  <c r="S6" i="1"/>
  <c r="M19" i="6"/>
  <c r="K27" i="6"/>
  <c r="M22" i="6"/>
  <c r="I22" i="6" s="1"/>
  <c r="S9" i="1"/>
  <c r="S7" i="1"/>
  <c r="M20" i="6"/>
  <c r="I20" i="6" s="1"/>
  <c r="R25" i="6"/>
  <c r="M19" i="82"/>
  <c r="C118" i="82" s="1"/>
  <c r="AA7" i="34"/>
  <c r="R49" i="34" s="1"/>
  <c r="G34" i="43"/>
  <c r="I34" i="43" s="1"/>
  <c r="G35" i="43"/>
  <c r="I35" i="43" s="1"/>
  <c r="C33" i="77"/>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E6" i="76"/>
  <c r="C14" i="84"/>
  <c r="C17" i="84"/>
  <c r="C17" i="15"/>
  <c r="C17" i="77"/>
  <c r="C18" i="84" l="1"/>
  <c r="C15" i="84"/>
  <c r="V3" i="43"/>
  <c r="C40" i="43"/>
  <c r="E40" i="43" s="1"/>
  <c r="G33" i="43"/>
  <c r="I33" i="43" s="1"/>
  <c r="E33" i="43"/>
  <c r="V4" i="43"/>
  <c r="C41" i="43"/>
  <c r="E41" i="43" s="1"/>
  <c r="G38" i="43"/>
  <c r="I38" i="43" s="1"/>
  <c r="E38" i="43"/>
  <c r="E9" i="70"/>
  <c r="E36" i="43"/>
  <c r="G36" i="43"/>
  <c r="I36" i="43" s="1"/>
  <c r="E39" i="43"/>
  <c r="G39" i="43"/>
  <c r="I39" i="43" s="1"/>
  <c r="E29" i="43"/>
  <c r="C30" i="43"/>
  <c r="E30" i="43" s="1"/>
  <c r="C27" i="43" s="1"/>
  <c r="G37" i="43"/>
  <c r="I37" i="43" s="1"/>
  <c r="E37" i="43"/>
  <c r="E7" i="70"/>
  <c r="AR7" i="1"/>
  <c r="AQ7" i="1"/>
  <c r="T7" i="1"/>
  <c r="S22" i="6"/>
  <c r="H22" i="6"/>
  <c r="R22" i="6" s="1"/>
  <c r="R9" i="1" s="1"/>
  <c r="I19" i="6"/>
  <c r="M27" i="6"/>
  <c r="AR8" i="1"/>
  <c r="T8" i="1"/>
  <c r="AQ8" i="1"/>
  <c r="C35" i="11"/>
  <c r="C33" i="11" s="1"/>
  <c r="C42" i="11" s="1"/>
  <c r="L18" i="82"/>
  <c r="S20" i="6"/>
  <c r="H20" i="6"/>
  <c r="AR9" i="1"/>
  <c r="AQ9" i="1"/>
  <c r="T9" i="1"/>
  <c r="AQ6" i="1"/>
  <c r="AR6" i="1"/>
  <c r="T6" i="1"/>
  <c r="E6" i="70"/>
  <c r="S21" i="6"/>
  <c r="H21" i="6"/>
  <c r="R21" i="6" s="1"/>
  <c r="R8" i="1" s="1"/>
  <c r="R50" i="34"/>
  <c r="C49" i="34" s="1"/>
  <c r="E49" i="34"/>
  <c r="I54" i="34" s="1"/>
  <c r="J54" i="34" s="1"/>
  <c r="D31" i="6"/>
  <c r="I6" i="6" s="1"/>
  <c r="E2" i="76"/>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F35" i="84"/>
  <c r="B6" i="76"/>
  <c r="M21" i="67"/>
  <c r="M21" i="84"/>
  <c r="C14" i="77"/>
  <c r="F35" i="67"/>
  <c r="C26" i="43" l="1"/>
  <c r="B2" i="43" s="1"/>
  <c r="C19" i="84"/>
  <c r="C20" i="84"/>
  <c r="C26" i="84" s="1"/>
  <c r="F63" i="84"/>
  <c r="C62" i="84" s="1"/>
  <c r="C34" i="84"/>
  <c r="C31" i="84" s="1"/>
  <c r="J20" i="84"/>
  <c r="C18" i="77"/>
  <c r="C15" i="77"/>
  <c r="R20" i="6"/>
  <c r="R7" i="1" s="1"/>
  <c r="L19" i="82"/>
  <c r="L18" i="9"/>
  <c r="H19" i="6"/>
  <c r="I27" i="6"/>
  <c r="S19" i="6"/>
  <c r="S27" i="6" s="1"/>
  <c r="C50" i="34"/>
  <c r="E53" i="34"/>
  <c r="F53" i="34" s="1"/>
  <c r="I5" i="6"/>
  <c r="B2" i="76"/>
  <c r="B3" i="76" s="1"/>
  <c r="B3" i="43"/>
  <c r="C49" i="21"/>
  <c r="F63" i="67"/>
  <c r="C62" i="67" s="1"/>
  <c r="C34" i="67"/>
  <c r="J20" i="67"/>
  <c r="C24" i="68"/>
  <c r="C22" i="12"/>
  <c r="C30" i="12" s="1"/>
  <c r="C28" i="12" s="1"/>
  <c r="C33" i="68"/>
  <c r="I63" i="40"/>
  <c r="H65" i="40"/>
  <c r="C39" i="11"/>
  <c r="C43" i="11" s="1"/>
  <c r="C41" i="11" s="1"/>
  <c r="I70" i="39"/>
  <c r="M21" i="77"/>
  <c r="F35" i="77"/>
  <c r="C23" i="84" l="1"/>
  <c r="C29" i="84" s="1"/>
  <c r="C19" i="77"/>
  <c r="C20" i="77" s="1"/>
  <c r="C23" i="77" s="1"/>
  <c r="C34" i="77"/>
  <c r="C31" i="77" s="1"/>
  <c r="F63" i="77"/>
  <c r="C62" i="77" s="1"/>
  <c r="J20" i="77"/>
  <c r="L19" i="9"/>
  <c r="H27" i="6"/>
  <c r="R19" i="6"/>
  <c r="L57" i="77"/>
  <c r="L60" i="77" s="1"/>
  <c r="C27" i="12"/>
  <c r="C25" i="12" s="1"/>
  <c r="C32" i="12" s="1"/>
  <c r="B2" i="12" s="1"/>
  <c r="B3" i="12" s="1"/>
  <c r="C39" i="68"/>
  <c r="C43" i="68" s="1"/>
  <c r="C42" i="68"/>
  <c r="J63" i="40"/>
  <c r="I65" i="40"/>
  <c r="C46" i="11"/>
  <c r="C45" i="11" s="1"/>
  <c r="C49" i="11" s="1"/>
  <c r="C51" i="11" s="1"/>
  <c r="C52" i="11" s="1"/>
  <c r="B2" i="11" s="1"/>
  <c r="B3" i="11" s="1"/>
  <c r="J70" i="39"/>
  <c r="C36" i="84" l="1"/>
  <c r="J19" i="84"/>
  <c r="J17" i="84" s="1"/>
  <c r="C13" i="84"/>
  <c r="Q49" i="84"/>
  <c r="C57" i="84"/>
  <c r="J14" i="84"/>
  <c r="J59" i="84"/>
  <c r="J60" i="84" s="1"/>
  <c r="C26" i="77"/>
  <c r="C29" i="77" s="1"/>
  <c r="C57" i="77" s="1"/>
  <c r="R27" i="6"/>
  <c r="R6" i="1"/>
  <c r="Q66" i="77"/>
  <c r="Q57" i="77"/>
  <c r="C41" i="68"/>
  <c r="C46" i="68"/>
  <c r="C45" i="68" s="1"/>
  <c r="K63" i="40"/>
  <c r="J65" i="40"/>
  <c r="K70" i="39"/>
  <c r="C56" i="11"/>
  <c r="C57" i="11" s="1"/>
  <c r="F35" i="15"/>
  <c r="M21" i="15"/>
  <c r="L46" i="84" l="1"/>
  <c r="Q48" i="84"/>
  <c r="C61" i="84"/>
  <c r="C59" i="84" s="1"/>
  <c r="C58" i="84" s="1"/>
  <c r="C67" i="84" s="1"/>
  <c r="C64" i="84"/>
  <c r="Q70" i="84"/>
  <c r="C37" i="84"/>
  <c r="C75" i="84"/>
  <c r="C56" i="84"/>
  <c r="C65" i="84" s="1"/>
  <c r="C30" i="84"/>
  <c r="C39" i="84" s="1"/>
  <c r="J13" i="84"/>
  <c r="J23" i="84" s="1"/>
  <c r="J22" i="84"/>
  <c r="J16" i="84" s="1"/>
  <c r="J25" i="84" s="1"/>
  <c r="J59" i="77"/>
  <c r="J60" i="77" s="1"/>
  <c r="Q48" i="77" s="1"/>
  <c r="C36" i="77"/>
  <c r="C13" i="77"/>
  <c r="C37" i="77" s="1"/>
  <c r="Q49" i="77"/>
  <c r="J19" i="77"/>
  <c r="J17" i="77" s="1"/>
  <c r="J14" i="77"/>
  <c r="J13" i="77" s="1"/>
  <c r="J23" i="77" s="1"/>
  <c r="F63" i="15"/>
  <c r="C62" i="15" s="1"/>
  <c r="C34" i="15"/>
  <c r="J20" i="15"/>
  <c r="R16" i="1"/>
  <c r="C61" i="77"/>
  <c r="C59" i="77" s="1"/>
  <c r="C64" i="77"/>
  <c r="C49" i="68"/>
  <c r="C51" i="68" s="1"/>
  <c r="L63" i="40"/>
  <c r="K65" i="40"/>
  <c r="L70" i="39"/>
  <c r="E2" i="70"/>
  <c r="C34" i="69"/>
  <c r="C17" i="67"/>
  <c r="Q69" i="84" l="1"/>
  <c r="Q68" i="84" s="1"/>
  <c r="C80" i="84"/>
  <c r="C79" i="84" s="1"/>
  <c r="J22" i="77"/>
  <c r="C30" i="77"/>
  <c r="C39" i="77" s="1"/>
  <c r="Q69" i="77" s="1"/>
  <c r="Q70" i="77"/>
  <c r="C56" i="77"/>
  <c r="C65" i="77" s="1"/>
  <c r="L46" i="77"/>
  <c r="C75" i="77"/>
  <c r="C80" i="77" s="1"/>
  <c r="C79" i="77" s="1"/>
  <c r="J16" i="77"/>
  <c r="J25" i="77" s="1"/>
  <c r="C58" i="77"/>
  <c r="C67" i="77" s="1"/>
  <c r="M63" i="40"/>
  <c r="L65" i="40"/>
  <c r="M70" i="39"/>
  <c r="C35" i="69"/>
  <c r="C38" i="69"/>
  <c r="D10" i="69"/>
  <c r="L51" i="84"/>
  <c r="Q67" i="84" l="1"/>
  <c r="Q68" i="77"/>
  <c r="N63" i="40"/>
  <c r="M65" i="40"/>
  <c r="O70" i="39"/>
  <c r="N70" i="39"/>
  <c r="D19" i="69"/>
  <c r="C10" i="69"/>
  <c r="C8" i="69" s="1"/>
  <c r="C5" i="69" s="1"/>
  <c r="L51" i="77"/>
  <c r="Q67" i="77" l="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77"/>
  <c r="AE8" i="1"/>
  <c r="L51" i="15"/>
  <c r="F69" i="77" l="1"/>
  <c r="C68" i="77" s="1"/>
  <c r="J29" i="77"/>
  <c r="C40" i="77"/>
  <c r="C66" i="15"/>
  <c r="C60" i="15"/>
  <c r="C59" i="15" s="1"/>
  <c r="AG6" i="1"/>
  <c r="C80" i="15"/>
  <c r="C79" i="15" s="1"/>
  <c r="C65" i="15"/>
  <c r="Q68" i="15"/>
  <c r="L57" i="15"/>
  <c r="L60" i="15" s="1"/>
  <c r="Q67" i="15"/>
  <c r="M27" i="15"/>
  <c r="F41" i="15"/>
  <c r="F41" i="84"/>
  <c r="F41" i="67"/>
  <c r="M27" i="67"/>
  <c r="F69" i="84" l="1"/>
  <c r="C68" i="84" s="1"/>
  <c r="C71" i="84" s="1"/>
  <c r="C40" i="84"/>
  <c r="J29" i="84"/>
  <c r="Q65" i="84" s="1"/>
  <c r="Q75" i="84" s="1"/>
  <c r="C43" i="84"/>
  <c r="C83" i="84"/>
  <c r="C82" i="84" s="1"/>
  <c r="Q47" i="77"/>
  <c r="Q53" i="77" s="1"/>
  <c r="Q65" i="77"/>
  <c r="Q75" i="77" s="1"/>
  <c r="Q56" i="77"/>
  <c r="Q62" i="77" s="1"/>
  <c r="C43" i="77"/>
  <c r="B2" i="77"/>
  <c r="C83" i="77"/>
  <c r="C82" i="77" s="1"/>
  <c r="C71" i="77"/>
  <c r="C46" i="77"/>
  <c r="J26" i="15"/>
  <c r="J29" i="15" s="1"/>
  <c r="J26" i="67"/>
  <c r="J29" i="67" s="1"/>
  <c r="C58" i="15"/>
  <c r="C67" i="15" s="1"/>
  <c r="F69" i="15"/>
  <c r="C40" i="15"/>
  <c r="C43" i="15" s="1"/>
  <c r="L46" i="15"/>
  <c r="Q57" i="15"/>
  <c r="Q66" i="15"/>
  <c r="F69" i="67"/>
  <c r="C68" i="67" s="1"/>
  <c r="C71" i="67" s="1"/>
  <c r="C40" i="67"/>
  <c r="C83" i="67" s="1"/>
  <c r="C82" i="67" s="1"/>
  <c r="C45" i="84" l="1"/>
  <c r="C46" i="84" s="1"/>
  <c r="Q56" i="84"/>
  <c r="Q62" i="84" s="1"/>
  <c r="D2" i="84"/>
  <c r="B2" i="84" s="1"/>
  <c r="Q47" i="84"/>
  <c r="Q53" i="84" s="1"/>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E2" i="69"/>
  <c r="AO7" i="1"/>
  <c r="D19" i="82"/>
  <c r="AO8" i="1"/>
  <c r="AO6" i="1"/>
  <c r="B3" i="84" l="1"/>
  <c r="B9" i="70"/>
  <c r="D21" i="82"/>
  <c r="D102" i="82"/>
  <c r="B3" i="15"/>
  <c r="B8" i="70"/>
  <c r="B7" i="70"/>
  <c r="B6" i="70"/>
  <c r="C46" i="15"/>
  <c r="B2" i="69"/>
  <c r="B3" i="69" s="1"/>
  <c r="B3" i="67"/>
  <c r="D2" i="36"/>
  <c r="D2" i="33"/>
  <c r="D2" i="37"/>
  <c r="F20" i="31"/>
  <c r="D2" i="34"/>
  <c r="D20" i="82"/>
  <c r="E2" i="68"/>
  <c r="D2" i="21"/>
  <c r="D2" i="35"/>
  <c r="D103" i="82" l="1"/>
  <c r="X24" i="1"/>
  <c r="B2" i="36"/>
  <c r="B3" i="36" s="1"/>
  <c r="B2" i="35"/>
  <c r="B3" i="35" s="1"/>
  <c r="B2" i="37"/>
  <c r="B3" i="37" s="1"/>
  <c r="B2" i="34"/>
  <c r="B2" i="21"/>
  <c r="B3" i="21" s="1"/>
  <c r="B2" i="70"/>
  <c r="C19" i="82"/>
  <c r="D19" i="9"/>
  <c r="C21" i="82" l="1"/>
  <c r="C102" i="82"/>
  <c r="D22" i="82"/>
  <c r="G19" i="82"/>
  <c r="B3" i="34"/>
  <c r="B3" i="70"/>
  <c r="D102" i="9"/>
  <c r="D21" i="9"/>
  <c r="C20" i="82"/>
  <c r="D20" i="9"/>
  <c r="C103" i="82" l="1"/>
  <c r="G20" i="82"/>
  <c r="R24" i="83" s="1"/>
  <c r="G22" i="9"/>
  <c r="G21" i="82"/>
  <c r="C32" i="82"/>
  <c r="H118" i="82" s="1"/>
  <c r="C104" i="82" s="1"/>
  <c r="D103" i="9"/>
  <c r="H119" i="82" l="1"/>
  <c r="I118" i="82"/>
  <c r="H101" i="82"/>
  <c r="R80" i="83"/>
  <c r="S80" i="83" s="1"/>
  <c r="R88" i="83"/>
  <c r="S88" i="83" s="1"/>
  <c r="S24" i="83"/>
  <c r="R82" i="83"/>
  <c r="S82" i="83" s="1"/>
  <c r="R90" i="83"/>
  <c r="S90" i="83" s="1"/>
  <c r="R98" i="83"/>
  <c r="S98" i="83" s="1"/>
  <c r="R106" i="83"/>
  <c r="S106" i="83" s="1"/>
  <c r="R114" i="83"/>
  <c r="S114" i="83" s="1"/>
  <c r="R122" i="83"/>
  <c r="S122" i="83" s="1"/>
  <c r="R130" i="83"/>
  <c r="S130" i="83" s="1"/>
  <c r="R138" i="83"/>
  <c r="S138" i="83" s="1"/>
  <c r="R146" i="83"/>
  <c r="S146" i="83" s="1"/>
  <c r="R154" i="83"/>
  <c r="S154" i="83" s="1"/>
  <c r="R162" i="83"/>
  <c r="S162" i="83" s="1"/>
  <c r="R170" i="83"/>
  <c r="S170" i="83" s="1"/>
  <c r="R178" i="83"/>
  <c r="S178" i="83" s="1"/>
  <c r="R186" i="83"/>
  <c r="S186" i="83" s="1"/>
  <c r="R194" i="83"/>
  <c r="S194" i="83" s="1"/>
  <c r="R202" i="83"/>
  <c r="S202" i="83" s="1"/>
  <c r="R210" i="83"/>
  <c r="S210" i="83" s="1"/>
  <c r="R218" i="83"/>
  <c r="S218" i="83" s="1"/>
  <c r="R226" i="83"/>
  <c r="S226" i="83" s="1"/>
  <c r="R234" i="83"/>
  <c r="S234" i="83" s="1"/>
  <c r="R242" i="83"/>
  <c r="S242" i="83" s="1"/>
  <c r="R81" i="83"/>
  <c r="S81" i="83" s="1"/>
  <c r="R89" i="83"/>
  <c r="S89" i="83" s="1"/>
  <c r="R97" i="83"/>
  <c r="S97" i="83" s="1"/>
  <c r="R105" i="83"/>
  <c r="S105" i="83" s="1"/>
  <c r="R113" i="83"/>
  <c r="S113" i="83" s="1"/>
  <c r="R121" i="83"/>
  <c r="S121" i="83" s="1"/>
  <c r="R129" i="83"/>
  <c r="S129" i="83" s="1"/>
  <c r="R137" i="83"/>
  <c r="S137" i="83" s="1"/>
  <c r="R145" i="83"/>
  <c r="S145" i="83" s="1"/>
  <c r="R153" i="83"/>
  <c r="S153" i="83" s="1"/>
  <c r="R161" i="83"/>
  <c r="S161" i="83" s="1"/>
  <c r="R169" i="83"/>
  <c r="S169" i="83" s="1"/>
  <c r="R177" i="83"/>
  <c r="S177" i="83" s="1"/>
  <c r="R185" i="83"/>
  <c r="S185" i="83" s="1"/>
  <c r="R193" i="83"/>
  <c r="S193" i="83" s="1"/>
  <c r="R201" i="83"/>
  <c r="S201" i="83" s="1"/>
  <c r="R209" i="83"/>
  <c r="S209" i="83" s="1"/>
  <c r="R217" i="83"/>
  <c r="S217" i="83" s="1"/>
  <c r="R225" i="83"/>
  <c r="S225" i="83" s="1"/>
  <c r="R233" i="83"/>
  <c r="S233" i="83" s="1"/>
  <c r="R241" i="83"/>
  <c r="S241" i="83" s="1"/>
  <c r="R108" i="83"/>
  <c r="S108" i="83" s="1"/>
  <c r="R124" i="83"/>
  <c r="S124" i="83" s="1"/>
  <c r="R140" i="83"/>
  <c r="S140" i="83" s="1"/>
  <c r="R156" i="83"/>
  <c r="S156" i="83" s="1"/>
  <c r="R172" i="83"/>
  <c r="S172" i="83" s="1"/>
  <c r="R188" i="83"/>
  <c r="S188" i="83" s="1"/>
  <c r="R204" i="83"/>
  <c r="S204" i="83" s="1"/>
  <c r="R220" i="83"/>
  <c r="S220" i="83" s="1"/>
  <c r="R236" i="83"/>
  <c r="S236" i="83" s="1"/>
  <c r="R83" i="83"/>
  <c r="S83" i="83" s="1"/>
  <c r="R99" i="83"/>
  <c r="S99" i="83" s="1"/>
  <c r="R115" i="83"/>
  <c r="S115" i="83" s="1"/>
  <c r="R131" i="83"/>
  <c r="S131" i="83" s="1"/>
  <c r="R147" i="83"/>
  <c r="S147" i="83" s="1"/>
  <c r="R163" i="83"/>
  <c r="S163" i="83" s="1"/>
  <c r="R179" i="83"/>
  <c r="S179" i="83" s="1"/>
  <c r="R195" i="83"/>
  <c r="S195" i="83" s="1"/>
  <c r="R211" i="83"/>
  <c r="S211" i="83" s="1"/>
  <c r="R227" i="83"/>
  <c r="S227" i="83" s="1"/>
  <c r="R243" i="83"/>
  <c r="S243" i="83" s="1"/>
  <c r="R251" i="83"/>
  <c r="S251" i="83" s="1"/>
  <c r="R259" i="83"/>
  <c r="S259" i="83" s="1"/>
  <c r="R267" i="83"/>
  <c r="S267" i="83" s="1"/>
  <c r="R275" i="83"/>
  <c r="S275" i="83" s="1"/>
  <c r="R283" i="83"/>
  <c r="S283" i="83" s="1"/>
  <c r="R291" i="83"/>
  <c r="S291" i="83" s="1"/>
  <c r="R299" i="83"/>
  <c r="S299" i="83" s="1"/>
  <c r="R307" i="83"/>
  <c r="S307" i="83" s="1"/>
  <c r="R315" i="83"/>
  <c r="S315" i="83" s="1"/>
  <c r="R323" i="83"/>
  <c r="S323" i="83" s="1"/>
  <c r="R331" i="83"/>
  <c r="S331" i="83" s="1"/>
  <c r="R339" i="83"/>
  <c r="S339" i="83" s="1"/>
  <c r="R25" i="83"/>
  <c r="S25" i="83" s="1"/>
  <c r="R33" i="83"/>
  <c r="S33" i="83" s="1"/>
  <c r="R41" i="83"/>
  <c r="S41" i="83" s="1"/>
  <c r="R49" i="83"/>
  <c r="S49" i="83" s="1"/>
  <c r="R57" i="83"/>
  <c r="S57" i="83" s="1"/>
  <c r="R65" i="83"/>
  <c r="S65" i="83" s="1"/>
  <c r="R73" i="83"/>
  <c r="S73" i="83" s="1"/>
  <c r="R256" i="83"/>
  <c r="S256" i="83" s="1"/>
  <c r="R272" i="83"/>
  <c r="S272" i="83" s="1"/>
  <c r="R288" i="83"/>
  <c r="S288" i="83" s="1"/>
  <c r="R96" i="83"/>
  <c r="S96" i="83" s="1"/>
  <c r="R112" i="83"/>
  <c r="S112" i="83" s="1"/>
  <c r="R128" i="83"/>
  <c r="S128" i="83" s="1"/>
  <c r="R144" i="83"/>
  <c r="S144" i="83" s="1"/>
  <c r="R160" i="83"/>
  <c r="S160" i="83" s="1"/>
  <c r="R176" i="83"/>
  <c r="S176" i="83" s="1"/>
  <c r="R192" i="83"/>
  <c r="S192" i="83" s="1"/>
  <c r="R208" i="83"/>
  <c r="S208" i="83" s="1"/>
  <c r="R224" i="83"/>
  <c r="S224" i="83" s="1"/>
  <c r="R240" i="83"/>
  <c r="S240" i="83" s="1"/>
  <c r="R87" i="83"/>
  <c r="S87" i="83" s="1"/>
  <c r="R103" i="83"/>
  <c r="S103" i="83" s="1"/>
  <c r="R119" i="83"/>
  <c r="S119" i="83" s="1"/>
  <c r="R135" i="83"/>
  <c r="S135" i="83" s="1"/>
  <c r="R151" i="83"/>
  <c r="S151" i="83" s="1"/>
  <c r="R167" i="83"/>
  <c r="S167" i="83" s="1"/>
  <c r="R183" i="83"/>
  <c r="S183" i="83" s="1"/>
  <c r="R199" i="83"/>
  <c r="S199" i="83" s="1"/>
  <c r="R215" i="83"/>
  <c r="S215" i="83" s="1"/>
  <c r="R231" i="83"/>
  <c r="S231" i="83" s="1"/>
  <c r="R245" i="83"/>
  <c r="S245" i="83" s="1"/>
  <c r="R253" i="83"/>
  <c r="S253" i="83" s="1"/>
  <c r="R261" i="83"/>
  <c r="S261" i="83" s="1"/>
  <c r="R269" i="83"/>
  <c r="S269" i="83" s="1"/>
  <c r="R277" i="83"/>
  <c r="S277" i="83" s="1"/>
  <c r="R285" i="83"/>
  <c r="S285" i="83" s="1"/>
  <c r="R293" i="83"/>
  <c r="S293" i="83" s="1"/>
  <c r="R301" i="83"/>
  <c r="S301" i="83" s="1"/>
  <c r="R309" i="83"/>
  <c r="S309" i="83" s="1"/>
  <c r="R317" i="83"/>
  <c r="S317" i="83" s="1"/>
  <c r="R325" i="83"/>
  <c r="S325" i="83" s="1"/>
  <c r="R333" i="83"/>
  <c r="S333" i="83" s="1"/>
  <c r="R341" i="83"/>
  <c r="S341" i="83" s="1"/>
  <c r="R27" i="83"/>
  <c r="S27" i="83" s="1"/>
  <c r="R35" i="83"/>
  <c r="S35" i="83" s="1"/>
  <c r="R43" i="83"/>
  <c r="S43" i="83" s="1"/>
  <c r="R51" i="83"/>
  <c r="S51" i="83" s="1"/>
  <c r="R59" i="83"/>
  <c r="S59" i="83" s="1"/>
  <c r="R67" i="83"/>
  <c r="S67" i="83" s="1"/>
  <c r="R75" i="83"/>
  <c r="S75" i="83" s="1"/>
  <c r="R260" i="83"/>
  <c r="S260" i="83" s="1"/>
  <c r="R276" i="83"/>
  <c r="S276" i="83" s="1"/>
  <c r="R292" i="83"/>
  <c r="S292" i="83" s="1"/>
  <c r="R308" i="83"/>
  <c r="S308" i="83" s="1"/>
  <c r="R324" i="83"/>
  <c r="S324" i="83" s="1"/>
  <c r="R340" i="83"/>
  <c r="S340" i="83" s="1"/>
  <c r="R34" i="83"/>
  <c r="S34" i="83" s="1"/>
  <c r="R50" i="83"/>
  <c r="S50" i="83" s="1"/>
  <c r="R66" i="83"/>
  <c r="S66" i="83" s="1"/>
  <c r="R250" i="83"/>
  <c r="S250" i="83" s="1"/>
  <c r="R266" i="83"/>
  <c r="S266" i="83" s="1"/>
  <c r="R282" i="83"/>
  <c r="S282" i="83" s="1"/>
  <c r="R298" i="83"/>
  <c r="S298" i="83" s="1"/>
  <c r="R314" i="83"/>
  <c r="S314" i="83" s="1"/>
  <c r="R330" i="83"/>
  <c r="S330" i="83" s="1"/>
  <c r="R346" i="83"/>
  <c r="S346" i="83" s="1"/>
  <c r="R40" i="83"/>
  <c r="S40" i="83" s="1"/>
  <c r="R56" i="83"/>
  <c r="S56" i="83" s="1"/>
  <c r="R72" i="83"/>
  <c r="S72" i="83" s="1"/>
  <c r="R312" i="83"/>
  <c r="S312" i="83" s="1"/>
  <c r="R328" i="83"/>
  <c r="S328" i="83" s="1"/>
  <c r="R344" i="83"/>
  <c r="S344" i="83" s="1"/>
  <c r="R38" i="83"/>
  <c r="S38" i="83" s="1"/>
  <c r="R54" i="83"/>
  <c r="S54" i="83" s="1"/>
  <c r="R70" i="83"/>
  <c r="S70" i="83" s="1"/>
  <c r="R254" i="83"/>
  <c r="S254" i="83" s="1"/>
  <c r="R270" i="83"/>
  <c r="S270" i="83" s="1"/>
  <c r="R286" i="83"/>
  <c r="S286" i="83" s="1"/>
  <c r="R302" i="83"/>
  <c r="S302" i="83" s="1"/>
  <c r="R318" i="83"/>
  <c r="S318" i="83" s="1"/>
  <c r="R334" i="83"/>
  <c r="S334" i="83" s="1"/>
  <c r="R28" i="83"/>
  <c r="S28" i="83" s="1"/>
  <c r="R44" i="83"/>
  <c r="S44" i="83" s="1"/>
  <c r="R76" i="83"/>
  <c r="S76" i="83" s="1"/>
  <c r="R84" i="83"/>
  <c r="S84" i="83" s="1"/>
  <c r="R92" i="83"/>
  <c r="S92" i="83" s="1"/>
  <c r="R78" i="83"/>
  <c r="S78" i="83" s="1"/>
  <c r="R86" i="83"/>
  <c r="S86" i="83" s="1"/>
  <c r="R94" i="83"/>
  <c r="S94" i="83" s="1"/>
  <c r="R102" i="83"/>
  <c r="S102" i="83" s="1"/>
  <c r="R110" i="83"/>
  <c r="S110" i="83" s="1"/>
  <c r="R118" i="83"/>
  <c r="S118" i="83" s="1"/>
  <c r="R126" i="83"/>
  <c r="S126" i="83" s="1"/>
  <c r="R134" i="83"/>
  <c r="S134" i="83" s="1"/>
  <c r="R142" i="83"/>
  <c r="S142" i="83" s="1"/>
  <c r="R150" i="83"/>
  <c r="S150" i="83" s="1"/>
  <c r="R158" i="83"/>
  <c r="S158" i="83" s="1"/>
  <c r="R166" i="83"/>
  <c r="S166" i="83" s="1"/>
  <c r="R174" i="83"/>
  <c r="S174" i="83" s="1"/>
  <c r="R182" i="83"/>
  <c r="S182" i="83" s="1"/>
  <c r="R190" i="83"/>
  <c r="S190" i="83" s="1"/>
  <c r="R198" i="83"/>
  <c r="S198" i="83" s="1"/>
  <c r="R206" i="83"/>
  <c r="S206" i="83" s="1"/>
  <c r="R214" i="83"/>
  <c r="S214" i="83" s="1"/>
  <c r="R222" i="83"/>
  <c r="S222" i="83" s="1"/>
  <c r="R230" i="83"/>
  <c r="S230" i="83" s="1"/>
  <c r="R238" i="83"/>
  <c r="S238" i="83" s="1"/>
  <c r="R77" i="83"/>
  <c r="S77" i="83" s="1"/>
  <c r="R85" i="83"/>
  <c r="S85" i="83" s="1"/>
  <c r="R93" i="83"/>
  <c r="S93" i="83" s="1"/>
  <c r="R101" i="83"/>
  <c r="S101" i="83" s="1"/>
  <c r="R109" i="83"/>
  <c r="S109" i="83" s="1"/>
  <c r="R117" i="83"/>
  <c r="S117" i="83" s="1"/>
  <c r="R125" i="83"/>
  <c r="S125" i="83" s="1"/>
  <c r="R133" i="83"/>
  <c r="S133" i="83" s="1"/>
  <c r="R141" i="83"/>
  <c r="S141" i="83" s="1"/>
  <c r="R149" i="83"/>
  <c r="S149" i="83" s="1"/>
  <c r="R157" i="83"/>
  <c r="S157" i="83" s="1"/>
  <c r="R165" i="83"/>
  <c r="S165" i="83" s="1"/>
  <c r="R173" i="83"/>
  <c r="S173" i="83" s="1"/>
  <c r="R181" i="83"/>
  <c r="S181" i="83" s="1"/>
  <c r="R189" i="83"/>
  <c r="S189" i="83" s="1"/>
  <c r="R197" i="83"/>
  <c r="S197" i="83" s="1"/>
  <c r="R205" i="83"/>
  <c r="S205" i="83" s="1"/>
  <c r="R213" i="83"/>
  <c r="S213" i="83" s="1"/>
  <c r="R221" i="83"/>
  <c r="S221" i="83" s="1"/>
  <c r="R229" i="83"/>
  <c r="S229" i="83" s="1"/>
  <c r="R237" i="83"/>
  <c r="S237" i="83" s="1"/>
  <c r="R100" i="83"/>
  <c r="S100" i="83" s="1"/>
  <c r="R116" i="83"/>
  <c r="S116" i="83" s="1"/>
  <c r="R132" i="83"/>
  <c r="S132" i="83" s="1"/>
  <c r="R148" i="83"/>
  <c r="S148" i="83" s="1"/>
  <c r="R164" i="83"/>
  <c r="S164" i="83" s="1"/>
  <c r="R180" i="83"/>
  <c r="S180" i="83" s="1"/>
  <c r="R196" i="83"/>
  <c r="S196" i="83" s="1"/>
  <c r="R212" i="83"/>
  <c r="S212" i="83" s="1"/>
  <c r="R228" i="83"/>
  <c r="S228" i="83" s="1"/>
  <c r="R244" i="83"/>
  <c r="S244" i="83" s="1"/>
  <c r="R91" i="83"/>
  <c r="S91" i="83" s="1"/>
  <c r="R107" i="83"/>
  <c r="S107" i="83" s="1"/>
  <c r="R123" i="83"/>
  <c r="S123" i="83" s="1"/>
  <c r="R139" i="83"/>
  <c r="S139" i="83" s="1"/>
  <c r="R155" i="83"/>
  <c r="S155" i="83" s="1"/>
  <c r="R171" i="83"/>
  <c r="S171" i="83" s="1"/>
  <c r="R187" i="83"/>
  <c r="S187" i="83" s="1"/>
  <c r="R203" i="83"/>
  <c r="S203" i="83" s="1"/>
  <c r="R219" i="83"/>
  <c r="S219" i="83" s="1"/>
  <c r="R235" i="83"/>
  <c r="S235" i="83" s="1"/>
  <c r="R247" i="83"/>
  <c r="S247" i="83" s="1"/>
  <c r="R255" i="83"/>
  <c r="S255" i="83" s="1"/>
  <c r="R263" i="83"/>
  <c r="S263" i="83" s="1"/>
  <c r="R271" i="83"/>
  <c r="S271" i="83" s="1"/>
  <c r="R279" i="83"/>
  <c r="S279" i="83" s="1"/>
  <c r="R287" i="83"/>
  <c r="S287" i="83" s="1"/>
  <c r="R295" i="83"/>
  <c r="S295" i="83" s="1"/>
  <c r="R303" i="83"/>
  <c r="S303" i="83" s="1"/>
  <c r="R311" i="83"/>
  <c r="S311" i="83" s="1"/>
  <c r="R319" i="83"/>
  <c r="S319" i="83" s="1"/>
  <c r="R327" i="83"/>
  <c r="S327" i="83" s="1"/>
  <c r="R335" i="83"/>
  <c r="S335" i="83" s="1"/>
  <c r="R343" i="83"/>
  <c r="S343" i="83" s="1"/>
  <c r="R29" i="83"/>
  <c r="S29" i="83" s="1"/>
  <c r="R37" i="83"/>
  <c r="S37" i="83" s="1"/>
  <c r="R45" i="83"/>
  <c r="S45" i="83" s="1"/>
  <c r="R53" i="83"/>
  <c r="S53" i="83" s="1"/>
  <c r="R61" i="83"/>
  <c r="S61" i="83" s="1"/>
  <c r="R69" i="83"/>
  <c r="S69" i="83" s="1"/>
  <c r="R248" i="83"/>
  <c r="S248" i="83" s="1"/>
  <c r="R264" i="83"/>
  <c r="S264" i="83" s="1"/>
  <c r="R280" i="83"/>
  <c r="S280" i="83" s="1"/>
  <c r="R296" i="83"/>
  <c r="S296" i="83" s="1"/>
  <c r="R104" i="83"/>
  <c r="S104" i="83" s="1"/>
  <c r="R120" i="83"/>
  <c r="S120" i="83" s="1"/>
  <c r="R136" i="83"/>
  <c r="S136" i="83" s="1"/>
  <c r="R152" i="83"/>
  <c r="S152" i="83" s="1"/>
  <c r="R168" i="83"/>
  <c r="S168" i="83" s="1"/>
  <c r="R184" i="83"/>
  <c r="S184" i="83" s="1"/>
  <c r="R200" i="83"/>
  <c r="S200" i="83" s="1"/>
  <c r="R216" i="83"/>
  <c r="S216" i="83" s="1"/>
  <c r="R232" i="83"/>
  <c r="S232" i="83" s="1"/>
  <c r="R79" i="83"/>
  <c r="S79" i="83" s="1"/>
  <c r="R95" i="83"/>
  <c r="S95" i="83" s="1"/>
  <c r="R111" i="83"/>
  <c r="S111" i="83" s="1"/>
  <c r="R127" i="83"/>
  <c r="S127" i="83" s="1"/>
  <c r="R143" i="83"/>
  <c r="S143" i="83" s="1"/>
  <c r="R159" i="83"/>
  <c r="S159" i="83" s="1"/>
  <c r="R175" i="83"/>
  <c r="S175" i="83" s="1"/>
  <c r="R191" i="83"/>
  <c r="S191" i="83" s="1"/>
  <c r="R207" i="83"/>
  <c r="S207" i="83" s="1"/>
  <c r="R223" i="83"/>
  <c r="S223" i="83" s="1"/>
  <c r="R239" i="83"/>
  <c r="S239" i="83" s="1"/>
  <c r="R249" i="83"/>
  <c r="S249" i="83" s="1"/>
  <c r="R257" i="83"/>
  <c r="S257" i="83" s="1"/>
  <c r="R265" i="83"/>
  <c r="S265" i="83" s="1"/>
  <c r="R273" i="83"/>
  <c r="S273" i="83" s="1"/>
  <c r="R281" i="83"/>
  <c r="S281" i="83" s="1"/>
  <c r="R289" i="83"/>
  <c r="S289" i="83" s="1"/>
  <c r="R297" i="83"/>
  <c r="S297" i="83" s="1"/>
  <c r="R305" i="83"/>
  <c r="S305" i="83" s="1"/>
  <c r="R313" i="83"/>
  <c r="S313" i="83" s="1"/>
  <c r="R321" i="83"/>
  <c r="S321" i="83" s="1"/>
  <c r="R329" i="83"/>
  <c r="S329" i="83" s="1"/>
  <c r="R337" i="83"/>
  <c r="S337" i="83" s="1"/>
  <c r="R345" i="83"/>
  <c r="S345" i="83" s="1"/>
  <c r="R31" i="83"/>
  <c r="S31" i="83" s="1"/>
  <c r="R39" i="83"/>
  <c r="S39" i="83" s="1"/>
  <c r="R47" i="83"/>
  <c r="S47" i="83" s="1"/>
  <c r="R55" i="83"/>
  <c r="S55" i="83" s="1"/>
  <c r="R63" i="83"/>
  <c r="S63" i="83" s="1"/>
  <c r="R71" i="83"/>
  <c r="S71" i="83" s="1"/>
  <c r="R252" i="83"/>
  <c r="S252" i="83" s="1"/>
  <c r="R268" i="83"/>
  <c r="S268" i="83" s="1"/>
  <c r="R284" i="83"/>
  <c r="S284" i="83" s="1"/>
  <c r="R300" i="83"/>
  <c r="S300" i="83" s="1"/>
  <c r="R316" i="83"/>
  <c r="S316" i="83" s="1"/>
  <c r="R332" i="83"/>
  <c r="S332" i="83" s="1"/>
  <c r="R26" i="83"/>
  <c r="S26" i="83" s="1"/>
  <c r="R42" i="83"/>
  <c r="S42" i="83" s="1"/>
  <c r="R58" i="83"/>
  <c r="S58" i="83" s="1"/>
  <c r="R74" i="83"/>
  <c r="S74" i="83" s="1"/>
  <c r="R258" i="83"/>
  <c r="S258" i="83" s="1"/>
  <c r="R274" i="83"/>
  <c r="S274" i="83" s="1"/>
  <c r="R290" i="83"/>
  <c r="S290" i="83" s="1"/>
  <c r="R306" i="83"/>
  <c r="S306" i="83" s="1"/>
  <c r="R322" i="83"/>
  <c r="S322" i="83" s="1"/>
  <c r="R338" i="83"/>
  <c r="S338" i="83" s="1"/>
  <c r="R32" i="83"/>
  <c r="S32" i="83" s="1"/>
  <c r="R48" i="83"/>
  <c r="S48" i="83" s="1"/>
  <c r="R64" i="83"/>
  <c r="S64" i="83" s="1"/>
  <c r="R304" i="83"/>
  <c r="S304" i="83" s="1"/>
  <c r="R320" i="83"/>
  <c r="S320" i="83" s="1"/>
  <c r="R336" i="83"/>
  <c r="S336" i="83" s="1"/>
  <c r="R30" i="83"/>
  <c r="S30" i="83" s="1"/>
  <c r="R46" i="83"/>
  <c r="S46" i="83" s="1"/>
  <c r="R62" i="83"/>
  <c r="S62" i="83" s="1"/>
  <c r="R246" i="83"/>
  <c r="S246" i="83" s="1"/>
  <c r="R262" i="83"/>
  <c r="S262" i="83" s="1"/>
  <c r="R278" i="83"/>
  <c r="S278" i="83" s="1"/>
  <c r="R294" i="83"/>
  <c r="S294" i="83" s="1"/>
  <c r="R310" i="83"/>
  <c r="S310" i="83" s="1"/>
  <c r="R326" i="83"/>
  <c r="S326" i="83" s="1"/>
  <c r="R342" i="83"/>
  <c r="S342" i="83" s="1"/>
  <c r="R36" i="83"/>
  <c r="S36" i="83" s="1"/>
  <c r="R52" i="83"/>
  <c r="S52" i="83" s="1"/>
  <c r="R68" i="83"/>
  <c r="S68" i="83" s="1"/>
  <c r="R60" i="83"/>
  <c r="S60" i="83" s="1"/>
  <c r="D15" i="74"/>
  <c r="H109" i="82"/>
  <c r="C105" i="82"/>
  <c r="H102" i="82"/>
  <c r="H107" i="82"/>
  <c r="D45" i="82"/>
  <c r="M48" i="82"/>
  <c r="S22" i="83" l="1"/>
  <c r="D17" i="74" s="1"/>
  <c r="F15" i="74"/>
  <c r="H15" i="74"/>
  <c r="E15" i="74"/>
  <c r="D124" i="82"/>
  <c r="D125" i="82" s="1"/>
  <c r="H110" i="82"/>
  <c r="C78" i="82"/>
  <c r="C73" i="82" s="1"/>
  <c r="D52" i="82"/>
  <c r="C93" i="82"/>
  <c r="C86" i="82" s="1"/>
  <c r="C85" i="82"/>
  <c r="C72" i="82"/>
  <c r="C64" i="82"/>
  <c r="C63" i="82" s="1"/>
  <c r="C67" i="82" s="1"/>
  <c r="C68" i="82" s="1"/>
  <c r="D54" i="82" s="1"/>
  <c r="D55" i="82"/>
  <c r="M53" i="82" s="1"/>
  <c r="D53" i="82"/>
  <c r="D122" i="82"/>
  <c r="D123" i="82" s="1"/>
  <c r="H108" i="82"/>
  <c r="M49" i="82"/>
  <c r="R22" i="83" l="1"/>
  <c r="B21" i="83" s="1"/>
  <c r="B20" i="83"/>
  <c r="E17" i="74"/>
  <c r="F17" i="74"/>
  <c r="C79" i="82"/>
  <c r="C80" i="82" s="1"/>
  <c r="E80" i="82" s="1"/>
  <c r="E81" i="82" s="1"/>
  <c r="L66" i="82"/>
  <c r="M66" i="82" s="1"/>
  <c r="L65" i="82"/>
  <c r="M65" i="82" s="1"/>
  <c r="L64" i="82"/>
  <c r="M64" i="82" s="1"/>
  <c r="L68" i="82"/>
  <c r="M68" i="82" s="1"/>
  <c r="L67" i="82"/>
  <c r="M67" i="82" s="1"/>
  <c r="L63" i="82"/>
  <c r="M63" i="82" s="1"/>
  <c r="C95" i="82"/>
  <c r="C81" i="82" l="1"/>
  <c r="M69" i="82"/>
  <c r="N69" i="82" s="1"/>
  <c r="C96" i="82"/>
  <c r="E96" i="82" s="1"/>
  <c r="E97" i="82" s="1"/>
  <c r="C97" i="82" l="1"/>
  <c r="D58" i="82" s="1"/>
  <c r="D56" i="82" s="1"/>
  <c r="M54" i="82" s="1"/>
  <c r="N57" i="82" s="1"/>
  <c r="P57" i="82" s="1"/>
  <c r="J7" i="33"/>
  <c r="W7" i="33" s="1"/>
  <c r="F7" i="33"/>
  <c r="S7" i="33" s="1"/>
  <c r="H7" i="33"/>
  <c r="AB7" i="33" s="1"/>
  <c r="T48" i="33" s="1"/>
  <c r="G48" i="33" s="1"/>
  <c r="N59" i="82" l="1"/>
  <c r="N60" i="82" s="1"/>
  <c r="N58" i="82"/>
  <c r="G52" i="33"/>
  <c r="H52" i="33" s="1"/>
  <c r="AA7" i="33"/>
  <c r="R48" i="33" s="1"/>
  <c r="U7" i="33"/>
  <c r="AC7" i="33"/>
  <c r="V48" i="33" s="1"/>
  <c r="I48" i="33" s="1"/>
  <c r="N61" i="82"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8" i="68" l="1"/>
  <c r="C27" i="68" s="1"/>
  <c r="C25" i="68"/>
  <c r="C22" i="68" s="1"/>
  <c r="D59" i="9"/>
  <c r="M55" i="9" s="1"/>
  <c r="C31" i="68" l="1"/>
  <c r="C52" i="68" s="1"/>
  <c r="C57" i="68" s="1"/>
  <c r="C56" i="68" s="1"/>
  <c r="B2" i="68" l="1"/>
  <c r="C19" i="9"/>
  <c r="C102" i="9" l="1"/>
  <c r="G19" i="9"/>
  <c r="C21" i="9"/>
  <c r="D22" i="9"/>
  <c r="B3" i="68"/>
  <c r="D34" i="82"/>
  <c r="D35" i="82"/>
  <c r="D34" i="9"/>
  <c r="D35" i="9"/>
  <c r="C20" i="9"/>
  <c r="C32" i="9" l="1"/>
  <c r="H118" i="9" s="1"/>
  <c r="G23" i="9"/>
  <c r="C35" i="82"/>
  <c r="G21" i="9"/>
  <c r="G20" i="9"/>
  <c r="R24" i="31" s="1"/>
  <c r="C103" i="9"/>
  <c r="C35" i="9"/>
  <c r="F118" i="9" s="1"/>
  <c r="S24" i="31" l="1"/>
  <c r="R73" i="31"/>
  <c r="S73" i="31" s="1"/>
  <c r="R65" i="31"/>
  <c r="S65" i="31" s="1"/>
  <c r="R57" i="31"/>
  <c r="S57" i="31" s="1"/>
  <c r="R49" i="31"/>
  <c r="S49" i="31" s="1"/>
  <c r="R41" i="31"/>
  <c r="S41" i="31" s="1"/>
  <c r="R33" i="31"/>
  <c r="S33" i="31" s="1"/>
  <c r="R76" i="31"/>
  <c r="S76" i="31" s="1"/>
  <c r="R68" i="31"/>
  <c r="S68" i="31" s="1"/>
  <c r="R60" i="31"/>
  <c r="S60" i="31" s="1"/>
  <c r="R52" i="31"/>
  <c r="S52" i="31" s="1"/>
  <c r="R44" i="31"/>
  <c r="S44" i="31" s="1"/>
  <c r="R36" i="31"/>
  <c r="S36" i="31" s="1"/>
  <c r="R28" i="31"/>
  <c r="S28" i="31" s="1"/>
  <c r="R71" i="31"/>
  <c r="S71" i="31" s="1"/>
  <c r="R63" i="31"/>
  <c r="S63" i="31" s="1"/>
  <c r="R55" i="31"/>
  <c r="S55" i="31" s="1"/>
  <c r="R47" i="31"/>
  <c r="S47" i="31" s="1"/>
  <c r="R39" i="31"/>
  <c r="S39" i="31" s="1"/>
  <c r="R31" i="31"/>
  <c r="S31" i="31" s="1"/>
  <c r="R74" i="31"/>
  <c r="S74" i="31" s="1"/>
  <c r="R66" i="31"/>
  <c r="S66" i="31" s="1"/>
  <c r="R58" i="31"/>
  <c r="S58" i="31" s="1"/>
  <c r="R50" i="31"/>
  <c r="S50" i="31" s="1"/>
  <c r="R42" i="31"/>
  <c r="S42" i="31" s="1"/>
  <c r="R34" i="31"/>
  <c r="S34" i="31" s="1"/>
  <c r="R26" i="31"/>
  <c r="S26" i="31" s="1"/>
  <c r="R25" i="31"/>
  <c r="S25" i="31" s="1"/>
  <c r="R69" i="31"/>
  <c r="S69" i="31" s="1"/>
  <c r="R61" i="31"/>
  <c r="S61" i="31" s="1"/>
  <c r="R53" i="31"/>
  <c r="S53" i="31" s="1"/>
  <c r="R45" i="31"/>
  <c r="S45" i="31" s="1"/>
  <c r="R37" i="31"/>
  <c r="S37" i="31" s="1"/>
  <c r="R29" i="31"/>
  <c r="S29" i="31" s="1"/>
  <c r="R72" i="31"/>
  <c r="S72" i="31" s="1"/>
  <c r="R64" i="31"/>
  <c r="S64" i="31" s="1"/>
  <c r="R56" i="31"/>
  <c r="S56" i="31" s="1"/>
  <c r="R48" i="31"/>
  <c r="S48" i="31" s="1"/>
  <c r="R40" i="31"/>
  <c r="S40" i="31" s="1"/>
  <c r="R32" i="31"/>
  <c r="S32" i="31" s="1"/>
  <c r="R75" i="31"/>
  <c r="S75" i="31" s="1"/>
  <c r="R67" i="31"/>
  <c r="S67" i="31" s="1"/>
  <c r="R59" i="31"/>
  <c r="S59" i="31" s="1"/>
  <c r="R51" i="31"/>
  <c r="S51" i="31" s="1"/>
  <c r="R43" i="31"/>
  <c r="S43" i="31" s="1"/>
  <c r="R35" i="31"/>
  <c r="S35" i="31" s="1"/>
  <c r="R27" i="31"/>
  <c r="S27" i="31" s="1"/>
  <c r="R70" i="31"/>
  <c r="S70" i="31" s="1"/>
  <c r="R62" i="31"/>
  <c r="S62" i="31" s="1"/>
  <c r="R54" i="31"/>
  <c r="S54" i="31" s="1"/>
  <c r="R46" i="31"/>
  <c r="S46" i="31" s="1"/>
  <c r="R38" i="31"/>
  <c r="S38" i="31" s="1"/>
  <c r="R30" i="31"/>
  <c r="S30" i="31" s="1"/>
  <c r="F118" i="82"/>
  <c r="C34" i="82"/>
  <c r="D118" i="82" s="1"/>
  <c r="D119" i="82" s="1"/>
  <c r="C104" i="9"/>
  <c r="I118" i="9"/>
  <c r="D14" i="74"/>
  <c r="H101" i="9"/>
  <c r="H109" i="9" s="1"/>
  <c r="H119" i="9"/>
  <c r="H5" i="52" s="1"/>
  <c r="H4" i="52"/>
  <c r="C34" i="9"/>
  <c r="D118" i="9" s="1"/>
  <c r="G118" i="9"/>
  <c r="G4" i="52" s="1"/>
  <c r="B52" i="72" s="1"/>
  <c r="F4" i="52"/>
  <c r="B51" i="72" s="1"/>
  <c r="F119" i="9"/>
  <c r="F5" i="52" s="1"/>
  <c r="B53" i="72" s="1"/>
  <c r="S22" i="31" l="1"/>
  <c r="D16" i="74" s="1"/>
  <c r="B5" i="74" s="1"/>
  <c r="U18" i="1" s="1"/>
  <c r="H110" i="9"/>
  <c r="D18" i="53" s="1"/>
  <c r="B35" i="72" s="1"/>
  <c r="D16" i="53"/>
  <c r="D124" i="9"/>
  <c r="F119" i="82"/>
  <c r="G118" i="82"/>
  <c r="E118" i="82" s="1"/>
  <c r="M48" i="9"/>
  <c r="H107" i="9"/>
  <c r="D45" i="9"/>
  <c r="D5" i="53"/>
  <c r="C105" i="9"/>
  <c r="E118" i="9"/>
  <c r="E4" i="52" s="1"/>
  <c r="B48" i="72" s="1"/>
  <c r="I4" i="52"/>
  <c r="H102" i="9"/>
  <c r="D7" i="53" s="1"/>
  <c r="B21" i="72" s="1"/>
  <c r="D119" i="9"/>
  <c r="D5" i="52" s="1"/>
  <c r="B49" i="72" s="1"/>
  <c r="D4" i="52"/>
  <c r="B47" i="72" s="1"/>
  <c r="E14" i="74"/>
  <c r="F14" i="74"/>
  <c r="E16" i="74" l="1"/>
  <c r="F16" i="74"/>
  <c r="R22" i="31"/>
  <c r="B21" i="31" s="1"/>
  <c r="B20" i="31"/>
  <c r="B34" i="72"/>
  <c r="D17" i="53"/>
  <c r="B36" i="72" s="1"/>
  <c r="D10" i="52"/>
  <c r="H14" i="74"/>
  <c r="B7" i="74" s="1"/>
  <c r="D125" i="9"/>
  <c r="D11" i="52" s="1"/>
  <c r="C5" i="74"/>
  <c r="D5" i="74"/>
  <c r="B20" i="72"/>
  <c r="D6" i="53"/>
  <c r="B22" i="72" s="1"/>
  <c r="M49" i="9"/>
  <c r="H108" i="9"/>
  <c r="D15" i="53" s="1"/>
  <c r="B31" i="72" s="1"/>
  <c r="D122" i="9"/>
  <c r="D13" i="53"/>
  <c r="D53" i="9"/>
  <c r="C93" i="9"/>
  <c r="C86" i="9" s="1"/>
  <c r="C64" i="9"/>
  <c r="C63" i="9" s="1"/>
  <c r="C67" i="9" s="1"/>
  <c r="C68" i="9" s="1"/>
  <c r="D54" i="9" s="1"/>
  <c r="D52" i="9"/>
  <c r="C85" i="9"/>
  <c r="D55" i="9"/>
  <c r="M53" i="9" s="1"/>
  <c r="C78" i="9"/>
  <c r="C73" i="9" s="1"/>
  <c r="C72" i="9"/>
  <c r="D7" i="74" l="1"/>
  <c r="C7" i="74"/>
  <c r="C95" i="9"/>
  <c r="C96" i="9" s="1"/>
  <c r="E96" i="9" s="1"/>
  <c r="E97" i="9" s="1"/>
  <c r="C79" i="9"/>
  <c r="B30" i="72"/>
  <c r="D14" i="53"/>
  <c r="B32" i="72" s="1"/>
  <c r="G14" i="74"/>
  <c r="B6" i="74" s="1"/>
  <c r="D123" i="9"/>
  <c r="D9" i="52" s="1"/>
  <c r="D8" i="52"/>
  <c r="L68" i="9"/>
  <c r="M68" i="9" s="1"/>
  <c r="L65" i="9"/>
  <c r="M65" i="9" s="1"/>
  <c r="L67" i="9"/>
  <c r="M67" i="9" s="1"/>
  <c r="L66" i="9"/>
  <c r="M66" i="9" s="1"/>
  <c r="L64" i="9"/>
  <c r="M64" i="9" s="1"/>
  <c r="L63" i="9"/>
  <c r="M63" i="9" s="1"/>
  <c r="AD3" i="71"/>
  <c r="P21" i="43" l="1"/>
  <c r="P24" i="78"/>
  <c r="P23" i="78"/>
  <c r="P25" i="78"/>
  <c r="P22" i="78"/>
  <c r="P21" i="78"/>
  <c r="C97" i="9"/>
  <c r="D58" i="9" s="1"/>
  <c r="D56" i="9" s="1"/>
  <c r="M54" i="9" s="1"/>
  <c r="N57" i="9" s="1"/>
  <c r="N58" i="9" s="1"/>
  <c r="M69" i="9"/>
  <c r="N69" i="9" s="1"/>
  <c r="D6" i="74"/>
  <c r="C6" i="74"/>
  <c r="C80" i="9"/>
  <c r="E80" i="9" s="1"/>
  <c r="E81" i="9" s="1"/>
  <c r="H111" i="9"/>
  <c r="P22" i="43"/>
  <c r="P23" i="43"/>
  <c r="B71" i="39" s="1"/>
  <c r="P24" i="43"/>
  <c r="B66" i="40" s="1"/>
  <c r="P25" i="43"/>
  <c r="D126" i="9" l="1"/>
  <c r="D19" i="53"/>
  <c r="N59" i="9"/>
  <c r="N61" i="9" s="1"/>
  <c r="H112" i="9" s="1"/>
  <c r="D21" i="53" s="1"/>
  <c r="B39" i="72" s="1"/>
  <c r="P57" i="9"/>
  <c r="C81" i="9"/>
  <c r="I14" i="74" l="1"/>
  <c r="B8" i="74" s="1"/>
  <c r="D127" i="9"/>
  <c r="D13" i="52" s="1"/>
  <c r="D12" i="52"/>
  <c r="B38" i="72"/>
  <c r="D20" i="53"/>
  <c r="B40" i="72"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<sst xmlns="http://schemas.openxmlformats.org/spreadsheetml/2006/main" count="11854" uniqueCount="4110">
  <si>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</si>
  <si>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</si>
  <si>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</si>
  <si>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</si>
  <si>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</si>
  <si>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</si>
  <si>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</si>
  <si>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</si>
  <si>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</si>
  <si>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</si>
  <si>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</si>
  <si>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</si>
  <si>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</si>
  <si>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</si>
  <si>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</si>
  <si>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</si>
  <si>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</si>
  <si>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</si>
  <si>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</si>
  <si>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</si>
  <si>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</si>
  <si>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</si>
  <si>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</si>
  <si>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</si>
  <si>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</si>
  <si>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</si>
  <si>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</si>
  <si>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</si>
  <si>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</si>
  <si>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</si>
  <si>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</si>
  <si>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</si>
  <si>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</si>
  <si>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</si>
  <si>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</si>
  <si>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</si>
  <si>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</si>
  <si>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</si>
  <si>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</si>
  <si>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</si>
  <si>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</si>
  <si>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</si>
  <si>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</si>
  <si>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</si>
  <si>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</si>
  <si>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</si>
  <si>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</si>
  <si>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</si>
  <si>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</si>
  <si>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</si>
  <si>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</si>
  <si>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</si>
  <si>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</si>
  <si>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</si>
  <si>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</si>
  <si>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</si>
  <si>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</si>
  <si>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</si>
  <si>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</si>
  <si>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</si>
  <si>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</si>
  <si>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</si>
  <si>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</si>
  <si>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</si>
  <si>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</si>
  <si>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</si>
  <si>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</si>
  <si>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</si>
  <si>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</si>
  <si>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</si>
  <si>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</si>
  <si>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</si>
  <si>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</si>
  <si>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</si>
  <si>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</si>
  <si>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</si>
  <si>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</si>
  <si>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</si>
  <si>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</si>
  <si>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</si>
  <si>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</si>
  <si>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</si>
  <si>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</si>
  <si>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</si>
  <si>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</si>
  <si>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</si>
  <si>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</si>
  <si>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</si>
  <si>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</si>
  <si>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</si>
  <si>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</si>
  <si>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</si>
  <si>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</si>
  <si>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</si>
  <si>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</si>
  <si>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</si>
  <si>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</si>
  <si>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</si>
  <si>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</si>
  <si>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</si>
  <si>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</si>
  <si>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</si>
  <si>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</si>
  <si>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</si>
  <si>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</si>
  <si>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</si>
  <si>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</si>
  <si>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</si>
  <si>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</si>
  <si>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</si>
  <si>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</si>
  <si>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</si>
  <si>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</si>
  <si>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</si>
  <si>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</si>
  <si>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</si>
  <si>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</si>
  <si>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</si>
  <si>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</si>
  <si>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</si>
  <si>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</si>
  <si>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</si>
  <si>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</si>
  <si>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</si>
  <si>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</si>
  <si>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</si>
  <si>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</si>
  <si>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</si>
  <si>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</si>
  <si>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</si>
  <si>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</si>
  <si>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</si>
  <si>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</si>
  <si>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</si>
  <si>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</si>
  <si>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</si>
  <si>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</si>
  <si>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</si>
  <si>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</si>
  <si>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</si>
  <si>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</si>
  <si>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</si>
  <si>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</si>
  <si>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</si>
  <si>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</si>
  <si>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</si>
  <si>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</si>
  <si>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</si>
  <si>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</si>
  <si>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</si>
  <si>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</si>
  <si>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</si>
  <si>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</si>
  <si>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</si>
  <si>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</si>
  <si>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</si>
  <si>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</si>
  <si>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</si>
  <si>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</si>
  <si>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</si>
  <si>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</si>
  <si>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</si>
  <si>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</si>
  <si>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</si>
  <si>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</si>
  <si>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</si>
  <si>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</si>
  <si>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</si>
  <si>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</si>
  <si>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</si>
  <si>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</si>
  <si>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</si>
  <si>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</si>
  <si>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</si>
  <si>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</si>
  <si>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</si>
  <si>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</si>
  <si>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</si>
  <si>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</si>
  <si>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</si>
  <si>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</si>
  <si>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</si>
  <si>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</si>
  <si>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</si>
  <si>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</si>
  <si>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</si>
  <si>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</si>
  <si>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</si>
  <si>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</si>
  <si>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</si>
  <si>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</si>
  <si>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</si>
  <si>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</si>
  <si>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</si>
  <si>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</si>
  <si>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</si>
  <si>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</si>
  <si>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</si>
  <si>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</si>
  <si>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</si>
  <si>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</si>
  <si>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</si>
  <si>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</si>
  <si>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</si>
  <si>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</si>
  <si>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</si>
  <si>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</si>
  <si>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</si>
  <si>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</si>
  <si>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</si>
  <si>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</si>
  <si>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</si>
  <si>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</si>
  <si>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</si>
  <si>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</si>
  <si>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</si>
  <si>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</si>
  <si>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</si>
  <si>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</si>
  <si>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</si>
  <si>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</si>
  <si>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</si>
  <si>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</si>
  <si>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</si>
  <si>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</si>
  <si>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</si>
  <si>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</si>
  <si>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</si>
  <si>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</si>
  <si>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</si>
  <si>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</si>
  <si>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</si>
  <si>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</si>
  <si>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</si>
  <si>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</si>
  <si>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</si>
  <si>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</si>
  <si>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</si>
  <si>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</si>
  <si>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</si>
  <si>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</si>
  <si>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</si>
  <si>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</si>
  <si>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</si>
  <si>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</si>
  <si>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</si>
  <si>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</si>
  <si>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</si>
  <si>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</si>
  <si>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</si>
  <si>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</si>
  <si>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</si>
  <si>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</si>
  <si>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</si>
  <si>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</si>
  <si>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</si>
  <si>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</si>
  <si>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</si>
  <si>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</si>
  <si>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</si>
  <si>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</si>
  <si>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</si>
  <si>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</si>
  <si>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</si>
  <si>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</si>
  <si>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</si>
  <si>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</si>
  <si>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</si>
  <si>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</si>
  <si>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</si>
  <si>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</si>
  <si>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</si>
  <si>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</si>
  <si>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</si>
  <si>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</si>
  <si>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</si>
  <si>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</si>
  <si>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</si>
  <si>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</si>
  <si>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</si>
  <si>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</si>
  <si>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</si>
  <si>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</si>
  <si>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</si>
  <si>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</si>
  <si>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</si>
  <si>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</si>
  <si>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</si>
  <si>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</si>
  <si>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</si>
  <si>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</si>
  <si>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</si>
  <si>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</si>
  <si>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</si>
  <si>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</si>
  <si>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</si>
  <si>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</si>
  <si>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</si>
  <si>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</si>
  <si>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</si>
  <si>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</si>
  <si>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</si>
  <si>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</si>
  <si>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</si>
  <si>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</si>
  <si>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</si>
  <si>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</si>
  <si>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</si>
  <si>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</si>
  <si>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</si>
  <si>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</si>
  <si>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</si>
  <si>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</si>
  <si>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</si>
  <si>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</si>
  <si>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</si>
  <si>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</si>
  <si>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</si>
  <si>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</si>
  <si>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</si>
  <si>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</si>
  <si>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</si>
  <si>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</si>
  <si>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</si>
  <si>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</si>
  <si>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</si>
  <si>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</si>
  <si>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</si>
  <si>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</si>
  <si>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</si>
  <si>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</si>
  <si>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</si>
  <si>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</si>
  <si>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</si>
  <si>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</si>
  <si>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</si>
  <si>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</si>
  <si>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</si>
  <si>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</si>
  <si>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</si>
  <si>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</si>
  <si>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</si>
  <si>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</si>
  <si>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</si>
  <si>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</si>
  <si>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</si>
  <si>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</si>
  <si>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</si>
  <si>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</si>
  <si>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</si>
  <si>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</si>
  <si>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</si>
  <si>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</si>
  <si>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</si>
  <si>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</si>
  <si>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</si>
  <si>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</si>
  <si>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</si>
  <si>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</si>
  <si>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</si>
  <si>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</si>
  <si>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</si>
  <si>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</si>
  <si>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</si>
  <si>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</si>
  <si>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</si>
  <si>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</si>
  <si>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</si>
  <si>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</si>
  <si>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</si>
  <si>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</si>
  <si>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</si>
  <si>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</si>
  <si>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</si>
  <si>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</si>
  <si>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</si>
  <si>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</si>
  <si>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</si>
  <si>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</si>
  <si>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</si>
  <si>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</si>
  <si>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</si>
  <si>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</si>
  <si>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</si>
  <si>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</si>
  <si>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</si>
  <si>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</si>
  <si>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</si>
  <si>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</si>
  <si>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</si>
  <si>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</si>
  <si>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</si>
  <si>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</si>
  <si>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</si>
  <si>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</si>
  <si>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</si>
  <si>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</si>
  <si>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</si>
  <si>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</si>
  <si>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</si>
  <si>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</si>
  <si>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</si>
  <si>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</si>
  <si>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</si>
  <si>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</si>
  <si>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</si>
  <si>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</si>
  <si>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</si>
  <si>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</si>
  <si>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</si>
  <si>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</si>
  <si>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</si>
  <si>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</si>
  <si>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</si>
  <si>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</si>
  <si>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</si>
  <si>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</si>
  <si>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</si>
  <si>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</si>
  <si>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</si>
  <si>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</si>
  <si>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</si>
  <si>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</si>
  <si>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</si>
  <si>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</si>
  <si>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</si>
  <si>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</si>
  <si>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</si>
  <si>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</si>
  <si>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</si>
  <si>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</si>
  <si>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</si>
  <si>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</si>
  <si>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</si>
  <si>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</si>
  <si>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</si>
  <si>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</si>
  <si>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</si>
  <si>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</si>
  <si>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</si>
  <si>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</si>
  <si>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</si>
  <si>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</si>
  <si>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</si>
  <si>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</si>
  <si>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</si>
  <si>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</si>
  <si>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</si>
  <si>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</si>
  <si>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</si>
  <si>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</si>
  <si>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</si>
  <si>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</si>
  <si>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</si>
  <si>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</si>
  <si>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</si>
  <si>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</si>
  <si>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</si>
  <si>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</si>
  <si>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</si>
  <si>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</si>
  <si>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</si>
  <si>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</si>
  <si>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</si>
  <si>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</si>
  <si>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</si>
  <si>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</si>
  <si>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</si>
  <si>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</si>
  <si>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</si>
  <si>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</si>
  <si>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</si>
  <si>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</si>
  <si>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</si>
  <si>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</si>
  <si>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</si>
  <si>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</si>
  <si>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</si>
  <si>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</si>
  <si>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</si>
  <si>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</si>
  <si>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</si>
  <si>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</si>
  <si>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</si>
  <si>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</si>
  <si>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</si>
  <si>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</si>
  <si>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</si>
  <si>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</si>
  <si>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</si>
  <si>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</si>
  <si>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</si>
  <si>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</si>
  <si>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</si>
  <si>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</si>
  <si>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</si>
  <si>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</si>
  <si>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</si>
  <si>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</si>
  <si>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</si>
  <si>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</si>
  <si>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</si>
  <si>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</si>
  <si>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</si>
  <si>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</si>
  <si>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</si>
  <si>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</si>
  <si>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</si>
  <si>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</si>
  <si>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</si>
  <si>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</si>
  <si>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</si>
  <si>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</si>
  <si>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</si>
  <si>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</si>
  <si>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</si>
  <si>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</si>
  <si>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</si>
  <si>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</si>
  <si>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</si>
  <si>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</si>
  <si>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</si>
  <si>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</si>
  <si>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</si>
  <si>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</si>
  <si>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</si>
  <si>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</si>
  <si>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</si>
  <si>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</si>
  <si>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</si>
  <si>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</si>
  <si>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</si>
  <si>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</si>
  <si>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</si>
  <si>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</si>
  <si>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</si>
  <si>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</si>
  <si>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</si>
  <si>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</si>
  <si>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</si>
  <si>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</si>
  <si>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</si>
  <si>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</si>
  <si>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</si>
  <si>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</si>
  <si>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</si>
  <si>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</si>
  <si>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</si>
  <si>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</si>
  <si>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</si>
  <si>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</si>
  <si>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</si>
  <si>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</si>
  <si>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</si>
  <si>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</si>
  <si>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</si>
  <si>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</si>
  <si>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</si>
  <si>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</si>
  <si>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</si>
  <si>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</si>
  <si>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</si>
  <si>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</si>
  <si>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</si>
  <si>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</si>
  <si>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</si>
  <si>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</si>
  <si>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</si>
  <si>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</si>
  <si>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</si>
  <si>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</si>
  <si>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</si>
  <si>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</si>
  <si>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</si>
  <si>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</si>
  <si>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</si>
  <si>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</si>
  <si>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</si>
  <si>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</si>
  <si>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</si>
  <si>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</si>
  <si>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</si>
  <si>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</si>
  <si>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</si>
  <si>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</si>
  <si>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</si>
  <si>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</si>
  <si>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</si>
  <si>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</si>
  <si>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</si>
  <si>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</si>
  <si>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</si>
  <si>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</si>
  <si>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</si>
  <si>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</si>
  <si>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</si>
  <si>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</si>
  <si>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</si>
  <si>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</si>
  <si>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</si>
  <si>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</si>
  <si>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</si>
  <si>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</si>
  <si>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</si>
  <si>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</si>
  <si>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</si>
  <si>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</si>
  <si>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</si>
  <si>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</si>
  <si>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</si>
  <si>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</si>
  <si>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</si>
  <si>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</si>
  <si>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</si>
  <si>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</si>
  <si>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</si>
  <si>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</si>
  <si>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</si>
  <si>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</si>
  <si>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</si>
  <si>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</si>
  <si>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</si>
  <si>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</si>
  <si>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</si>
  <si>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</si>
  <si>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</si>
  <si>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</si>
  <si>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</si>
  <si>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</si>
  <si>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</si>
  <si>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</si>
  <si>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</si>
  <si>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</si>
  <si>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</si>
  <si>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</si>
  <si>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</si>
  <si>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</si>
  <si>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</si>
  <si>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</si>
  <si>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</si>
  <si>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</si>
  <si>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</si>
  <si>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</si>
  <si>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</si>
  <si>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</si>
  <si>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</si>
  <si>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</si>
  <si>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</si>
  <si>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</si>
  <si>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</si>
  <si>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</si>
  <si>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</si>
  <si>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</si>
  <si>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</si>
  <si>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</si>
  <si>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</si>
  <si>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</si>
  <si>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</si>
  <si>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</si>
  <si>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</si>
  <si>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</si>
  <si>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</si>
  <si>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</si>
  <si>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</si>
  <si>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</si>
  <si>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</si>
  <si>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</si>
  <si>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</si>
  <si>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</si>
  <si>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</si>
  <si>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</si>
  <si>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</si>
  <si>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</si>
  <si>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</si>
  <si>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</si>
  <si>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</si>
  <si>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</si>
  <si>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</si>
  <si>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</si>
  <si>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</si>
  <si>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</si>
  <si>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</si>
  <si>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</si>
  <si>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</si>
  <si>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</si>
  <si>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</si>
  <si>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</si>
  <si>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</si>
  <si>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</si>
  <si>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</si>
  <si>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</si>
  <si>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</si>
  <si>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</si>
  <si>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</si>
  <si>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</si>
  <si>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</si>
  <si>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</si>
  <si>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</si>
  <si>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</si>
  <si>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</si>
  <si>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</si>
  <si>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</si>
  <si>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</si>
  <si>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</si>
  <si>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</si>
  <si>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</si>
  <si>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</si>
  <si>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</si>
  <si>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</si>
  <si>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</si>
  <si>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</si>
  <si>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</si>
  <si>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</si>
  <si>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</si>
  <si>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</si>
  <si>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</si>
  <si>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</si>
  <si>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</si>
  <si>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</si>
  <si>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</si>
  <si>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</si>
  <si>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</si>
  <si>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</si>
  <si>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</si>
  <si>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</si>
  <si>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</si>
  <si>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</si>
  <si>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</si>
  <si>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</si>
  <si>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</si>
  <si>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</si>
  <si>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</si>
  <si>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</si>
  <si>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</si>
  <si>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</si>
  <si>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</si>
  <si>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</si>
  <si>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</si>
  <si>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</si>
  <si>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</si>
  <si>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</si>
  <si>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</si>
  <si>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</si>
  <si>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</si>
  <si>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</si>
  <si>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</si>
  <si>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</si>
  <si>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</si>
  <si>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</si>
  <si>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</si>
  <si>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</si>
  <si>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</si>
  <si>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</si>
  <si>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</si>
  <si>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</si>
  <si>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</si>
  <si>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</si>
  <si>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</si>
  <si>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</si>
  <si>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</si>
  <si>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</si>
  <si>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</si>
  <si>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</si>
  <si>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</si>
  <si>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</si>
  <si>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</si>
  <si>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</si>
  <si>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</si>
  <si>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</si>
  <si>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</si>
  <si>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</si>
  <si>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</si>
  <si>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</si>
  <si>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</si>
  <si>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</si>
  <si>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</si>
  <si>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</si>
  <si>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</si>
  <si>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</si>
  <si>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</si>
  <si>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</si>
  <si>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</si>
  <si>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</si>
  <si>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</si>
  <si>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</si>
  <si>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</si>
  <si>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</si>
  <si>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</si>
  <si>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</si>
  <si>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</si>
  <si>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</si>
  <si>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</si>
  <si>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</si>
  <si>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</si>
  <si>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</si>
  <si>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</si>
  <si>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</si>
  <si>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</si>
  <si>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</si>
  <si>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</si>
  <si>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</si>
  <si>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</si>
  <si>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</si>
  <si>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</si>
  <si>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</si>
  <si>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</si>
  <si>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</si>
  <si>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</si>
  <si>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</si>
  <si>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</si>
  <si>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</si>
  <si>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</si>
  <si>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</si>
  <si>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</si>
  <si>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</si>
  <si>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</si>
  <si>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</si>
  <si>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</si>
  <si>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</si>
  <si>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</si>
  <si>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</si>
  <si>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</si>
  <si>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</si>
  <si>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</si>
  <si>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</si>
  <si>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</si>
  <si>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</si>
  <si>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</si>
  <si>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</si>
  <si>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</si>
  <si>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</si>
  <si>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</si>
  <si>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</si>
  <si>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</si>
  <si>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</si>
  <si>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</si>
  <si>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</si>
  <si>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</si>
  <si>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</si>
  <si>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</si>
  <si>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</si>
  <si>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</si>
  <si>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</si>
  <si>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</si>
  <si>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</si>
  <si>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</si>
  <si>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</si>
  <si>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</si>
  <si>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</si>
  <si>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</si>
  <si>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</si>
  <si>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</si>
  <si>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</si>
  <si>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</si>
  <si>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</si>
  <si>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</si>
  <si>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</si>
  <si>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</si>
  <si>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</si>
  <si>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</si>
  <si>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</si>
  <si>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</si>
  <si>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</si>
  <si>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</si>
  <si>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</si>
  <si>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</si>
  <si>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</si>
  <si>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</si>
  <si>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</si>
  <si>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</si>
  <si>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</si>
  <si>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</si>
  <si>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</si>
  <si>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</si>
  <si>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</si>
  <si>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</si>
  <si>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</si>
  <si>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</si>
  <si>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</si>
  <si>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</si>
  <si>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</si>
  <si>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</si>
  <si>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</si>
  <si>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</si>
  <si>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</si>
  <si>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</si>
  <si>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</si>
  <si>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</si>
  <si>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</si>
  <si>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</si>
  <si>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</si>
  <si>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</si>
  <si>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</si>
  <si>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</si>
  <si>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</si>
  <si>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</si>
  <si>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</si>
  <si>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</si>
  <si>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</si>
  <si>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</si>
  <si>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</si>
  <si>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</si>
  <si>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</si>
  <si>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</si>
  <si>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</si>
  <si>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</si>
  <si>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</si>
  <si>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</si>
  <si>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</si>
  <si>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</si>
  <si>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</si>
  <si>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</si>
  <si>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</si>
  <si>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</si>
  <si>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</si>
  <si>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</si>
  <si>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</si>
  <si>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</si>
  <si>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</si>
  <si>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</si>
  <si>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</si>
  <si>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</si>
  <si>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</si>
  <si>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</si>
  <si>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</si>
  <si>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</si>
  <si>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</si>
  <si>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</si>
  <si>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</si>
  <si>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</si>
  <si>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</si>
  <si>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</si>
  <si>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</si>
  <si>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</si>
  <si>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</si>
  <si>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</si>
  <si>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</si>
  <si>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</si>
  <si>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</si>
  <si>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</si>
  <si>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</si>
  <si>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</si>
  <si>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</si>
  <si>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</si>
  <si>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</si>
  <si>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</si>
  <si>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</si>
  <si>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</si>
  <si>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</si>
  <si>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</si>
  <si>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</si>
  <si>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</si>
  <si>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</si>
  <si>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</si>
  <si>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</si>
  <si>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</si>
  <si>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</si>
  <si>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</si>
  <si>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</si>
  <si>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</si>
  <si>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</si>
  <si>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</si>
  <si>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</si>
  <si>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</si>
  <si>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</si>
  <si>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</si>
  <si>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</si>
  <si>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</si>
  <si>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</si>
  <si>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</si>
  <si>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</si>
  <si>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</si>
  <si>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</si>
  <si>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</si>
  <si>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</si>
  <si>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</si>
  <si>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</si>
  <si>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</si>
  <si>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</si>
  <si>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</si>
  <si>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</si>
  <si>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</si>
  <si>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</si>
  <si>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</si>
  <si>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</si>
  <si>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</si>
  <si>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</si>
  <si>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</si>
  <si>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</si>
  <si>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</si>
  <si>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</si>
  <si>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</si>
  <si>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</si>
  <si>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</si>
  <si>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</si>
  <si>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</si>
  <si>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</si>
  <si>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</si>
  <si>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</si>
  <si>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</si>
  <si>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</si>
  <si>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</si>
  <si>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</si>
  <si>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</si>
  <si>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</si>
  <si>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</si>
  <si>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</si>
  <si>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</si>
  <si>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</si>
  <si>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</si>
  <si>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</si>
  <si>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</si>
  <si>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</si>
  <si>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</si>
  <si>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</si>
  <si>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</si>
  <si>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</si>
  <si>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</si>
  <si>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</si>
  <si>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</si>
  <si>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</si>
  <si>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</si>
  <si>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</si>
  <si>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</si>
  <si>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</si>
  <si>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</si>
  <si>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</si>
  <si>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</si>
  <si>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</si>
  <si>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</si>
  <si>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</si>
  <si>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</si>
  <si>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</si>
  <si>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</si>
  <si>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</si>
  <si>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</si>
  <si>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</si>
  <si>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</si>
  <si>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</si>
  <si>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</si>
  <si>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</si>
  <si>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</si>
  <si>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</si>
  <si>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</si>
  <si>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</si>
  <si>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</si>
  <si>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</si>
  <si>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</si>
  <si>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</si>
  <si>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</si>
  <si>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</si>
  <si>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</si>
  <si>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</si>
  <si>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</si>
  <si>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</si>
  <si>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</si>
  <si>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</si>
  <si>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</si>
  <si>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</si>
  <si>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</si>
  <si>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</si>
  <si>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</si>
  <si>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</si>
  <si>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</si>
  <si>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</si>
  <si>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</si>
  <si>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</si>
  <si>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</si>
  <si>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</si>
  <si>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</si>
  <si>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</si>
  <si>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</si>
  <si>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</si>
  <si>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</si>
  <si>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</si>
  <si>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</si>
  <si>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</si>
  <si>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</si>
  <si>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</si>
  <si>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</si>
  <si>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</si>
  <si>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</si>
  <si>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</si>
  <si>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</si>
  <si>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</si>
  <si>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</si>
  <si>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</si>
  <si>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</si>
  <si>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</si>
  <si>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</si>
  <si>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</si>
  <si>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</si>
  <si>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</si>
  <si>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</si>
  <si>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</si>
  <si>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</si>
  <si>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</si>
  <si>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</si>
  <si>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</si>
  <si>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</si>
  <si>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</si>
  <si>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</si>
  <si>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</si>
  <si>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</si>
  <si>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</si>
  <si>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</si>
  <si>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</si>
  <si>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</si>
  <si>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</si>
  <si>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</si>
  <si>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</si>
  <si>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</si>
  <si>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</si>
  <si>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</si>
  <si>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</si>
  <si>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</si>
  <si>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</si>
  <si>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</si>
  <si>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</si>
  <si>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</si>
  <si>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</si>
  <si>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</si>
  <si>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</si>
  <si>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</si>
  <si>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</si>
  <si>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</si>
  <si>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</si>
  <si>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</si>
  <si>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</si>
  <si>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</si>
  <si>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</si>
  <si>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</si>
  <si>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</si>
  <si>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</si>
  <si>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</si>
  <si>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</si>
  <si>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</si>
  <si>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</si>
  <si>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</si>
  <si>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</si>
  <si>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</si>
  <si>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</si>
  <si>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</si>
  <si>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</si>
  <si>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</si>
  <si>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</si>
  <si>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</si>
  <si>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</si>
  <si>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</si>
  <si>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</si>
  <si>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</si>
  <si>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</si>
  <si>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</si>
  <si>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</si>
  <si>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</si>
  <si>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</si>
  <si>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</si>
  <si>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</si>
  <si>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</si>
  <si>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</si>
  <si>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</si>
  <si>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</si>
  <si>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</si>
  <si>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</si>
  <si>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</si>
  <si>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</si>
  <si>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</si>
  <si>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</si>
  <si>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</si>
  <si>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</si>
  <si>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</si>
  <si>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</si>
  <si>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</si>
  <si>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</si>
  <si>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</si>
  <si>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</si>
  <si>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</si>
  <si>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</si>
  <si>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</si>
  <si>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</si>
  <si>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</si>
  <si>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</si>
  <si>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</si>
  <si>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</si>
  <si>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</si>
  <si>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</si>
  <si>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</si>
  <si>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</si>
  <si>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</si>
  <si>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</si>
  <si>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</si>
  <si>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</si>
  <si>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</si>
  <si>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</si>
  <si>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</si>
  <si>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</si>
  <si>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</si>
  <si>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</si>
  <si>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</si>
  <si>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</si>
  <si>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</si>
  <si>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</si>
  <si>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</si>
  <si>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</si>
  <si>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</si>
  <si>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</si>
  <si>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</si>
  <si>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</si>
  <si>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</si>
  <si>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</si>
  <si>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</si>
  <si>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</si>
  <si>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</si>
  <si>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</si>
  <si>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</si>
  <si>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</si>
  <si>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</si>
  <si>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</si>
  <si>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</si>
  <si>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</si>
  <si>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</si>
  <si>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</si>
  <si>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</si>
  <si>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</si>
  <si>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</si>
  <si>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</si>
  <si>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</si>
  <si>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</si>
  <si>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</si>
  <si>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</si>
  <si>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</si>
  <si>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</si>
  <si>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</si>
  <si>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</si>
  <si>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</si>
  <si>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</si>
  <si>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</si>
  <si>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</si>
  <si>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</si>
  <si>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</si>
  <si>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</si>
  <si>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</si>
  <si>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</si>
  <si>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</si>
  <si>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</si>
  <si>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</si>
  <si>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</si>
  <si>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</si>
  <si>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</si>
  <si>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</si>
  <si>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</si>
  <si>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</si>
  <si>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</si>
  <si>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</si>
  <si>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</si>
  <si>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</si>
  <si>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</si>
  <si>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</si>
  <si>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</si>
  <si>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</si>
  <si>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</si>
  <si>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</si>
  <si>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</si>
  <si>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</si>
  <si>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</si>
  <si>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</si>
  <si>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</si>
  <si>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</si>
  <si>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</si>
  <si>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</si>
  <si>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</si>
  <si>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</si>
  <si>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</si>
  <si>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</si>
  <si>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</si>
  <si>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</si>
  <si>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</si>
  <si>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</si>
  <si>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</si>
  <si>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</si>
  <si>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</si>
  <si>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</si>
  <si>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</si>
  <si>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</si>
  <si>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</si>
  <si>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</si>
  <si>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</si>
  <si>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</si>
  <si>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</si>
  <si>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</si>
  <si>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</si>
  <si>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</si>
  <si>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</si>
  <si>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</si>
  <si>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</si>
  <si>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</si>
  <si>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</si>
  <si>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</si>
  <si>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</si>
  <si>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</si>
  <si>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</si>
  <si>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</si>
  <si>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</si>
  <si>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</si>
  <si>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</si>
  <si>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</si>
  <si>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</si>
  <si>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</si>
  <si>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</si>
  <si>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</si>
  <si>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</si>
  <si>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</si>
  <si>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</si>
  <si>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</si>
  <si>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</si>
  <si>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</si>
  <si>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</si>
  <si>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</si>
  <si>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</si>
  <si>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</si>
  <si>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</si>
  <si>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</si>
  <si>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</si>
  <si>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</si>
  <si>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</si>
  <si>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</si>
  <si>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</si>
  <si>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</si>
  <si>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</si>
  <si>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</si>
  <si>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</si>
  <si>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</si>
  <si>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</si>
  <si>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</si>
  <si>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</si>
  <si>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</si>
  <si>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</si>
  <si>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</si>
  <si>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</si>
  <si>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</si>
  <si>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</si>
  <si>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</si>
  <si>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</si>
  <si>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</si>
  <si>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</si>
  <si>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</si>
  <si>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</si>
  <si>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</si>
  <si>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</si>
  <si>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</si>
  <si>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</si>
  <si>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</si>
  <si>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</si>
  <si>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</si>
  <si>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</si>
  <si>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</si>
  <si>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</si>
  <si>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</si>
  <si>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</si>
  <si>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</si>
  <si>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</si>
  <si>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</si>
  <si>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</si>
  <si>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</si>
  <si>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</si>
  <si>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</si>
  <si>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</si>
  <si>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</si>
  <si>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</si>
  <si>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</si>
  <si>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</si>
  <si>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</si>
  <si>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</si>
  <si>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</si>
  <si>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</si>
  <si>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</si>
  <si>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</si>
  <si>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</si>
  <si>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</si>
  <si>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</si>
  <si>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</si>
  <si>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</si>
  <si>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</si>
  <si>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</si>
  <si>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</si>
  <si>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</si>
  <si>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</si>
  <si>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</si>
  <si>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</si>
  <si>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</si>
  <si>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</si>
  <si>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</si>
  <si>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</si>
  <si>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</si>
  <si>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</si>
  <si>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</si>
  <si>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</si>
  <si>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</si>
  <si>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</si>
  <si>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</si>
  <si>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</si>
  <si>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</si>
  <si>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</si>
  <si>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</si>
  <si>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</si>
  <si>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</si>
  <si>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</si>
  <si>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</si>
  <si>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</si>
  <si>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</si>
  <si>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</si>
  <si>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</si>
  <si>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</si>
  <si>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</si>
  <si>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</si>
  <si>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</si>
  <si>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</si>
  <si>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</si>
  <si>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</si>
  <si>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</si>
  <si>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</si>
  <si>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</si>
  <si>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</si>
  <si>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</si>
  <si>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</si>
  <si>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</si>
  <si>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</si>
  <si>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</si>
  <si>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</si>
  <si>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</si>
  <si>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</si>
  <si>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</si>
  <si>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</si>
  <si>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</si>
  <si>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</si>
  <si>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</si>
  <si>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</si>
  <si>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</si>
  <si>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</si>
  <si>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</si>
  <si>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</si>
  <si>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</si>
  <si>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</si>
  <si>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</si>
  <si>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</si>
  <si>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</si>
  <si>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</si>
  <si>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</si>
  <si>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</si>
  <si>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</si>
  <si>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</si>
  <si>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</si>
  <si>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</si>
  <si>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</si>
  <si>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</si>
  <si>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</si>
  <si>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</si>
  <si>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</si>
  <si>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</si>
  <si>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</si>
  <si>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</si>
  <si>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</si>
  <si>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</si>
  <si>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</si>
  <si>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</si>
  <si>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</si>
  <si>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</si>
  <si>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</si>
  <si>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</si>
  <si>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</si>
  <si>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</si>
  <si>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</si>
  <si>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</si>
  <si>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</si>
  <si>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</si>
  <si>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</si>
  <si>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</si>
  <si>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</si>
  <si>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</si>
  <si>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</si>
  <si>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</si>
  <si>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</si>
  <si>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</si>
  <si>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</si>
  <si>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</si>
  <si>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</si>
  <si>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</si>
  <si>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</si>
  <si>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</si>
  <si>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</si>
  <si>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</si>
  <si>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</si>
  <si>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</si>
  <si>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</si>
  <si>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</si>
  <si>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</si>
  <si>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</si>
  <si>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</si>
  <si>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</si>
  <si>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</si>
  <si>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</si>
  <si>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</si>
  <si>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</si>
  <si>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</si>
  <si>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</si>
  <si>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</si>
  <si>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</si>
  <si>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</si>
  <si>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</si>
  <si>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</si>
  <si>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</si>
  <si>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</si>
  <si>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</si>
  <si>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</si>
  <si>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</si>
  <si>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</si>
  <si>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</si>
  <si>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</si>
  <si>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</si>
  <si>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</si>
  <si>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</si>
  <si>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</si>
  <si>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</si>
  <si>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</si>
  <si>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</si>
  <si>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</si>
  <si>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</si>
  <si>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</si>
  <si>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</si>
  <si>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</si>
  <si>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</si>
  <si>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</si>
  <si>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</si>
  <si>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</si>
  <si>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</si>
  <si>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</si>
  <si>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</si>
  <si>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</si>
  <si>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</si>
  <si>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</si>
  <si>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</si>
  <si>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</si>
  <si>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</si>
  <si>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</si>
  <si>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</si>
  <si>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</si>
  <si>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</si>
  <si>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</si>
  <si>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</si>
  <si>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</si>
  <si>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</si>
  <si>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</si>
  <si>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</si>
  <si>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</si>
  <si>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</si>
  <si>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</si>
  <si>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</si>
  <si>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</si>
  <si>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</si>
  <si>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</si>
  <si>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</si>
  <si>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</si>
  <si>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</si>
  <si>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</si>
  <si>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</si>
  <si>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</si>
  <si>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</si>
  <si>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</si>
  <si>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</si>
  <si>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</si>
  <si>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</si>
  <si>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</si>
  <si>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</si>
  <si>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</si>
  <si>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</si>
  <si>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</si>
  <si>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</si>
  <si>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</si>
  <si>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</si>
  <si>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</si>
  <si>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</si>
  <si>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</si>
  <si>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</si>
  <si>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</si>
  <si>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</si>
  <si>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</si>
  <si>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</si>
  <si>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</si>
  <si>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</si>
  <si>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</si>
  <si>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</si>
  <si>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</si>
  <si>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</si>
  <si>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</si>
  <si>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</si>
  <si>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</si>
  <si>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</si>
  <si>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</si>
  <si>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</si>
  <si>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</si>
  <si>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</si>
  <si>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</si>
  <si>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</si>
  <si>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</si>
  <si>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</si>
  <si>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</si>
  <si>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</si>
  <si>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</si>
  <si>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</si>
  <si>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</si>
  <si>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</si>
  <si>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</si>
  <si>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</si>
  <si>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</si>
  <si>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</si>
  <si>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</si>
  <si>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</si>
  <si>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</si>
  <si>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</si>
  <si>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</si>
  <si>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</si>
  <si>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</si>
  <si>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</si>
  <si>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</si>
  <si>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</si>
  <si>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</si>
  <si>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</si>
  <si>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</si>
  <si>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</si>
  <si>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</si>
  <si>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</si>
  <si>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</si>
  <si>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</si>
  <si>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</si>
  <si>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</si>
  <si>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</si>
  <si>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</si>
  <si>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</si>
  <si>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</si>
  <si>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</si>
  <si>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</si>
  <si>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</si>
  <si>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</si>
  <si>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</si>
  <si>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</si>
  <si>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</si>
  <si>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</si>
  <si>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</si>
  <si>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</si>
  <si>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</si>
  <si>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</si>
  <si>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</si>
  <si>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</si>
  <si>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</si>
  <si>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</si>
  <si>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</si>
  <si>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</si>
  <si>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</si>
  <si>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</si>
  <si>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</si>
  <si>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</si>
  <si>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</si>
  <si>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</si>
  <si>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</si>
  <si>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</si>
  <si>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</si>
  <si>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</si>
  <si>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</si>
  <si>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</si>
  <si>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</si>
  <si>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</si>
  <si>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</si>
  <si>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</si>
  <si>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</si>
  <si>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</si>
  <si>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</si>
  <si>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</si>
  <si>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</si>
  <si>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</si>
  <si>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</si>
  <si>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</si>
  <si>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</si>
  <si>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</si>
  <si>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</si>
  <si>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</si>
  <si>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</si>
  <si>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</si>
  <si>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</si>
  <si>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</si>
  <si>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</si>
  <si>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</si>
  <si>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</si>
  <si>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</si>
  <si>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</si>
  <si>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</si>
  <si>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</si>
  <si>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</si>
  <si>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</si>
  <si>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</si>
  <si>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</si>
  <si>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</si>
  <si>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</si>
  <si>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</si>
  <si>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</si>
  <si>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</si>
  <si>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</si>
  <si>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</si>
  <si>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</si>
  <si>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</si>
  <si>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</si>
  <si>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</si>
  <si>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</si>
  <si>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</si>
  <si>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</si>
  <si>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</si>
  <si>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</si>
  <si>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</si>
  <si>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</si>
  <si>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</si>
  <si>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</si>
  <si>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</si>
  <si>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</si>
  <si>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</si>
  <si>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</si>
  <si>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</si>
  <si>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</si>
  <si>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</si>
  <si>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</si>
  <si>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</si>
  <si>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</si>
  <si>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</si>
  <si>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</si>
  <si>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</si>
  <si>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</si>
  <si>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</si>
  <si>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</si>
  <si>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</si>
  <si>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</si>
  <si>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</si>
  <si>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</si>
  <si>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</si>
  <si>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</si>
  <si>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</si>
  <si>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</si>
  <si>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</si>
  <si>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</si>
  <si>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</si>
  <si>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</si>
  <si>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</si>
  <si>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</si>
  <si>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</si>
  <si>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</si>
  <si>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</si>
  <si>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</si>
  <si>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</si>
  <si>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</si>
  <si>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</si>
  <si>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</si>
  <si>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</si>
  <si>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</si>
  <si>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</si>
  <si>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</si>
  <si>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</si>
  <si>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</si>
  <si>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</si>
  <si>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</si>
  <si>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</si>
  <si>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</si>
  <si>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</si>
  <si>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</si>
  <si>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</si>
  <si>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</si>
  <si>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</si>
  <si>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</si>
  <si>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</si>
  <si>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</si>
  <si>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</si>
  <si>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</si>
  <si>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</si>
  <si>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</si>
  <si>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</si>
  <si>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</si>
  <si>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</si>
  <si>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</si>
  <si>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</si>
  <si>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</si>
  <si>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</si>
  <si>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</si>
  <si>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</si>
  <si>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</si>
  <si>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</si>
  <si>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</si>
  <si>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</si>
  <si>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</si>
  <si>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</si>
  <si>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</si>
  <si>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</si>
  <si>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</si>
  <si>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</si>
  <si>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</si>
  <si>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</si>
  <si>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</si>
  <si>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</si>
  <si>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</si>
  <si>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</si>
  <si>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</si>
  <si>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</si>
  <si>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</si>
  <si>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</si>
  <si>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</si>
  <si>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</si>
  <si>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</si>
  <si>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</si>
  <si>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</si>
  <si>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</si>
  <si>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</si>
  <si>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</si>
  <si>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</si>
  <si>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</si>
  <si>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</si>
  <si>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</si>
  <si>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</si>
  <si>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</si>
  <si>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</si>
  <si>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</si>
  <si>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</si>
  <si>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</si>
  <si>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</si>
  <si>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</si>
  <si>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</si>
  <si>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</si>
  <si>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</si>
  <si>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</si>
  <si>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</si>
  <si>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</si>
  <si>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</si>
  <si>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</si>
  <si>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</si>
  <si>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</si>
  <si>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</si>
  <si>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</si>
  <si>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</si>
  <si>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</si>
  <si>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</si>
  <si>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</si>
  <si>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</si>
  <si>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</si>
  <si>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</si>
  <si>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</si>
  <si>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</si>
  <si>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</si>
  <si>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</si>
  <si>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</si>
  <si>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</si>
  <si>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</si>
  <si>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</si>
  <si>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</si>
  <si>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</si>
  <si>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</si>
  <si>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</si>
  <si>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</si>
  <si>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</si>
  <si>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</si>
  <si>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</si>
  <si>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</si>
  <si>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</si>
  <si>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</si>
  <si>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</si>
  <si>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</si>
  <si>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</si>
  <si>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</si>
  <si>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</si>
  <si>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</si>
  <si>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</si>
  <si>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</si>
  <si>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</si>
  <si>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</si>
  <si>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</si>
  <si>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</si>
  <si>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</si>
  <si>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</si>
  <si>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</si>
  <si>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</si>
  <si>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</si>
  <si>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</si>
  <si>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</si>
  <si>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</si>
  <si>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</si>
  <si>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</si>
  <si>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</si>
  <si>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</si>
  <si>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</si>
  <si>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</si>
  <si>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</si>
  <si>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</si>
  <si>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</si>
  <si>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</si>
  <si>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</si>
  <si>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</si>
  <si>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</si>
  <si>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</si>
  <si>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</si>
  <si>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</si>
  <si>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</si>
  <si>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</si>
  <si>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</si>
  <si>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</si>
  <si>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</si>
  <si>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</si>
  <si>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</si>
  <si>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</si>
  <si>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</si>
  <si>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</si>
  <si>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</si>
  <si>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</si>
  <si>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</si>
  <si>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</si>
  <si>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</si>
  <si>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</si>
  <si>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</si>
  <si>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</si>
  <si>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</si>
  <si>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</si>
  <si>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</si>
  <si>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</si>
  <si>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</si>
  <si>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</si>
  <si>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</si>
  <si>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</si>
  <si>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</si>
  <si>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</si>
  <si>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</si>
  <si>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</si>
  <si>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</si>
  <si>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</si>
  <si>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</si>
  <si>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</si>
  <si>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</si>
  <si>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</si>
  <si>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</si>
  <si>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</si>
  <si>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</si>
  <si>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</si>
  <si>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</si>
  <si>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</si>
  <si>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</si>
  <si>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</si>
  <si>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</si>
  <si>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</si>
  <si>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</si>
  <si>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</si>
  <si>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</si>
  <si>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</si>
  <si>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</si>
  <si>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</si>
  <si>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</si>
  <si>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</si>
  <si>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</si>
  <si>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</si>
  <si>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</si>
  <si>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</si>
  <si>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</si>
  <si>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</si>
  <si>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</si>
  <si>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</si>
  <si>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</si>
  <si>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</si>
  <si>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</si>
  <si>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</si>
  <si>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</si>
  <si>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</si>
  <si>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</si>
  <si>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</si>
  <si>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</si>
  <si>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</si>
  <si>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</si>
  <si>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</si>
  <si>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</si>
  <si>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</si>
  <si>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</si>
  <si>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</si>
  <si>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</si>
  <si>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</si>
  <si>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</si>
  <si>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</si>
  <si>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</si>
  <si>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</si>
  <si>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</si>
  <si>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</si>
  <si>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</si>
  <si>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</si>
  <si>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</si>
  <si>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</si>
  <si>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</si>
  <si>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</si>
  <si>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</si>
  <si>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</si>
  <si>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</si>
  <si>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</si>
  <si>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</si>
  <si>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</si>
  <si>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</si>
  <si>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</si>
  <si>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</si>
  <si>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</si>
  <si>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</si>
  <si>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</si>
  <si>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</si>
  <si>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</si>
  <si>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</si>
  <si>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</si>
  <si>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</si>
  <si>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</si>
  <si>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</si>
  <si>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</si>
  <si>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</si>
  <si>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</si>
  <si>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</si>
  <si>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</si>
  <si>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</si>
  <si>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</si>
  <si>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</si>
  <si>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</si>
  <si>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</si>
  <si>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</si>
  <si>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</si>
  <si>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</si>
  <si>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</si>
  <si>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</si>
  <si>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</si>
  <si>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</si>
  <si>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</si>
  <si>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</si>
  <si>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</si>
  <si>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</si>
  <si>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</si>
  <si>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</si>
  <si>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</si>
  <si>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</si>
  <si>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</si>
  <si>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</si>
  <si>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</si>
  <si>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</si>
  <si>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</si>
  <si>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</si>
  <si>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</si>
  <si>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</si>
  <si>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</si>
  <si>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</si>
  <si>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</si>
  <si>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</si>
  <si>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</si>
  <si>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</si>
  <si>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</si>
  <si>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</si>
  <si>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</si>
  <si>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</si>
  <si>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</si>
  <si>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</si>
  <si>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</si>
  <si>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</si>
  <si>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</si>
  <si>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</si>
  <si>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</si>
  <si>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</si>
  <si>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</si>
  <si>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</si>
  <si>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</si>
  <si>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</si>
  <si>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</si>
  <si>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</si>
  <si>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</si>
  <si>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</si>
  <si>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</si>
  <si>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</si>
  <si>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</si>
  <si>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</si>
  <si>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</si>
  <si>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</si>
  <si>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</si>
  <si>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</si>
  <si>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</si>
  <si>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</si>
  <si>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</si>
  <si>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</si>
  <si>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</si>
  <si>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</si>
  <si>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</si>
  <si>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</si>
  <si>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</si>
  <si>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</si>
  <si>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</si>
  <si>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</si>
  <si>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</si>
  <si>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</si>
  <si>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</si>
  <si>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</si>
  <si>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</si>
  <si>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</si>
  <si>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</si>
  <si>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</si>
  <si>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</si>
  <si>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</si>
  <si>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</si>
  <si>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</si>
  <si>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</si>
  <si>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</si>
  <si>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</si>
  <si>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</si>
  <si>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</si>
  <si>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</si>
  <si>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</si>
  <si>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</si>
  <si>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</si>
  <si>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</si>
  <si>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</si>
  <si>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</si>
  <si>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</si>
  <si>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</si>
  <si>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</si>
  <si>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</si>
  <si>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</si>
  <si>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</si>
  <si>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</si>
  <si>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</si>
  <si>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</si>
  <si>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</si>
  <si>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</si>
  <si>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</si>
  <si>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</si>
  <si>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</si>
  <si>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</si>
  <si>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</si>
  <si>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</si>
  <si>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</si>
  <si>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</si>
  <si>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</si>
  <si>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</si>
  <si>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</si>
  <si>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</si>
  <si>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</si>
  <si>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</si>
  <si>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</si>
  <si>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</si>
  <si>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</si>
  <si>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</si>
  <si>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</si>
  <si>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</si>
  <si>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</si>
  <si>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</si>
  <si>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</si>
  <si>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</si>
  <si>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</si>
  <si>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</si>
  <si>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</si>
  <si>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</si>
  <si>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</si>
  <si>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</si>
  <si>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</si>
  <si>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</si>
  <si>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</si>
  <si>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</si>
  <si>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</si>
  <si>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</si>
  <si>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</si>
  <si>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</si>
  <si>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</si>
  <si>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</si>
  <si>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</si>
  <si>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</si>
  <si>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</si>
  <si>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</si>
  <si>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</si>
  <si>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</si>
  <si>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</si>
  <si>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</si>
  <si>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</si>
  <si>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</si>
  <si>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</si>
  <si>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</si>
  <si>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</si>
  <si>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</si>
  <si>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</si>
  <si>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</si>
  <si>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</si>
  <si>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</si>
  <si>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</si>
  <si>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</si>
  <si>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</si>
  <si>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</si>
  <si>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</si>
  <si>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</si>
  <si>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</si>
  <si>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</si>
  <si>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</si>
  <si>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</si>
  <si>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</si>
  <si>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</si>
  <si>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</si>
  <si>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</si>
  <si>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</si>
  <si>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</si>
  <si>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</si>
  <si>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</si>
  <si>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</si>
  <si>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</si>
  <si>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</si>
  <si>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</si>
  <si>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</si>
  <si>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</si>
  <si>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</si>
  <si>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</si>
  <si>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</si>
  <si>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</si>
  <si>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</si>
  <si>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</si>
  <si>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</si>
  <si>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</si>
  <si>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</si>
  <si>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</si>
  <si>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</si>
  <si>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</si>
  <si>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</si>
  <si>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</si>
  <si>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</si>
  <si>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</si>
  <si>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</si>
  <si>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</si>
  <si>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</si>
  <si>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</si>
  <si>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</si>
  <si>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</si>
  <si>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</si>
  <si>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</si>
  <si>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</si>
  <si>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</si>
  <si>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</si>
  <si>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</si>
  <si>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</si>
  <si>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</si>
  <si>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</si>
  <si>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</si>
  <si>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</si>
  <si>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</si>
  <si>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</si>
  <si>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</si>
  <si>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</si>
  <si>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</si>
  <si>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</si>
  <si>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</si>
  <si>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</si>
  <si>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</si>
  <si>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</si>
  <si>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</si>
  <si>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</si>
  <si>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</si>
  <si>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</si>
  <si>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</si>
  <si>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</si>
  <si>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</si>
  <si>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</si>
  <si>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</si>
  <si>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</si>
  <si>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</si>
  <si>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</si>
  <si>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</si>
  <si>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</si>
  <si>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</si>
  <si>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</si>
  <si>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</si>
  <si>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</si>
  <si>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</si>
  <si>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</si>
  <si>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</si>
  <si>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</si>
  <si>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</si>
  <si>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</si>
  <si>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</si>
  <si>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</si>
  <si>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</si>
  <si>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</si>
  <si>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</si>
  <si>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</si>
  <si>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</si>
  <si>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</si>
  <si>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</si>
  <si>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</si>
  <si>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</si>
  <si>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</si>
  <si>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</si>
  <si>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</si>
  <si>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</si>
  <si>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</si>
  <si>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</si>
  <si>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</si>
  <si>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</si>
  <si>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</si>
  <si>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</si>
  <si>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</si>
  <si>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</si>
  <si>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</si>
  <si>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</si>
  <si>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</si>
  <si>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</si>
  <si>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</si>
  <si>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</si>
  <si>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</si>
  <si>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</si>
  <si>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</si>
  <si>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</si>
  <si>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</si>
  <si>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</si>
  <si>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</si>
  <si>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</si>
  <si>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</si>
  <si>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</si>
  <si>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</si>
  <si>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</si>
  <si>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</si>
  <si>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</si>
  <si>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</si>
  <si>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</si>
  <si>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</si>
  <si>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</si>
  <si>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</si>
  <si>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</si>
  <si>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</si>
  <si>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</si>
  <si>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</si>
  <si>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</si>
  <si>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</si>
  <si>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</si>
  <si>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</si>
  <si>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</si>
  <si>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</si>
  <si>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</si>
  <si>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</si>
  <si>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</si>
  <si>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</si>
  <si>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</si>
  <si>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</si>
  <si>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</si>
  <si>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</si>
  <si>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</si>
  <si>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</si>
  <si>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</si>
  <si>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</si>
  <si>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</si>
  <si>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</si>
  <si>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</si>
  <si>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</si>
  <si>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</si>
  <si>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</si>
  <si>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</si>
  <si>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</si>
  <si>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</si>
  <si>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</si>
  <si>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</si>
  <si>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</si>
  <si>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</si>
  <si>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</si>
  <si>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</si>
  <si>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</si>
  <si>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</si>
  <si>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</si>
  <si>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</si>
  <si>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</si>
  <si>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</si>
  <si>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</si>
  <si>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</si>
  <si>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</si>
  <si>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</si>
  <si>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</si>
  <si>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</si>
  <si>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</si>
  <si>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</si>
  <si>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</si>
  <si>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</si>
  <si>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</si>
  <si>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</si>
  <si>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</si>
  <si>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</si>
  <si>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</si>
  <si>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</si>
  <si>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</si>
  <si>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</si>
  <si>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</si>
  <si>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</si>
  <si>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</si>
  <si>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</si>
  <si>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</si>
  <si>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</si>
  <si>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</si>
  <si>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</si>
  <si>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</si>
  <si>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</si>
  <si>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</si>
  <si>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</si>
  <si>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</si>
  <si>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</si>
  <si>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</si>
  <si>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</si>
  <si>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</si>
  <si>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</si>
  <si>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</si>
  <si>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</si>
  <si>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</si>
  <si>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</si>
  <si>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</si>
  <si>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</si>
  <si>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</si>
  <si>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</si>
  <si>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</si>
  <si>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</si>
  <si>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</si>
  <si>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</si>
  <si>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</si>
  <si>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</si>
  <si>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</si>
  <si>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</si>
  <si>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</si>
  <si>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</si>
  <si>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</si>
  <si>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</si>
  <si>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</si>
  <si>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</si>
  <si>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</si>
  <si>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</si>
  <si>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</si>
  <si>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</si>
  <si>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</si>
  <si>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</si>
  <si>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</si>
  <si>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</si>
  <si>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</si>
  <si>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</si>
  <si>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</si>
  <si>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</si>
  <si>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</si>
  <si>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</si>
  <si>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</si>
  <si>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</si>
  <si>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</si>
  <si>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</si>
  <si>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</si>
  <si>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</si>
  <si>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</si>
  <si>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</si>
  <si>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</si>
  <si>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</si>
  <si>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</si>
  <si>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</si>
  <si>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</si>
  <si>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</si>
  <si>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</si>
  <si>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</si>
  <si>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</si>
  <si>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</si>
  <si>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</si>
  <si>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</si>
  <si>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</si>
  <si>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</si>
  <si>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</si>
  <si>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</si>
  <si>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</si>
  <si>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</si>
  <si>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</si>
  <si>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</si>
  <si>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</si>
  <si>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</si>
  <si>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</si>
  <si>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</si>
  <si>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</si>
  <si>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</si>
  <si>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</si>
  <si>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</si>
  <si>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</si>
  <si>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</si>
  <si>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</si>
  <si>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</si>
  <si>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</si>
  <si>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</si>
  <si>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</si>
  <si>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</si>
  <si>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</si>
  <si>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</si>
  <si>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</si>
  <si>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</si>
  <si>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</si>
  <si>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</si>
  <si>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</si>
  <si>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</si>
  <si>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</si>
  <si>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</si>
  <si>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</si>
  <si>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</si>
  <si>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</si>
  <si>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</si>
  <si>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</si>
  <si>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</si>
  <si>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</si>
  <si>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</si>
  <si>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</si>
  <si>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</si>
  <si>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</si>
  <si>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</si>
  <si>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</si>
  <si>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</si>
  <si>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</si>
  <si>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</si>
  <si>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</si>
  <si>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</si>
  <si>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</si>
  <si>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</si>
  <si>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</si>
  <si>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</si>
  <si>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</si>
  <si>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</si>
  <si>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</si>
  <si>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</si>
  <si>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</si>
  <si>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</si>
  <si>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</si>
  <si>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</si>
  <si>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</si>
  <si>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</si>
  <si>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</si>
  <si>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</si>
  <si>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</si>
  <si>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</si>
  <si>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</si>
  <si>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</si>
  <si>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</si>
  <si>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</si>
  <si>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</si>
  <si>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</si>
  <si>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</si>
  <si>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</si>
  <si>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</si>
  <si>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</si>
  <si>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</si>
  <si>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</si>
  <si>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</si>
  <si>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</si>
  <si>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</si>
  <si>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</si>
  <si>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</si>
  <si>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</si>
  <si>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</si>
  <si>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</si>
  <si>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</si>
  <si>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</si>
  <si>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</si>
  <si>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</si>
  <si>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</si>
  <si>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</si>
  <si>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</si>
  <si>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</si>
  <si>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</si>
  <si>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</si>
  <si>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</si>
  <si>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</si>
  <si>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</si>
  <si>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</si>
  <si>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</si>
  <si>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</si>
  <si>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</si>
  <si>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</si>
  <si>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</si>
  <si>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</si>
  <si>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</si>
  <si>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</si>
  <si>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</si>
  <si>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</si>
  <si>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</si>
  <si>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</si>
  <si>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</si>
  <si>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</si>
  <si>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</si>
  <si>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</si>
  <si>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</si>
  <si>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</si>
  <si>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</si>
  <si>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</si>
  <si>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</si>
  <si>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</si>
  <si>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</si>
  <si>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</si>
  <si>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</si>
  <si>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</si>
  <si>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</si>
  <si>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</si>
  <si>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</si>
  <si>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</si>
  <si>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</si>
  <si>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</si>
  <si>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</si>
  <si>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</si>
  <si>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</si>
  <si>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</si>
  <si>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</si>
  <si>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</si>
  <si>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</si>
  <si>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</si>
  <si>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</si>
  <si>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</si>
  <si>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</si>
  <si>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</si>
  <si>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</si>
  <si>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</si>
  <si>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</si>
  <si>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</si>
  <si>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</si>
  <si>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</si>
  <si>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</si>
  <si>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</si>
  <si>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</si>
  <si>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</si>
  <si>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</si>
  <si>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</si>
  <si>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</si>
  <si>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</si>
  <si>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</si>
  <si>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</si>
  <si>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</si>
  <si>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</si>
  <si>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</si>
  <si>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</si>
  <si>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</si>
  <si>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</si>
  <si>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</si>
  <si>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</si>
  <si>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</si>
  <si>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</si>
  <si>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</si>
  <si>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</si>
  <si>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</si>
  <si>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</si>
  <si>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</si>
  <si>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</si>
  <si>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</si>
  <si>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</si>
  <si>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</si>
  <si>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</si>
  <si>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</si>
  <si>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</si>
  <si>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</si>
  <si>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</si>
  <si>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</si>
  <si>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</si>
  <si>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</si>
  <si>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</si>
  <si>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</si>
  <si>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</si>
  <si>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</si>
  <si>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</si>
  <si>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</si>
  <si>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</si>
  <si>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</si>
  <si>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</si>
  <si>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</si>
  <si>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</si>
  <si>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</si>
  <si>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</si>
  <si>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</si>
  <si>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</si>
  <si>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</si>
  <si>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</si>
  <si>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</si>
  <si>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</si>
  <si>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</si>
  <si>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</si>
  <si>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</si>
  <si>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</si>
  <si>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</si>
  <si>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</si>
  <si>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</si>
  <si>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</si>
  <si>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</si>
  <si>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</si>
  <si>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</si>
  <si>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</si>
  <si>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</si>
  <si>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</si>
  <si>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</si>
  <si>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</si>
  <si>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</si>
  <si>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</si>
  <si>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</si>
  <si>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</si>
  <si>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</si>
  <si>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</si>
  <si>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</si>
  <si>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</si>
  <si>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</si>
  <si>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</si>
  <si>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</si>
  <si>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</si>
  <si>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</si>
  <si>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</si>
  <si>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</si>
  <si>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</si>
  <si>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</si>
  <si>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</si>
  <si>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</si>
  <si>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</si>
  <si>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</si>
  <si>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</si>
  <si>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</si>
  <si>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</si>
  <si>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</si>
  <si>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</si>
  <si>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</si>
  <si>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</si>
  <si>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</si>
  <si>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</si>
  <si>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</si>
  <si>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</si>
  <si>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</si>
  <si>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</si>
  <si>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</si>
  <si>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</si>
  <si>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</si>
  <si>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</si>
  <si>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</si>
  <si>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</si>
  <si>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</si>
  <si>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</si>
  <si>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</si>
  <si>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</si>
  <si>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</si>
  <si>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</si>
  <si>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</si>
  <si>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</si>
  <si>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</si>
  <si>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</si>
  <si>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</si>
  <si>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</si>
  <si>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</si>
  <si>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</si>
  <si>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</si>
  <si>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</si>
  <si>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</si>
  <si>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</si>
  <si>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</si>
  <si>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</si>
  <si>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</si>
  <si>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</si>
  <si>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</si>
  <si>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</si>
  <si>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</si>
  <si>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</si>
  <si>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</si>
  <si>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</si>
  <si>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</si>
  <si>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</si>
  <si>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</si>
  <si>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</si>
  <si>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</si>
  <si>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</si>
  <si>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</si>
  <si>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</si>
  <si>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</si>
  <si>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</si>
  <si>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</si>
  <si>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</si>
  <si>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</si>
  <si>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</si>
  <si>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</si>
  <si>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</si>
  <si>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</si>
  <si>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</si>
  <si>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</si>
  <si>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</si>
  <si>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</si>
  <si>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</si>
  <si>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</si>
  <si>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</si>
  <si>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</si>
  <si>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</si>
  <si>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</si>
  <si>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</si>
  <si>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</si>
  <si>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</si>
  <si>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</si>
  <si>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</si>
  <si>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</si>
  <si>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</si>
  <si>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</si>
  <si>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</si>
  <si>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</si>
  <si>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</si>
  <si>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</si>
  <si>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</si>
  <si>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</si>
  <si>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</si>
  <si>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</si>
  <si>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</si>
  <si>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</si>
  <si>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</si>
  <si>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</si>
  <si>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</si>
  <si>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</si>
  <si>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</si>
  <si>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</si>
  <si>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</si>
  <si>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</si>
  <si>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</si>
  <si>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</si>
  <si>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</si>
  <si>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</si>
  <si>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</si>
  <si>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</si>
  <si>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</si>
  <si>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</si>
  <si>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</si>
  <si>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</si>
  <si>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</si>
  <si>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</si>
  <si>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</si>
  <si>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</si>
  <si>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</si>
  <si>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</si>
  <si>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</si>
  <si>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</si>
  <si>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</si>
  <si>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</si>
  <si>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</si>
  <si>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</si>
  <si>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</si>
  <si>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</si>
  <si>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</si>
  <si>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</si>
  <si>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</si>
  <si>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</si>
  <si>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</si>
  <si>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</si>
  <si>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</si>
  <si>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</si>
  <si>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</si>
  <si>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</si>
  <si>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</si>
  <si>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</si>
  <si>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</si>
  <si>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</si>
  <si>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</si>
  <si>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</si>
  <si>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</si>
  <si>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</si>
  <si>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</si>
  <si>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</si>
  <si>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</si>
  <si>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</si>
  <si>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</si>
  <si>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</si>
  <si>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</si>
  <si>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</si>
  <si>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</si>
  <si>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</si>
  <si>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</si>
  <si>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</si>
  <si>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</si>
  <si>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</si>
  <si>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</si>
  <si>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</si>
  <si>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</si>
  <si>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</si>
  <si>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</si>
  <si>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</si>
  <si>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</si>
  <si>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</si>
  <si>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</si>
  <si>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</si>
  <si>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</si>
  <si>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</si>
  <si>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</si>
  <si>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</si>
  <si>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</si>
  <si>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</si>
  <si>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</si>
  <si>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</si>
  <si>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</si>
  <si>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</si>
  <si>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</si>
  <si>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</si>
  <si>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</si>
  <si>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</si>
  <si>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</si>
  <si>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</si>
  <si>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</si>
  <si>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</si>
  <si>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</si>
  <si>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</si>
  <si>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</si>
  <si>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</si>
  <si>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</si>
  <si>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</si>
  <si>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</si>
  <si>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</si>
  <si>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</si>
  <si>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</si>
  <si>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</si>
  <si>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</si>
  <si>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</si>
  <si>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</si>
  <si>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</si>
  <si>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</si>
  <si>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</si>
  <si>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</si>
  <si>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</si>
  <si>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</si>
  <si>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</si>
  <si>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</si>
  <si>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</si>
  <si>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</si>
  <si>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</si>
  <si>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</si>
  <si>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</si>
  <si>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</si>
  <si>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</si>
  <si>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</si>
  <si>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</si>
  <si>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</si>
  <si>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</si>
  <si>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</si>
  <si>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</si>
  <si>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</si>
  <si>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</si>
  <si>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</si>
  <si>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</si>
  <si>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</si>
  <si>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</si>
  <si>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</si>
  <si>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</si>
  <si>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</si>
  <si>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</si>
  <si>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</si>
  <si>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</si>
  <si>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</si>
  <si>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</si>
  <si>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</si>
  <si>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</si>
  <si>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</si>
  <si>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</si>
  <si>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</si>
  <si>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</si>
  <si>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</si>
  <si>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</si>
  <si>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</si>
  <si>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</si>
  <si>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</si>
  <si>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</si>
  <si>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</si>
  <si>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</si>
  <si>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</si>
  <si>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</si>
  <si>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</si>
  <si>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</si>
  <si>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</si>
  <si>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</si>
  <si>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</si>
  <si>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</si>
  <si>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</si>
  <si>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</si>
  <si>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</si>
  <si>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</si>
  <si>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</si>
  <si>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</si>
  <si>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</si>
  <si>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</si>
  <si>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</si>
  <si>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</si>
  <si>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</si>
  <si>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</si>
  <si>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</si>
  <si>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</si>
  <si>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</si>
  <si>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</si>
  <si>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</si>
  <si>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</si>
  <si>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</si>
  <si>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</si>
  <si>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</si>
  <si>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</si>
  <si>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</si>
  <si>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</si>
  <si>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</si>
  <si>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</si>
  <si>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</si>
  <si>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</si>
  <si>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</si>
  <si>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</si>
  <si>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</si>
  <si>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</si>
  <si>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</si>
  <si>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</si>
  <si>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</si>
  <si>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</si>
  <si>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</si>
  <si>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</si>
  <si>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</si>
  <si>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</si>
  <si>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</si>
  <si>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</si>
  <si>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</si>
  <si>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</si>
  <si>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</si>
  <si>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</si>
  <si>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</si>
  <si>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</si>
  <si>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</si>
  <si>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</si>
  <si>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</si>
  <si>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</si>
  <si>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</si>
  <si>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</si>
  <si>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</si>
  <si>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</si>
  <si>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</si>
  <si>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</si>
  <si>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</si>
  <si>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</si>
  <si>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</si>
  <si>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</si>
  <si>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</si>
  <si>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</si>
  <si>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</si>
  <si>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</si>
  <si>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</si>
  <si>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</si>
  <si>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</si>
  <si>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</si>
  <si>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</si>
  <si>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</si>
  <si>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</si>
  <si>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</si>
  <si>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</si>
  <si>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</si>
  <si>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</si>
  <si>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</si>
  <si>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</si>
  <si>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</si>
  <si>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</si>
  <si>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王鹏</t>
  </si>
  <si>
    <t>郑燚</t>
  </si>
  <si>
    <t>北京市</t>
  </si>
  <si>
    <t>企业</t>
  </si>
  <si>
    <t>出让</t>
  </si>
  <si>
    <t>是</t>
  </si>
  <si>
    <t>否</t>
  </si>
  <si>
    <t>办公项目</t>
  </si>
  <si>
    <t>无</t>
  </si>
  <si>
    <t>现房</t>
  </si>
  <si>
    <t>通路</t>
  </si>
  <si>
    <t>通电</t>
  </si>
  <si>
    <t>通讯</t>
  </si>
  <si>
    <t>通上水</t>
  </si>
  <si>
    <t>通下水</t>
  </si>
  <si>
    <t>通热</t>
  </si>
  <si>
    <t>燃气</t>
  </si>
  <si>
    <t>Ⅶ-01</t>
  </si>
  <si>
    <t>商业</t>
    <phoneticPr fontId="4" type="noConversion"/>
  </si>
  <si>
    <t>办公</t>
    <phoneticPr fontId="4" type="noConversion"/>
  </si>
  <si>
    <t>地上</t>
  </si>
  <si>
    <t>底商</t>
  </si>
  <si>
    <t>办公楼</t>
  </si>
  <si>
    <t>商业</t>
    <phoneticPr fontId="8" type="noConversion"/>
  </si>
  <si>
    <t>办公</t>
    <phoneticPr fontId="8" type="noConversion"/>
  </si>
  <si>
    <t>成新度</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</si>
  <si>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</si>
  <si>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</si>
  <si>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</si>
  <si>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面积</t>
    <phoneticPr fontId="4" type="noConversion"/>
  </si>
  <si>
    <t>租金</t>
    <phoneticPr fontId="4" type="noConversion"/>
  </si>
  <si>
    <t>平均</t>
    <phoneticPr fontId="4" type="noConversion"/>
  </si>
  <si>
    <t>收益法-商业</t>
  </si>
  <si>
    <t>收益法-办公</t>
  </si>
  <si>
    <t>收益法-办公</t>
    <phoneticPr fontId="17" type="noConversion"/>
  </si>
  <si>
    <t>押二</t>
  </si>
  <si>
    <t>按租金收入计税</t>
  </si>
  <si>
    <t>钢混</t>
  </si>
  <si>
    <t>非生产用房</t>
  </si>
  <si>
    <t>商务金融用地（商业类）</t>
  </si>
  <si>
    <t>自定义容积率</t>
  </si>
  <si>
    <t>不临58条商业街</t>
  </si>
  <si>
    <t>有</t>
  </si>
  <si>
    <t>500-1000米</t>
  </si>
  <si>
    <t>七通一平</t>
  </si>
  <si>
    <t>一致</t>
  </si>
  <si>
    <t>按公示增长率计算</t>
  </si>
  <si>
    <t>容积率修正</t>
  </si>
  <si>
    <t>楼层修正</t>
  </si>
  <si>
    <t>一般</t>
  </si>
  <si>
    <t>较好</t>
  </si>
  <si>
    <t>较差</t>
  </si>
  <si>
    <t>好</t>
  </si>
  <si>
    <r>
      <rPr>
        <sz val="10"/>
        <rFont val="宋体"/>
        <family val="3"/>
        <charset val="134"/>
      </rPr>
      <t>地上</t>
    </r>
    <r>
      <rPr>
        <sz val="10"/>
        <rFont val="Arial"/>
        <family val="2"/>
      </rPr>
      <t>2</t>
    </r>
    <r>
      <rPr>
        <sz val="10"/>
        <rFont val="宋体"/>
        <family val="3"/>
        <charset val="134"/>
      </rPr>
      <t>层商业</t>
    </r>
    <phoneticPr fontId="4" type="noConversion"/>
  </si>
  <si>
    <t>地上3层商业</t>
    <phoneticPr fontId="4" type="noConversion"/>
  </si>
  <si>
    <t>商务金融用地（办公类）</t>
  </si>
  <si>
    <t>未包含在土地购买价格中</t>
  </si>
  <si>
    <t>全部缴纳</t>
  </si>
  <si>
    <t>已包含在土地取得成本中</t>
  </si>
  <si>
    <t>成本法</t>
  </si>
  <si>
    <t>三通</t>
    <phoneticPr fontId="32" type="noConversion"/>
  </si>
  <si>
    <t>2014-3</t>
    <phoneticPr fontId="32" type="noConversion"/>
  </si>
  <si>
    <t>2014-2</t>
    <phoneticPr fontId="32" type="noConversion"/>
  </si>
  <si>
    <t>2015-1</t>
    <phoneticPr fontId="32" type="noConversion"/>
  </si>
  <si>
    <t>2014-4</t>
    <phoneticPr fontId="32" type="noConversion"/>
  </si>
  <si>
    <t>2014-1</t>
    <phoneticPr fontId="32" type="noConversion"/>
  </si>
  <si>
    <t>商业、办公</t>
  </si>
  <si>
    <t>商业、办公</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</si>
  <si>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</si>
  <si>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26.3</t>
    </r>
    <r>
      <rPr>
        <sz val="11"/>
        <color indexed="8"/>
        <rFont val="宋体"/>
        <family val="3"/>
        <charset val="134"/>
      </rPr>
      <t>年、办公</t>
    </r>
    <r>
      <rPr>
        <sz val="11"/>
        <color indexed="8"/>
        <rFont val="Arial"/>
        <family val="2"/>
      </rPr>
      <t>36.3</t>
    </r>
    <r>
      <rPr>
        <sz val="11"/>
        <color indexed="8"/>
        <rFont val="宋体"/>
        <family val="3"/>
        <charset val="134"/>
      </rPr>
      <t>年</t>
    </r>
    <phoneticPr fontId="32" type="noConversion"/>
  </si>
  <si>
    <t>七通</t>
  </si>
  <si>
    <t>双面临街</t>
  </si>
  <si>
    <t>高速路</t>
  </si>
  <si>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</si>
  <si>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</si>
  <si>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</si>
  <si>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</si>
  <si>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</si>
  <si>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</si>
  <si>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单面临街</t>
  </si>
  <si>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</si>
  <si>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</si>
  <si>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</si>
  <si>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</si>
  <si>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</si>
  <si>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</si>
  <si>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好</t>
    <phoneticPr fontId="32" type="noConversion"/>
  </si>
  <si>
    <t>较好</t>
    <phoneticPr fontId="32" type="noConversion"/>
  </si>
  <si>
    <t>较差</t>
    <phoneticPr fontId="32" type="noConversion"/>
  </si>
  <si>
    <t>差</t>
    <phoneticPr fontId="32" type="noConversion"/>
  </si>
  <si>
    <t>七通</t>
    <phoneticPr fontId="32" type="noConversion"/>
  </si>
  <si>
    <t>六通</t>
    <phoneticPr fontId="32" type="noConversion"/>
  </si>
  <si>
    <t>五通</t>
    <phoneticPr fontId="32" type="noConversion"/>
  </si>
  <si>
    <t>四通</t>
    <phoneticPr fontId="32" type="noConversion"/>
  </si>
  <si>
    <t>成本比率</t>
  </si>
  <si>
    <t>部位及房号</t>
    <phoneticPr fontId="144" type="noConversion"/>
  </si>
  <si>
    <t>面积</t>
    <phoneticPr fontId="144" type="noConversion"/>
  </si>
  <si>
    <t>用途</t>
    <phoneticPr fontId="144" type="noConversion"/>
  </si>
  <si>
    <t>商业</t>
    <phoneticPr fontId="144" type="noConversion"/>
  </si>
  <si>
    <t>所在楼层</t>
    <phoneticPr fontId="144" type="noConversion"/>
  </si>
  <si>
    <t>1单元501</t>
    <phoneticPr fontId="144" type="noConversion"/>
  </si>
  <si>
    <t>1单元502</t>
  </si>
  <si>
    <t>1单元503</t>
  </si>
  <si>
    <t>1单元504</t>
  </si>
  <si>
    <t>1单元505</t>
  </si>
  <si>
    <t>1单元506</t>
  </si>
  <si>
    <t>1单元507</t>
  </si>
  <si>
    <t>1单元508</t>
  </si>
  <si>
    <t>1单元509</t>
  </si>
  <si>
    <t>1单元510</t>
  </si>
  <si>
    <t>1单元511</t>
  </si>
  <si>
    <t>1单元512</t>
  </si>
  <si>
    <t>1单元513</t>
  </si>
  <si>
    <t>1单元514</t>
  </si>
  <si>
    <t>1单元515</t>
  </si>
  <si>
    <t>1单元516</t>
  </si>
  <si>
    <t>1单元517</t>
  </si>
  <si>
    <t>1单元518</t>
  </si>
  <si>
    <t>1单元519</t>
  </si>
  <si>
    <t>1单元520</t>
  </si>
  <si>
    <t>1单元521</t>
  </si>
  <si>
    <t>1单元522</t>
  </si>
  <si>
    <r>
      <t>2单元</t>
    </r>
    <r>
      <rPr>
        <sz val="11"/>
        <color theme="1"/>
        <rFont val="宋体"/>
        <family val="3"/>
        <charset val="134"/>
        <scheme val="minor"/>
      </rPr>
      <t>401</t>
    </r>
    <phoneticPr fontId="144" type="noConversion"/>
  </si>
  <si>
    <r>
      <t>2单元</t>
    </r>
    <r>
      <rPr>
        <sz val="11"/>
        <color theme="1"/>
        <rFont val="宋体"/>
        <family val="3"/>
        <charset val="134"/>
        <scheme val="minor"/>
      </rPr>
      <t>402</t>
    </r>
    <r>
      <rPr>
        <sz val="11"/>
        <color theme="1"/>
        <rFont val="宋体"/>
        <family val="2"/>
        <charset val="134"/>
        <scheme val="minor"/>
      </rPr>
      <t/>
    </r>
  </si>
  <si>
    <r>
      <t>2单元</t>
    </r>
    <r>
      <rPr>
        <sz val="11"/>
        <color theme="1"/>
        <rFont val="宋体"/>
        <family val="3"/>
        <charset val="134"/>
        <scheme val="minor"/>
      </rPr>
      <t>403</t>
    </r>
    <r>
      <rPr>
        <sz val="11"/>
        <color theme="1"/>
        <rFont val="宋体"/>
        <family val="2"/>
        <charset val="134"/>
        <scheme val="minor"/>
      </rPr>
      <t/>
    </r>
  </si>
  <si>
    <r>
      <t>2单元</t>
    </r>
    <r>
      <rPr>
        <sz val="11"/>
        <color theme="1"/>
        <rFont val="宋体"/>
        <family val="3"/>
        <charset val="134"/>
        <scheme val="minor"/>
      </rPr>
      <t>404</t>
    </r>
    <r>
      <rPr>
        <sz val="11"/>
        <color theme="1"/>
        <rFont val="宋体"/>
        <family val="2"/>
        <charset val="134"/>
        <scheme val="minor"/>
      </rPr>
      <t/>
    </r>
  </si>
  <si>
    <r>
      <t>2单元</t>
    </r>
    <r>
      <rPr>
        <sz val="11"/>
        <color theme="1"/>
        <rFont val="宋体"/>
        <family val="3"/>
        <charset val="134"/>
        <scheme val="minor"/>
      </rPr>
      <t>405</t>
    </r>
    <r>
      <rPr>
        <sz val="11"/>
        <color theme="1"/>
        <rFont val="宋体"/>
        <family val="2"/>
        <charset val="134"/>
        <scheme val="minor"/>
      </rPr>
      <t/>
    </r>
  </si>
  <si>
    <r>
      <t>2单元</t>
    </r>
    <r>
      <rPr>
        <sz val="11"/>
        <color theme="1"/>
        <rFont val="宋体"/>
        <family val="3"/>
        <charset val="134"/>
        <scheme val="minor"/>
      </rPr>
      <t>406</t>
    </r>
    <r>
      <rPr>
        <sz val="11"/>
        <color theme="1"/>
        <rFont val="宋体"/>
        <family val="2"/>
        <charset val="134"/>
        <scheme val="minor"/>
      </rPr>
      <t/>
    </r>
  </si>
  <si>
    <r>
      <t>2单元</t>
    </r>
    <r>
      <rPr>
        <sz val="11"/>
        <color theme="1"/>
        <rFont val="宋体"/>
        <family val="3"/>
        <charset val="134"/>
        <scheme val="minor"/>
      </rPr>
      <t>407</t>
    </r>
    <r>
      <rPr>
        <sz val="11"/>
        <color theme="1"/>
        <rFont val="宋体"/>
        <family val="2"/>
        <charset val="134"/>
        <scheme val="minor"/>
      </rPr>
      <t/>
    </r>
  </si>
  <si>
    <r>
      <t>2单元</t>
    </r>
    <r>
      <rPr>
        <sz val="11"/>
        <color theme="1"/>
        <rFont val="宋体"/>
        <family val="3"/>
        <charset val="134"/>
        <scheme val="minor"/>
      </rPr>
      <t>408</t>
    </r>
    <r>
      <rPr>
        <sz val="11"/>
        <color theme="1"/>
        <rFont val="宋体"/>
        <family val="2"/>
        <charset val="134"/>
        <scheme val="minor"/>
      </rPr>
      <t/>
    </r>
  </si>
  <si>
    <r>
      <t>2单元</t>
    </r>
    <r>
      <rPr>
        <sz val="11"/>
        <color theme="1"/>
        <rFont val="宋体"/>
        <family val="3"/>
        <charset val="134"/>
        <scheme val="minor"/>
      </rPr>
      <t>501</t>
    </r>
    <phoneticPr fontId="144" type="noConversion"/>
  </si>
  <si>
    <r>
      <t>2单元</t>
    </r>
    <r>
      <rPr>
        <sz val="11"/>
        <color theme="1"/>
        <rFont val="宋体"/>
        <family val="3"/>
        <charset val="134"/>
        <scheme val="minor"/>
      </rPr>
      <t>502</t>
    </r>
    <r>
      <rPr>
        <sz val="11"/>
        <color theme="1"/>
        <rFont val="宋体"/>
        <family val="2"/>
        <charset val="134"/>
        <scheme val="minor"/>
      </rPr>
      <t/>
    </r>
  </si>
  <si>
    <r>
      <t>2单元</t>
    </r>
    <r>
      <rPr>
        <sz val="11"/>
        <color theme="1"/>
        <rFont val="宋体"/>
        <family val="3"/>
        <charset val="134"/>
        <scheme val="minor"/>
      </rPr>
      <t>503</t>
    </r>
    <r>
      <rPr>
        <sz val="11"/>
        <color theme="1"/>
        <rFont val="宋体"/>
        <family val="2"/>
        <charset val="134"/>
        <scheme val="minor"/>
      </rPr>
      <t/>
    </r>
  </si>
  <si>
    <r>
      <t>2单元</t>
    </r>
    <r>
      <rPr>
        <sz val="11"/>
        <color theme="1"/>
        <rFont val="宋体"/>
        <family val="3"/>
        <charset val="134"/>
        <scheme val="minor"/>
      </rPr>
      <t>504</t>
    </r>
    <r>
      <rPr>
        <sz val="11"/>
        <color theme="1"/>
        <rFont val="宋体"/>
        <family val="2"/>
        <charset val="134"/>
        <scheme val="minor"/>
      </rPr>
      <t/>
    </r>
  </si>
  <si>
    <r>
      <t>2单元</t>
    </r>
    <r>
      <rPr>
        <sz val="11"/>
        <color theme="1"/>
        <rFont val="宋体"/>
        <family val="3"/>
        <charset val="134"/>
        <scheme val="minor"/>
      </rPr>
      <t>505</t>
    </r>
    <r>
      <rPr>
        <sz val="11"/>
        <color theme="1"/>
        <rFont val="宋体"/>
        <family val="2"/>
        <charset val="134"/>
        <scheme val="minor"/>
      </rPr>
      <t/>
    </r>
  </si>
  <si>
    <r>
      <t>2单元</t>
    </r>
    <r>
      <rPr>
        <sz val="11"/>
        <color theme="1"/>
        <rFont val="宋体"/>
        <family val="3"/>
        <charset val="134"/>
        <scheme val="minor"/>
      </rPr>
      <t>506</t>
    </r>
    <r>
      <rPr>
        <sz val="11"/>
        <color theme="1"/>
        <rFont val="宋体"/>
        <family val="2"/>
        <charset val="134"/>
        <scheme val="minor"/>
      </rPr>
      <t/>
    </r>
  </si>
  <si>
    <r>
      <t>2单元</t>
    </r>
    <r>
      <rPr>
        <sz val="11"/>
        <color theme="1"/>
        <rFont val="宋体"/>
        <family val="3"/>
        <charset val="134"/>
        <scheme val="minor"/>
      </rPr>
      <t>507</t>
    </r>
    <r>
      <rPr>
        <sz val="11"/>
        <color theme="1"/>
        <rFont val="宋体"/>
        <family val="2"/>
        <charset val="134"/>
        <scheme val="minor"/>
      </rPr>
      <t/>
    </r>
  </si>
  <si>
    <r>
      <t>2单元</t>
    </r>
    <r>
      <rPr>
        <sz val="11"/>
        <color theme="1"/>
        <rFont val="宋体"/>
        <family val="3"/>
        <charset val="134"/>
        <scheme val="minor"/>
      </rPr>
      <t>508</t>
    </r>
    <r>
      <rPr>
        <sz val="11"/>
        <color theme="1"/>
        <rFont val="宋体"/>
        <family val="2"/>
        <charset val="134"/>
        <scheme val="minor"/>
      </rPr>
      <t/>
    </r>
  </si>
  <si>
    <r>
      <t>2单元</t>
    </r>
    <r>
      <rPr>
        <sz val="11"/>
        <color theme="1"/>
        <rFont val="宋体"/>
        <family val="3"/>
        <charset val="134"/>
        <scheme val="minor"/>
      </rPr>
      <t>509</t>
    </r>
    <r>
      <rPr>
        <sz val="11"/>
        <color theme="1"/>
        <rFont val="宋体"/>
        <family val="2"/>
        <charset val="134"/>
        <scheme val="minor"/>
      </rPr>
      <t/>
    </r>
  </si>
  <si>
    <r>
      <t>2单元</t>
    </r>
    <r>
      <rPr>
        <sz val="11"/>
        <color theme="1"/>
        <rFont val="宋体"/>
        <family val="3"/>
        <charset val="134"/>
        <scheme val="minor"/>
      </rPr>
      <t>510</t>
    </r>
    <r>
      <rPr>
        <sz val="11"/>
        <color theme="1"/>
        <rFont val="宋体"/>
        <family val="2"/>
        <charset val="134"/>
        <scheme val="minor"/>
      </rPr>
      <t/>
    </r>
  </si>
  <si>
    <r>
      <t>2单元</t>
    </r>
    <r>
      <rPr>
        <sz val="11"/>
        <color theme="1"/>
        <rFont val="宋体"/>
        <family val="3"/>
        <charset val="134"/>
        <scheme val="minor"/>
      </rPr>
      <t>511</t>
    </r>
    <r>
      <rPr>
        <sz val="11"/>
        <color theme="1"/>
        <rFont val="宋体"/>
        <family val="2"/>
        <charset val="134"/>
        <scheme val="minor"/>
      </rPr>
      <t/>
    </r>
  </si>
  <si>
    <r>
      <t>2单元</t>
    </r>
    <r>
      <rPr>
        <sz val="11"/>
        <color theme="1"/>
        <rFont val="宋体"/>
        <family val="3"/>
        <charset val="134"/>
        <scheme val="minor"/>
      </rPr>
      <t>512</t>
    </r>
    <r>
      <rPr>
        <sz val="11"/>
        <color theme="1"/>
        <rFont val="宋体"/>
        <family val="2"/>
        <charset val="134"/>
        <scheme val="minor"/>
      </rPr>
      <t/>
    </r>
  </si>
  <si>
    <r>
      <t>2单元</t>
    </r>
    <r>
      <rPr>
        <sz val="11"/>
        <color theme="1"/>
        <rFont val="宋体"/>
        <family val="3"/>
        <charset val="134"/>
        <scheme val="minor"/>
      </rPr>
      <t>513</t>
    </r>
    <r>
      <rPr>
        <sz val="11"/>
        <color theme="1"/>
        <rFont val="宋体"/>
        <family val="2"/>
        <charset val="134"/>
        <scheme val="minor"/>
      </rPr>
      <t/>
    </r>
  </si>
  <si>
    <r>
      <t>2单元</t>
    </r>
    <r>
      <rPr>
        <sz val="11"/>
        <color theme="1"/>
        <rFont val="宋体"/>
        <family val="3"/>
        <charset val="134"/>
        <scheme val="minor"/>
      </rPr>
      <t>514</t>
    </r>
    <r>
      <rPr>
        <sz val="11"/>
        <color theme="1"/>
        <rFont val="宋体"/>
        <family val="2"/>
        <charset val="134"/>
        <scheme val="minor"/>
      </rPr>
      <t/>
    </r>
  </si>
  <si>
    <r>
      <t>2单元</t>
    </r>
    <r>
      <rPr>
        <sz val="11"/>
        <color theme="1"/>
        <rFont val="宋体"/>
        <family val="3"/>
        <charset val="134"/>
        <scheme val="minor"/>
      </rPr>
      <t>515</t>
    </r>
    <r>
      <rPr>
        <sz val="11"/>
        <color theme="1"/>
        <rFont val="宋体"/>
        <family val="2"/>
        <charset val="134"/>
        <scheme val="minor"/>
      </rPr>
      <t/>
    </r>
  </si>
  <si>
    <r>
      <t>2单元</t>
    </r>
    <r>
      <rPr>
        <sz val="11"/>
        <color theme="1"/>
        <rFont val="宋体"/>
        <family val="3"/>
        <charset val="134"/>
        <scheme val="minor"/>
      </rPr>
      <t>601</t>
    </r>
    <phoneticPr fontId="144" type="noConversion"/>
  </si>
  <si>
    <r>
      <t>2单元</t>
    </r>
    <r>
      <rPr>
        <sz val="11"/>
        <color theme="1"/>
        <rFont val="宋体"/>
        <family val="3"/>
        <charset val="134"/>
        <scheme val="minor"/>
      </rPr>
      <t>602</t>
    </r>
    <r>
      <rPr>
        <sz val="11"/>
        <color theme="1"/>
        <rFont val="宋体"/>
        <family val="2"/>
        <charset val="134"/>
        <scheme val="minor"/>
      </rPr>
      <t/>
    </r>
  </si>
  <si>
    <r>
      <t>2单元</t>
    </r>
    <r>
      <rPr>
        <sz val="11"/>
        <color theme="1"/>
        <rFont val="宋体"/>
        <family val="3"/>
        <charset val="134"/>
        <scheme val="minor"/>
      </rPr>
      <t>603</t>
    </r>
    <r>
      <rPr>
        <sz val="11"/>
        <color theme="1"/>
        <rFont val="宋体"/>
        <family val="2"/>
        <charset val="134"/>
        <scheme val="minor"/>
      </rPr>
      <t/>
    </r>
  </si>
  <si>
    <r>
      <t>2单元</t>
    </r>
    <r>
      <rPr>
        <sz val="11"/>
        <color theme="1"/>
        <rFont val="宋体"/>
        <family val="3"/>
        <charset val="134"/>
        <scheme val="minor"/>
      </rPr>
      <t>604</t>
    </r>
    <r>
      <rPr>
        <sz val="11"/>
        <color theme="1"/>
        <rFont val="宋体"/>
        <family val="2"/>
        <charset val="134"/>
        <scheme val="minor"/>
      </rPr>
      <t/>
    </r>
  </si>
  <si>
    <r>
      <t>2单元</t>
    </r>
    <r>
      <rPr>
        <sz val="11"/>
        <color theme="1"/>
        <rFont val="宋体"/>
        <family val="3"/>
        <charset val="134"/>
        <scheme val="minor"/>
      </rPr>
      <t>605</t>
    </r>
    <r>
      <rPr>
        <sz val="11"/>
        <color theme="1"/>
        <rFont val="宋体"/>
        <family val="2"/>
        <charset val="134"/>
        <scheme val="minor"/>
      </rPr>
      <t/>
    </r>
  </si>
  <si>
    <r>
      <t>2单元</t>
    </r>
    <r>
      <rPr>
        <sz val="11"/>
        <color theme="1"/>
        <rFont val="宋体"/>
        <family val="3"/>
        <charset val="134"/>
        <scheme val="minor"/>
      </rPr>
      <t>606</t>
    </r>
    <r>
      <rPr>
        <sz val="11"/>
        <color theme="1"/>
        <rFont val="宋体"/>
        <family val="2"/>
        <charset val="134"/>
        <scheme val="minor"/>
      </rPr>
      <t/>
    </r>
  </si>
  <si>
    <r>
      <t>2单元</t>
    </r>
    <r>
      <rPr>
        <sz val="11"/>
        <color theme="1"/>
        <rFont val="宋体"/>
        <family val="3"/>
        <charset val="134"/>
        <scheme val="minor"/>
      </rPr>
      <t>607</t>
    </r>
    <r>
      <rPr>
        <sz val="11"/>
        <color theme="1"/>
        <rFont val="宋体"/>
        <family val="2"/>
        <charset val="134"/>
        <scheme val="minor"/>
      </rPr>
      <t/>
    </r>
  </si>
  <si>
    <r>
      <t>2单元</t>
    </r>
    <r>
      <rPr>
        <sz val="11"/>
        <color theme="1"/>
        <rFont val="宋体"/>
        <family val="3"/>
        <charset val="134"/>
        <scheme val="minor"/>
      </rPr>
      <t>608</t>
    </r>
    <r>
      <rPr>
        <sz val="11"/>
        <color theme="1"/>
        <rFont val="宋体"/>
        <family val="2"/>
        <charset val="134"/>
        <scheme val="minor"/>
      </rPr>
      <t/>
    </r>
  </si>
  <si>
    <r>
      <t>2单元</t>
    </r>
    <r>
      <rPr>
        <sz val="11"/>
        <color theme="1"/>
        <rFont val="宋体"/>
        <family val="3"/>
        <charset val="134"/>
        <scheme val="minor"/>
      </rPr>
      <t>609</t>
    </r>
    <r>
      <rPr>
        <sz val="11"/>
        <color theme="1"/>
        <rFont val="宋体"/>
        <family val="2"/>
        <charset val="134"/>
        <scheme val="minor"/>
      </rPr>
      <t/>
    </r>
  </si>
  <si>
    <r>
      <t>2单元</t>
    </r>
    <r>
      <rPr>
        <sz val="11"/>
        <color theme="1"/>
        <rFont val="宋体"/>
        <family val="3"/>
        <charset val="134"/>
        <scheme val="minor"/>
      </rPr>
      <t>610</t>
    </r>
    <r>
      <rPr>
        <sz val="11"/>
        <color theme="1"/>
        <rFont val="宋体"/>
        <family val="2"/>
        <charset val="134"/>
        <scheme val="minor"/>
      </rPr>
      <t/>
    </r>
  </si>
  <si>
    <r>
      <t>2单元</t>
    </r>
    <r>
      <rPr>
        <sz val="11"/>
        <color theme="1"/>
        <rFont val="宋体"/>
        <family val="3"/>
        <charset val="134"/>
        <scheme val="minor"/>
      </rPr>
      <t>611</t>
    </r>
    <r>
      <rPr>
        <sz val="11"/>
        <color theme="1"/>
        <rFont val="宋体"/>
        <family val="2"/>
        <charset val="134"/>
        <scheme val="minor"/>
      </rPr>
      <t/>
    </r>
  </si>
  <si>
    <r>
      <t>2单元</t>
    </r>
    <r>
      <rPr>
        <sz val="11"/>
        <color theme="1"/>
        <rFont val="宋体"/>
        <family val="3"/>
        <charset val="134"/>
        <scheme val="minor"/>
      </rPr>
      <t>612</t>
    </r>
    <r>
      <rPr>
        <sz val="11"/>
        <color theme="1"/>
        <rFont val="宋体"/>
        <family val="2"/>
        <charset val="134"/>
        <scheme val="minor"/>
      </rPr>
      <t/>
    </r>
  </si>
  <si>
    <r>
      <t>2单元</t>
    </r>
    <r>
      <rPr>
        <sz val="11"/>
        <color theme="1"/>
        <rFont val="宋体"/>
        <family val="3"/>
        <charset val="134"/>
        <scheme val="minor"/>
      </rPr>
      <t>613</t>
    </r>
    <r>
      <rPr>
        <sz val="11"/>
        <color theme="1"/>
        <rFont val="宋体"/>
        <family val="2"/>
        <charset val="134"/>
        <scheme val="minor"/>
      </rPr>
      <t/>
    </r>
  </si>
  <si>
    <r>
      <t>2单元</t>
    </r>
    <r>
      <rPr>
        <sz val="11"/>
        <color theme="1"/>
        <rFont val="宋体"/>
        <family val="3"/>
        <charset val="134"/>
        <scheme val="minor"/>
      </rPr>
      <t>614</t>
    </r>
    <r>
      <rPr>
        <sz val="11"/>
        <color theme="1"/>
        <rFont val="宋体"/>
        <family val="2"/>
        <charset val="134"/>
        <scheme val="minor"/>
      </rPr>
      <t/>
    </r>
  </si>
  <si>
    <r>
      <t>2单元</t>
    </r>
    <r>
      <rPr>
        <sz val="11"/>
        <color theme="1"/>
        <rFont val="宋体"/>
        <family val="3"/>
        <charset val="134"/>
        <scheme val="minor"/>
      </rPr>
      <t>615</t>
    </r>
    <r>
      <rPr>
        <sz val="11"/>
        <color theme="1"/>
        <rFont val="宋体"/>
        <family val="2"/>
        <charset val="134"/>
        <scheme val="minor"/>
      </rPr>
      <t/>
    </r>
  </si>
  <si>
    <r>
      <t>2单元</t>
    </r>
    <r>
      <rPr>
        <sz val="11"/>
        <color theme="1"/>
        <rFont val="宋体"/>
        <family val="3"/>
        <charset val="134"/>
        <scheme val="minor"/>
      </rPr>
      <t>701</t>
    </r>
    <phoneticPr fontId="144" type="noConversion"/>
  </si>
  <si>
    <r>
      <t>2单元</t>
    </r>
    <r>
      <rPr>
        <sz val="11"/>
        <color theme="1"/>
        <rFont val="宋体"/>
        <family val="3"/>
        <charset val="134"/>
        <scheme val="minor"/>
      </rPr>
      <t>702</t>
    </r>
    <r>
      <rPr>
        <sz val="11"/>
        <color theme="1"/>
        <rFont val="宋体"/>
        <family val="2"/>
        <charset val="134"/>
        <scheme val="minor"/>
      </rPr>
      <t/>
    </r>
  </si>
  <si>
    <r>
      <t>2单元</t>
    </r>
    <r>
      <rPr>
        <sz val="11"/>
        <color theme="1"/>
        <rFont val="宋体"/>
        <family val="3"/>
        <charset val="134"/>
        <scheme val="minor"/>
      </rPr>
      <t>703</t>
    </r>
    <r>
      <rPr>
        <sz val="11"/>
        <color theme="1"/>
        <rFont val="宋体"/>
        <family val="2"/>
        <charset val="134"/>
        <scheme val="minor"/>
      </rPr>
      <t/>
    </r>
  </si>
  <si>
    <r>
      <t>2单元</t>
    </r>
    <r>
      <rPr>
        <sz val="11"/>
        <color theme="1"/>
        <rFont val="宋体"/>
        <family val="3"/>
        <charset val="134"/>
        <scheme val="minor"/>
      </rPr>
      <t>704</t>
    </r>
    <r>
      <rPr>
        <sz val="11"/>
        <color theme="1"/>
        <rFont val="宋体"/>
        <family val="2"/>
        <charset val="134"/>
        <scheme val="minor"/>
      </rPr>
      <t/>
    </r>
  </si>
  <si>
    <r>
      <t>2单元</t>
    </r>
    <r>
      <rPr>
        <sz val="11"/>
        <color theme="1"/>
        <rFont val="宋体"/>
        <family val="3"/>
        <charset val="134"/>
        <scheme val="minor"/>
      </rPr>
      <t>705</t>
    </r>
    <r>
      <rPr>
        <sz val="11"/>
        <color theme="1"/>
        <rFont val="宋体"/>
        <family val="2"/>
        <charset val="134"/>
        <scheme val="minor"/>
      </rPr>
      <t/>
    </r>
  </si>
  <si>
    <r>
      <t>2单元</t>
    </r>
    <r>
      <rPr>
        <sz val="11"/>
        <color theme="1"/>
        <rFont val="宋体"/>
        <family val="3"/>
        <charset val="134"/>
        <scheme val="minor"/>
      </rPr>
      <t>706</t>
    </r>
    <r>
      <rPr>
        <sz val="11"/>
        <color theme="1"/>
        <rFont val="宋体"/>
        <family val="2"/>
        <charset val="134"/>
        <scheme val="minor"/>
      </rPr>
      <t/>
    </r>
  </si>
  <si>
    <r>
      <t>2单元</t>
    </r>
    <r>
      <rPr>
        <sz val="11"/>
        <color theme="1"/>
        <rFont val="宋体"/>
        <family val="3"/>
        <charset val="134"/>
        <scheme val="minor"/>
      </rPr>
      <t>707</t>
    </r>
    <r>
      <rPr>
        <sz val="11"/>
        <color theme="1"/>
        <rFont val="宋体"/>
        <family val="2"/>
        <charset val="134"/>
        <scheme val="minor"/>
      </rPr>
      <t/>
    </r>
  </si>
  <si>
    <r>
      <t>2单元</t>
    </r>
    <r>
      <rPr>
        <sz val="11"/>
        <color theme="1"/>
        <rFont val="宋体"/>
        <family val="3"/>
        <charset val="134"/>
        <scheme val="minor"/>
      </rPr>
      <t>708</t>
    </r>
    <r>
      <rPr>
        <sz val="11"/>
        <color theme="1"/>
        <rFont val="宋体"/>
        <family val="2"/>
        <charset val="134"/>
        <scheme val="minor"/>
      </rPr>
      <t/>
    </r>
  </si>
  <si>
    <r>
      <t>2单元</t>
    </r>
    <r>
      <rPr>
        <sz val="11"/>
        <color theme="1"/>
        <rFont val="宋体"/>
        <family val="3"/>
        <charset val="134"/>
        <scheme val="minor"/>
      </rPr>
      <t>709</t>
    </r>
    <r>
      <rPr>
        <sz val="11"/>
        <color theme="1"/>
        <rFont val="宋体"/>
        <family val="2"/>
        <charset val="134"/>
        <scheme val="minor"/>
      </rPr>
      <t/>
    </r>
  </si>
  <si>
    <r>
      <t>2单元</t>
    </r>
    <r>
      <rPr>
        <sz val="11"/>
        <color theme="1"/>
        <rFont val="宋体"/>
        <family val="3"/>
        <charset val="134"/>
        <scheme val="minor"/>
      </rPr>
      <t>710</t>
    </r>
    <r>
      <rPr>
        <sz val="11"/>
        <color theme="1"/>
        <rFont val="宋体"/>
        <family val="2"/>
        <charset val="134"/>
        <scheme val="minor"/>
      </rPr>
      <t/>
    </r>
  </si>
  <si>
    <r>
      <t>2单元</t>
    </r>
    <r>
      <rPr>
        <sz val="11"/>
        <color theme="1"/>
        <rFont val="宋体"/>
        <family val="3"/>
        <charset val="134"/>
        <scheme val="minor"/>
      </rPr>
      <t>711</t>
    </r>
    <r>
      <rPr>
        <sz val="11"/>
        <color theme="1"/>
        <rFont val="宋体"/>
        <family val="2"/>
        <charset val="134"/>
        <scheme val="minor"/>
      </rPr>
      <t/>
    </r>
  </si>
  <si>
    <r>
      <t>2单元</t>
    </r>
    <r>
      <rPr>
        <sz val="11"/>
        <color theme="1"/>
        <rFont val="宋体"/>
        <family val="3"/>
        <charset val="134"/>
        <scheme val="minor"/>
      </rPr>
      <t>712</t>
    </r>
    <r>
      <rPr>
        <sz val="11"/>
        <color theme="1"/>
        <rFont val="宋体"/>
        <family val="2"/>
        <charset val="134"/>
        <scheme val="minor"/>
      </rPr>
      <t/>
    </r>
  </si>
  <si>
    <r>
      <t>2单元</t>
    </r>
    <r>
      <rPr>
        <sz val="11"/>
        <color theme="1"/>
        <rFont val="宋体"/>
        <family val="3"/>
        <charset val="134"/>
        <scheme val="minor"/>
      </rPr>
      <t>713</t>
    </r>
    <r>
      <rPr>
        <sz val="11"/>
        <color theme="1"/>
        <rFont val="宋体"/>
        <family val="2"/>
        <charset val="134"/>
        <scheme val="minor"/>
      </rPr>
      <t/>
    </r>
  </si>
  <si>
    <r>
      <t>2单元</t>
    </r>
    <r>
      <rPr>
        <sz val="11"/>
        <color theme="1"/>
        <rFont val="宋体"/>
        <family val="3"/>
        <charset val="134"/>
        <scheme val="minor"/>
      </rPr>
      <t>714</t>
    </r>
    <r>
      <rPr>
        <sz val="11"/>
        <color theme="1"/>
        <rFont val="宋体"/>
        <family val="2"/>
        <charset val="134"/>
        <scheme val="minor"/>
      </rPr>
      <t/>
    </r>
  </si>
  <si>
    <r>
      <t>2单元</t>
    </r>
    <r>
      <rPr>
        <sz val="11"/>
        <color theme="1"/>
        <rFont val="宋体"/>
        <family val="3"/>
        <charset val="134"/>
        <scheme val="minor"/>
      </rPr>
      <t>715</t>
    </r>
    <r>
      <rPr>
        <sz val="11"/>
        <color theme="1"/>
        <rFont val="宋体"/>
        <family val="2"/>
        <charset val="134"/>
        <scheme val="minor"/>
      </rPr>
      <t/>
    </r>
  </si>
  <si>
    <r>
      <t>2单元</t>
    </r>
    <r>
      <rPr>
        <sz val="11"/>
        <color theme="1"/>
        <rFont val="宋体"/>
        <family val="3"/>
        <charset val="134"/>
        <scheme val="minor"/>
      </rPr>
      <t>801</t>
    </r>
    <phoneticPr fontId="144" type="noConversion"/>
  </si>
  <si>
    <r>
      <t>2单元</t>
    </r>
    <r>
      <rPr>
        <sz val="11"/>
        <color theme="1"/>
        <rFont val="宋体"/>
        <family val="3"/>
        <charset val="134"/>
        <scheme val="minor"/>
      </rPr>
      <t>802</t>
    </r>
    <r>
      <rPr>
        <sz val="11"/>
        <color theme="1"/>
        <rFont val="宋体"/>
        <family val="2"/>
        <charset val="134"/>
        <scheme val="minor"/>
      </rPr>
      <t/>
    </r>
  </si>
  <si>
    <r>
      <t>2单元</t>
    </r>
    <r>
      <rPr>
        <sz val="11"/>
        <color theme="1"/>
        <rFont val="宋体"/>
        <family val="3"/>
        <charset val="134"/>
        <scheme val="minor"/>
      </rPr>
      <t>803</t>
    </r>
    <r>
      <rPr>
        <sz val="11"/>
        <color theme="1"/>
        <rFont val="宋体"/>
        <family val="2"/>
        <charset val="134"/>
        <scheme val="minor"/>
      </rPr>
      <t/>
    </r>
  </si>
  <si>
    <r>
      <t>2单元</t>
    </r>
    <r>
      <rPr>
        <sz val="11"/>
        <color theme="1"/>
        <rFont val="宋体"/>
        <family val="3"/>
        <charset val="134"/>
        <scheme val="minor"/>
      </rPr>
      <t>804</t>
    </r>
    <r>
      <rPr>
        <sz val="11"/>
        <color theme="1"/>
        <rFont val="宋体"/>
        <family val="2"/>
        <charset val="134"/>
        <scheme val="minor"/>
      </rPr>
      <t/>
    </r>
  </si>
  <si>
    <r>
      <t>2单元</t>
    </r>
    <r>
      <rPr>
        <sz val="11"/>
        <color theme="1"/>
        <rFont val="宋体"/>
        <family val="3"/>
        <charset val="134"/>
        <scheme val="minor"/>
      </rPr>
      <t>805</t>
    </r>
    <r>
      <rPr>
        <sz val="11"/>
        <color theme="1"/>
        <rFont val="宋体"/>
        <family val="2"/>
        <charset val="134"/>
        <scheme val="minor"/>
      </rPr>
      <t/>
    </r>
  </si>
  <si>
    <r>
      <t>2单元</t>
    </r>
    <r>
      <rPr>
        <sz val="11"/>
        <color theme="1"/>
        <rFont val="宋体"/>
        <family val="3"/>
        <charset val="134"/>
        <scheme val="minor"/>
      </rPr>
      <t>806</t>
    </r>
    <r>
      <rPr>
        <sz val="11"/>
        <color theme="1"/>
        <rFont val="宋体"/>
        <family val="2"/>
        <charset val="134"/>
        <scheme val="minor"/>
      </rPr>
      <t/>
    </r>
  </si>
  <si>
    <r>
      <t>2单元</t>
    </r>
    <r>
      <rPr>
        <sz val="11"/>
        <color theme="1"/>
        <rFont val="宋体"/>
        <family val="3"/>
        <charset val="134"/>
        <scheme val="minor"/>
      </rPr>
      <t>807</t>
    </r>
    <r>
      <rPr>
        <sz val="11"/>
        <color theme="1"/>
        <rFont val="宋体"/>
        <family val="2"/>
        <charset val="134"/>
        <scheme val="minor"/>
      </rPr>
      <t/>
    </r>
  </si>
  <si>
    <r>
      <t>2单元</t>
    </r>
    <r>
      <rPr>
        <sz val="11"/>
        <color theme="1"/>
        <rFont val="宋体"/>
        <family val="3"/>
        <charset val="134"/>
        <scheme val="minor"/>
      </rPr>
      <t>808</t>
    </r>
    <r>
      <rPr>
        <sz val="11"/>
        <color theme="1"/>
        <rFont val="宋体"/>
        <family val="2"/>
        <charset val="134"/>
        <scheme val="minor"/>
      </rPr>
      <t/>
    </r>
  </si>
  <si>
    <r>
      <t>2单元</t>
    </r>
    <r>
      <rPr>
        <sz val="11"/>
        <color theme="1"/>
        <rFont val="宋体"/>
        <family val="3"/>
        <charset val="134"/>
        <scheme val="minor"/>
      </rPr>
      <t>809</t>
    </r>
    <r>
      <rPr>
        <sz val="11"/>
        <color theme="1"/>
        <rFont val="宋体"/>
        <family val="2"/>
        <charset val="134"/>
        <scheme val="minor"/>
      </rPr>
      <t/>
    </r>
  </si>
  <si>
    <r>
      <t>2单元</t>
    </r>
    <r>
      <rPr>
        <sz val="11"/>
        <color theme="1"/>
        <rFont val="宋体"/>
        <family val="3"/>
        <charset val="134"/>
        <scheme val="minor"/>
      </rPr>
      <t>810</t>
    </r>
    <r>
      <rPr>
        <sz val="11"/>
        <color theme="1"/>
        <rFont val="宋体"/>
        <family val="2"/>
        <charset val="134"/>
        <scheme val="minor"/>
      </rPr>
      <t/>
    </r>
  </si>
  <si>
    <r>
      <t>2单元</t>
    </r>
    <r>
      <rPr>
        <sz val="11"/>
        <color theme="1"/>
        <rFont val="宋体"/>
        <family val="3"/>
        <charset val="134"/>
        <scheme val="minor"/>
      </rPr>
      <t>811</t>
    </r>
    <r>
      <rPr>
        <sz val="11"/>
        <color theme="1"/>
        <rFont val="宋体"/>
        <family val="2"/>
        <charset val="134"/>
        <scheme val="minor"/>
      </rPr>
      <t/>
    </r>
  </si>
  <si>
    <r>
      <t>2单元</t>
    </r>
    <r>
      <rPr>
        <sz val="11"/>
        <color theme="1"/>
        <rFont val="宋体"/>
        <family val="3"/>
        <charset val="134"/>
        <scheme val="minor"/>
      </rPr>
      <t>812</t>
    </r>
    <r>
      <rPr>
        <sz val="11"/>
        <color theme="1"/>
        <rFont val="宋体"/>
        <family val="2"/>
        <charset val="134"/>
        <scheme val="minor"/>
      </rPr>
      <t/>
    </r>
  </si>
  <si>
    <r>
      <t>2单元</t>
    </r>
    <r>
      <rPr>
        <sz val="11"/>
        <color theme="1"/>
        <rFont val="宋体"/>
        <family val="3"/>
        <charset val="134"/>
        <scheme val="minor"/>
      </rPr>
      <t>813</t>
    </r>
    <r>
      <rPr>
        <sz val="11"/>
        <color theme="1"/>
        <rFont val="宋体"/>
        <family val="2"/>
        <charset val="134"/>
        <scheme val="minor"/>
      </rPr>
      <t/>
    </r>
  </si>
  <si>
    <r>
      <t>2单元</t>
    </r>
    <r>
      <rPr>
        <sz val="11"/>
        <color theme="1"/>
        <rFont val="宋体"/>
        <family val="3"/>
        <charset val="134"/>
        <scheme val="minor"/>
      </rPr>
      <t>814</t>
    </r>
    <r>
      <rPr>
        <sz val="11"/>
        <color theme="1"/>
        <rFont val="宋体"/>
        <family val="2"/>
        <charset val="134"/>
        <scheme val="minor"/>
      </rPr>
      <t/>
    </r>
  </si>
  <si>
    <r>
      <t>2单元</t>
    </r>
    <r>
      <rPr>
        <sz val="11"/>
        <color theme="1"/>
        <rFont val="宋体"/>
        <family val="3"/>
        <charset val="134"/>
        <scheme val="minor"/>
      </rPr>
      <t>815</t>
    </r>
    <r>
      <rPr>
        <sz val="11"/>
        <color theme="1"/>
        <rFont val="宋体"/>
        <family val="2"/>
        <charset val="134"/>
        <scheme val="minor"/>
      </rPr>
      <t/>
    </r>
  </si>
  <si>
    <r>
      <t>2单元</t>
    </r>
    <r>
      <rPr>
        <sz val="11"/>
        <color theme="1"/>
        <rFont val="宋体"/>
        <family val="3"/>
        <charset val="134"/>
        <scheme val="minor"/>
      </rPr>
      <t>901</t>
    </r>
    <phoneticPr fontId="144" type="noConversion"/>
  </si>
  <si>
    <r>
      <t>2单元</t>
    </r>
    <r>
      <rPr>
        <sz val="11"/>
        <color theme="1"/>
        <rFont val="宋体"/>
        <family val="3"/>
        <charset val="134"/>
        <scheme val="minor"/>
      </rPr>
      <t>902</t>
    </r>
    <r>
      <rPr>
        <sz val="11"/>
        <color theme="1"/>
        <rFont val="宋体"/>
        <family val="2"/>
        <charset val="134"/>
        <scheme val="minor"/>
      </rPr>
      <t/>
    </r>
  </si>
  <si>
    <r>
      <t>2单元</t>
    </r>
    <r>
      <rPr>
        <sz val="11"/>
        <color theme="1"/>
        <rFont val="宋体"/>
        <family val="3"/>
        <charset val="134"/>
        <scheme val="minor"/>
      </rPr>
      <t>903</t>
    </r>
    <r>
      <rPr>
        <sz val="11"/>
        <color theme="1"/>
        <rFont val="宋体"/>
        <family val="2"/>
        <charset val="134"/>
        <scheme val="minor"/>
      </rPr>
      <t/>
    </r>
  </si>
  <si>
    <r>
      <t>2单元</t>
    </r>
    <r>
      <rPr>
        <sz val="11"/>
        <color theme="1"/>
        <rFont val="宋体"/>
        <family val="3"/>
        <charset val="134"/>
        <scheme val="minor"/>
      </rPr>
      <t>904</t>
    </r>
    <r>
      <rPr>
        <sz val="11"/>
        <color theme="1"/>
        <rFont val="宋体"/>
        <family val="2"/>
        <charset val="134"/>
        <scheme val="minor"/>
      </rPr>
      <t/>
    </r>
  </si>
  <si>
    <r>
      <t>2单元</t>
    </r>
    <r>
      <rPr>
        <sz val="11"/>
        <color theme="1"/>
        <rFont val="宋体"/>
        <family val="3"/>
        <charset val="134"/>
        <scheme val="minor"/>
      </rPr>
      <t>905</t>
    </r>
    <r>
      <rPr>
        <sz val="11"/>
        <color theme="1"/>
        <rFont val="宋体"/>
        <family val="2"/>
        <charset val="134"/>
        <scheme val="minor"/>
      </rPr>
      <t/>
    </r>
  </si>
  <si>
    <r>
      <t>2单元</t>
    </r>
    <r>
      <rPr>
        <sz val="11"/>
        <color theme="1"/>
        <rFont val="宋体"/>
        <family val="3"/>
        <charset val="134"/>
        <scheme val="minor"/>
      </rPr>
      <t>906</t>
    </r>
    <r>
      <rPr>
        <sz val="11"/>
        <color theme="1"/>
        <rFont val="宋体"/>
        <family val="2"/>
        <charset val="134"/>
        <scheme val="minor"/>
      </rPr>
      <t/>
    </r>
  </si>
  <si>
    <r>
      <t>2单元</t>
    </r>
    <r>
      <rPr>
        <sz val="11"/>
        <color theme="1"/>
        <rFont val="宋体"/>
        <family val="3"/>
        <charset val="134"/>
        <scheme val="minor"/>
      </rPr>
      <t>907</t>
    </r>
    <r>
      <rPr>
        <sz val="11"/>
        <color theme="1"/>
        <rFont val="宋体"/>
        <family val="2"/>
        <charset val="134"/>
        <scheme val="minor"/>
      </rPr>
      <t/>
    </r>
  </si>
  <si>
    <r>
      <t>2单元</t>
    </r>
    <r>
      <rPr>
        <sz val="11"/>
        <color theme="1"/>
        <rFont val="宋体"/>
        <family val="3"/>
        <charset val="134"/>
        <scheme val="minor"/>
      </rPr>
      <t>908</t>
    </r>
    <r>
      <rPr>
        <sz val="11"/>
        <color theme="1"/>
        <rFont val="宋体"/>
        <family val="2"/>
        <charset val="134"/>
        <scheme val="minor"/>
      </rPr>
      <t/>
    </r>
  </si>
  <si>
    <r>
      <t>2单元</t>
    </r>
    <r>
      <rPr>
        <sz val="11"/>
        <color theme="1"/>
        <rFont val="宋体"/>
        <family val="3"/>
        <charset val="134"/>
        <scheme val="minor"/>
      </rPr>
      <t>909</t>
    </r>
    <r>
      <rPr>
        <sz val="11"/>
        <color theme="1"/>
        <rFont val="宋体"/>
        <family val="2"/>
        <charset val="134"/>
        <scheme val="minor"/>
      </rPr>
      <t/>
    </r>
  </si>
  <si>
    <r>
      <t>2单元</t>
    </r>
    <r>
      <rPr>
        <sz val="11"/>
        <color theme="1"/>
        <rFont val="宋体"/>
        <family val="3"/>
        <charset val="134"/>
        <scheme val="minor"/>
      </rPr>
      <t>910</t>
    </r>
    <r>
      <rPr>
        <sz val="11"/>
        <color theme="1"/>
        <rFont val="宋体"/>
        <family val="2"/>
        <charset val="134"/>
        <scheme val="minor"/>
      </rPr>
      <t/>
    </r>
  </si>
  <si>
    <r>
      <t>2单元</t>
    </r>
    <r>
      <rPr>
        <sz val="11"/>
        <color theme="1"/>
        <rFont val="宋体"/>
        <family val="3"/>
        <charset val="134"/>
        <scheme val="minor"/>
      </rPr>
      <t>911</t>
    </r>
    <r>
      <rPr>
        <sz val="11"/>
        <color theme="1"/>
        <rFont val="宋体"/>
        <family val="2"/>
        <charset val="134"/>
        <scheme val="minor"/>
      </rPr>
      <t/>
    </r>
  </si>
  <si>
    <r>
      <t>2单元</t>
    </r>
    <r>
      <rPr>
        <sz val="11"/>
        <color theme="1"/>
        <rFont val="宋体"/>
        <family val="3"/>
        <charset val="134"/>
        <scheme val="minor"/>
      </rPr>
      <t>912</t>
    </r>
    <r>
      <rPr>
        <sz val="11"/>
        <color theme="1"/>
        <rFont val="宋体"/>
        <family val="2"/>
        <charset val="134"/>
        <scheme val="minor"/>
      </rPr>
      <t/>
    </r>
  </si>
  <si>
    <r>
      <t>2单元</t>
    </r>
    <r>
      <rPr>
        <sz val="11"/>
        <color theme="1"/>
        <rFont val="宋体"/>
        <family val="3"/>
        <charset val="134"/>
        <scheme val="minor"/>
      </rPr>
      <t>913</t>
    </r>
    <r>
      <rPr>
        <sz val="11"/>
        <color theme="1"/>
        <rFont val="宋体"/>
        <family val="2"/>
        <charset val="134"/>
        <scheme val="minor"/>
      </rPr>
      <t/>
    </r>
  </si>
  <si>
    <r>
      <t>2单元</t>
    </r>
    <r>
      <rPr>
        <sz val="11"/>
        <color theme="1"/>
        <rFont val="宋体"/>
        <family val="3"/>
        <charset val="134"/>
        <scheme val="minor"/>
      </rPr>
      <t>914</t>
    </r>
    <r>
      <rPr>
        <sz val="11"/>
        <color theme="1"/>
        <rFont val="宋体"/>
        <family val="2"/>
        <charset val="134"/>
        <scheme val="minor"/>
      </rPr>
      <t/>
    </r>
  </si>
  <si>
    <r>
      <t>2单元</t>
    </r>
    <r>
      <rPr>
        <sz val="11"/>
        <color theme="1"/>
        <rFont val="宋体"/>
        <family val="3"/>
        <charset val="134"/>
        <scheme val="minor"/>
      </rPr>
      <t>915</t>
    </r>
    <r>
      <rPr>
        <sz val="11"/>
        <color theme="1"/>
        <rFont val="宋体"/>
        <family val="2"/>
        <charset val="134"/>
        <scheme val="minor"/>
      </rPr>
      <t/>
    </r>
  </si>
  <si>
    <r>
      <t>2单元</t>
    </r>
    <r>
      <rPr>
        <sz val="11"/>
        <color theme="1"/>
        <rFont val="宋体"/>
        <family val="3"/>
        <charset val="134"/>
        <scheme val="minor"/>
      </rPr>
      <t>1001</t>
    </r>
    <phoneticPr fontId="144" type="noConversion"/>
  </si>
  <si>
    <r>
      <t>2单元</t>
    </r>
    <r>
      <rPr>
        <sz val="11"/>
        <color theme="1"/>
        <rFont val="宋体"/>
        <family val="3"/>
        <charset val="134"/>
        <scheme val="minor"/>
      </rPr>
      <t>1002</t>
    </r>
    <r>
      <rPr>
        <sz val="11"/>
        <color theme="1"/>
        <rFont val="宋体"/>
        <family val="2"/>
        <charset val="134"/>
        <scheme val="minor"/>
      </rPr>
      <t/>
    </r>
  </si>
  <si>
    <r>
      <t>2单元</t>
    </r>
    <r>
      <rPr>
        <sz val="11"/>
        <color theme="1"/>
        <rFont val="宋体"/>
        <family val="3"/>
        <charset val="134"/>
        <scheme val="minor"/>
      </rPr>
      <t>1003</t>
    </r>
    <r>
      <rPr>
        <sz val="11"/>
        <color theme="1"/>
        <rFont val="宋体"/>
        <family val="2"/>
        <charset val="134"/>
        <scheme val="minor"/>
      </rPr>
      <t/>
    </r>
  </si>
  <si>
    <r>
      <t>2单元</t>
    </r>
    <r>
      <rPr>
        <sz val="11"/>
        <color theme="1"/>
        <rFont val="宋体"/>
        <family val="3"/>
        <charset val="134"/>
        <scheme val="minor"/>
      </rPr>
      <t>1004</t>
    </r>
    <r>
      <rPr>
        <sz val="11"/>
        <color theme="1"/>
        <rFont val="宋体"/>
        <family val="2"/>
        <charset val="134"/>
        <scheme val="minor"/>
      </rPr>
      <t/>
    </r>
  </si>
  <si>
    <r>
      <t>2单元</t>
    </r>
    <r>
      <rPr>
        <sz val="11"/>
        <color theme="1"/>
        <rFont val="宋体"/>
        <family val="3"/>
        <charset val="134"/>
        <scheme val="minor"/>
      </rPr>
      <t>1005</t>
    </r>
    <r>
      <rPr>
        <sz val="11"/>
        <color theme="1"/>
        <rFont val="宋体"/>
        <family val="2"/>
        <charset val="134"/>
        <scheme val="minor"/>
      </rPr>
      <t/>
    </r>
  </si>
  <si>
    <r>
      <t>2单元</t>
    </r>
    <r>
      <rPr>
        <sz val="11"/>
        <color theme="1"/>
        <rFont val="宋体"/>
        <family val="3"/>
        <charset val="134"/>
        <scheme val="minor"/>
      </rPr>
      <t>1006</t>
    </r>
    <r>
      <rPr>
        <sz val="11"/>
        <color theme="1"/>
        <rFont val="宋体"/>
        <family val="2"/>
        <charset val="134"/>
        <scheme val="minor"/>
      </rPr>
      <t/>
    </r>
  </si>
  <si>
    <r>
      <t>2单元</t>
    </r>
    <r>
      <rPr>
        <sz val="11"/>
        <color theme="1"/>
        <rFont val="宋体"/>
        <family val="3"/>
        <charset val="134"/>
        <scheme val="minor"/>
      </rPr>
      <t>1007</t>
    </r>
    <r>
      <rPr>
        <sz val="11"/>
        <color theme="1"/>
        <rFont val="宋体"/>
        <family val="2"/>
        <charset val="134"/>
        <scheme val="minor"/>
      </rPr>
      <t/>
    </r>
  </si>
  <si>
    <r>
      <t>2单元</t>
    </r>
    <r>
      <rPr>
        <sz val="11"/>
        <color theme="1"/>
        <rFont val="宋体"/>
        <family val="3"/>
        <charset val="134"/>
        <scheme val="minor"/>
      </rPr>
      <t>1008</t>
    </r>
    <r>
      <rPr>
        <sz val="11"/>
        <color theme="1"/>
        <rFont val="宋体"/>
        <family val="2"/>
        <charset val="134"/>
        <scheme val="minor"/>
      </rPr>
      <t/>
    </r>
  </si>
  <si>
    <r>
      <t>2单元</t>
    </r>
    <r>
      <rPr>
        <sz val="11"/>
        <color theme="1"/>
        <rFont val="宋体"/>
        <family val="3"/>
        <charset val="134"/>
        <scheme val="minor"/>
      </rPr>
      <t>1009</t>
    </r>
    <r>
      <rPr>
        <sz val="11"/>
        <color theme="1"/>
        <rFont val="宋体"/>
        <family val="2"/>
        <charset val="134"/>
        <scheme val="minor"/>
      </rPr>
      <t/>
    </r>
  </si>
  <si>
    <r>
      <t>2单元</t>
    </r>
    <r>
      <rPr>
        <sz val="11"/>
        <color theme="1"/>
        <rFont val="宋体"/>
        <family val="3"/>
        <charset val="134"/>
        <scheme val="minor"/>
      </rPr>
      <t>1010</t>
    </r>
    <r>
      <rPr>
        <sz val="11"/>
        <color theme="1"/>
        <rFont val="宋体"/>
        <family val="2"/>
        <charset val="134"/>
        <scheme val="minor"/>
      </rPr>
      <t/>
    </r>
  </si>
  <si>
    <r>
      <t>2单元</t>
    </r>
    <r>
      <rPr>
        <sz val="11"/>
        <color theme="1"/>
        <rFont val="宋体"/>
        <family val="3"/>
        <charset val="134"/>
        <scheme val="minor"/>
      </rPr>
      <t>1011</t>
    </r>
    <r>
      <rPr>
        <sz val="11"/>
        <color theme="1"/>
        <rFont val="宋体"/>
        <family val="2"/>
        <charset val="134"/>
        <scheme val="minor"/>
      </rPr>
      <t/>
    </r>
  </si>
  <si>
    <r>
      <t>2单元</t>
    </r>
    <r>
      <rPr>
        <sz val="11"/>
        <color theme="1"/>
        <rFont val="宋体"/>
        <family val="3"/>
        <charset val="134"/>
        <scheme val="minor"/>
      </rPr>
      <t>1012</t>
    </r>
    <r>
      <rPr>
        <sz val="11"/>
        <color theme="1"/>
        <rFont val="宋体"/>
        <family val="2"/>
        <charset val="134"/>
        <scheme val="minor"/>
      </rPr>
      <t/>
    </r>
  </si>
  <si>
    <r>
      <t>2单元</t>
    </r>
    <r>
      <rPr>
        <sz val="11"/>
        <color theme="1"/>
        <rFont val="宋体"/>
        <family val="3"/>
        <charset val="134"/>
        <scheme val="minor"/>
      </rPr>
      <t>1013</t>
    </r>
    <r>
      <rPr>
        <sz val="11"/>
        <color theme="1"/>
        <rFont val="宋体"/>
        <family val="2"/>
        <charset val="134"/>
        <scheme val="minor"/>
      </rPr>
      <t/>
    </r>
  </si>
  <si>
    <r>
      <t>2单元</t>
    </r>
    <r>
      <rPr>
        <sz val="11"/>
        <color theme="1"/>
        <rFont val="宋体"/>
        <family val="3"/>
        <charset val="134"/>
        <scheme val="minor"/>
      </rPr>
      <t>1014</t>
    </r>
    <r>
      <rPr>
        <sz val="11"/>
        <color theme="1"/>
        <rFont val="宋体"/>
        <family val="2"/>
        <charset val="134"/>
        <scheme val="minor"/>
      </rPr>
      <t/>
    </r>
  </si>
  <si>
    <r>
      <t>2单元</t>
    </r>
    <r>
      <rPr>
        <sz val="11"/>
        <color theme="1"/>
        <rFont val="宋体"/>
        <family val="3"/>
        <charset val="134"/>
        <scheme val="minor"/>
      </rPr>
      <t>1015</t>
    </r>
    <r>
      <rPr>
        <sz val="11"/>
        <color theme="1"/>
        <rFont val="宋体"/>
        <family val="2"/>
        <charset val="134"/>
        <scheme val="minor"/>
      </rPr>
      <t/>
    </r>
  </si>
  <si>
    <t>2单元1101</t>
    <phoneticPr fontId="144" type="noConversion"/>
  </si>
  <si>
    <t>2单元1102</t>
  </si>
  <si>
    <t>2单元1103</t>
  </si>
  <si>
    <t>2单元1104</t>
  </si>
  <si>
    <t>2单元1105</t>
  </si>
  <si>
    <t>2单元1106</t>
  </si>
  <si>
    <t>2单元1107</t>
  </si>
  <si>
    <t>2单元1108</t>
  </si>
  <si>
    <t>2单元1109</t>
  </si>
  <si>
    <t>2单元1110</t>
  </si>
  <si>
    <t>2单元1111</t>
  </si>
  <si>
    <t>2单元1112</t>
  </si>
  <si>
    <t>2单元1113</t>
  </si>
  <si>
    <t>2单元1114</t>
  </si>
  <si>
    <t>2单元1115</t>
  </si>
  <si>
    <t>2单元1201</t>
    <phoneticPr fontId="144" type="noConversion"/>
  </si>
  <si>
    <t>2单元1202</t>
  </si>
  <si>
    <t>2单元1203</t>
  </si>
  <si>
    <t>2单元1204</t>
  </si>
  <si>
    <t>2单元1205</t>
  </si>
  <si>
    <t>2单元1206</t>
  </si>
  <si>
    <t>2单元1207</t>
  </si>
  <si>
    <t>2单元1208</t>
  </si>
  <si>
    <t>2单元1209</t>
  </si>
  <si>
    <t>2单元1210</t>
  </si>
  <si>
    <t>2单元1211</t>
  </si>
  <si>
    <t>2单元1212</t>
  </si>
  <si>
    <t>2单元1213</t>
  </si>
  <si>
    <t>2单元1214</t>
  </si>
  <si>
    <t>2单元1215</t>
  </si>
  <si>
    <t>2单元1301</t>
    <phoneticPr fontId="144" type="noConversion"/>
  </si>
  <si>
    <t>2单元1302</t>
  </si>
  <si>
    <t>2单元1303</t>
  </si>
  <si>
    <t>2单元1304</t>
  </si>
  <si>
    <t>2单元1305</t>
  </si>
  <si>
    <t>2单元1306</t>
  </si>
  <si>
    <t>2单元1307</t>
  </si>
  <si>
    <t>2单元1308</t>
  </si>
  <si>
    <t>2单元1309</t>
  </si>
  <si>
    <t>2单元1310</t>
  </si>
  <si>
    <t>2单元1311</t>
  </si>
  <si>
    <t>2单元1312</t>
  </si>
  <si>
    <t>2单元1313</t>
  </si>
  <si>
    <t>2单元1314</t>
  </si>
  <si>
    <t>2单元1315</t>
  </si>
  <si>
    <t>2单元1401</t>
    <phoneticPr fontId="144" type="noConversion"/>
  </si>
  <si>
    <t>2单元1402</t>
  </si>
  <si>
    <t>2单元1403</t>
  </si>
  <si>
    <t>2单元1404</t>
  </si>
  <si>
    <t>2单元1405</t>
  </si>
  <si>
    <t>2单元1406</t>
  </si>
  <si>
    <t>2单元1407</t>
  </si>
  <si>
    <t>2单元1408</t>
  </si>
  <si>
    <t>2单元1409</t>
  </si>
  <si>
    <t>2单元1410</t>
  </si>
  <si>
    <t>2单元1411</t>
  </si>
  <si>
    <t>2单元1412</t>
  </si>
  <si>
    <t>2单元1413</t>
  </si>
  <si>
    <t>2单元1414</t>
  </si>
  <si>
    <t>2单元1415</t>
  </si>
  <si>
    <t>2单元1501</t>
    <phoneticPr fontId="144" type="noConversion"/>
  </si>
  <si>
    <t>2单元1502</t>
  </si>
  <si>
    <t>2单元1503</t>
  </si>
  <si>
    <t>2单元1504</t>
  </si>
  <si>
    <t>2单元1505</t>
  </si>
  <si>
    <t>2单元1506</t>
  </si>
  <si>
    <t>2单元1507</t>
  </si>
  <si>
    <t>2单元1508</t>
  </si>
  <si>
    <t>2单元1509</t>
  </si>
  <si>
    <t>2单元1510</t>
  </si>
  <si>
    <t>2单元1511</t>
  </si>
  <si>
    <t>2单元1512</t>
  </si>
  <si>
    <t>2单元1513</t>
  </si>
  <si>
    <t>2单元1514</t>
  </si>
  <si>
    <t>2单元1515</t>
  </si>
  <si>
    <t>2单元1601</t>
    <phoneticPr fontId="144" type="noConversion"/>
  </si>
  <si>
    <t>2单元1602</t>
  </si>
  <si>
    <t>2单元1603</t>
  </si>
  <si>
    <t>2单元1604</t>
  </si>
  <si>
    <t>2单元1605</t>
  </si>
  <si>
    <t>2单元1606</t>
  </si>
  <si>
    <t>2单元1607</t>
  </si>
  <si>
    <t>2单元1608</t>
  </si>
  <si>
    <t>2单元1609</t>
  </si>
  <si>
    <t>2单元1610</t>
  </si>
  <si>
    <t>2单元1611</t>
  </si>
  <si>
    <t>2单元1612</t>
  </si>
  <si>
    <t>2单元1613</t>
  </si>
  <si>
    <t>2单元1614</t>
  </si>
  <si>
    <t>2单元1615</t>
  </si>
  <si>
    <t>2单元1701</t>
    <phoneticPr fontId="144" type="noConversion"/>
  </si>
  <si>
    <t>2单元1702</t>
  </si>
  <si>
    <t>2单元1703</t>
  </si>
  <si>
    <t>2单元1704</t>
  </si>
  <si>
    <t>2单元1705</t>
  </si>
  <si>
    <t>2单元1706</t>
  </si>
  <si>
    <t>2单元1707</t>
  </si>
  <si>
    <t>2单元1708</t>
  </si>
  <si>
    <t>2单元1709</t>
  </si>
  <si>
    <t>2单元1710</t>
  </si>
  <si>
    <t>2单元1711</t>
  </si>
  <si>
    <t>2单元1712</t>
  </si>
  <si>
    <t>2单元1713</t>
  </si>
  <si>
    <t>2单元1714</t>
  </si>
  <si>
    <t>2单元1715</t>
  </si>
  <si>
    <t>2单元1801</t>
    <phoneticPr fontId="144" type="noConversion"/>
  </si>
  <si>
    <t>2单元1802</t>
  </si>
  <si>
    <t>2单元1803</t>
  </si>
  <si>
    <t>2单元1804</t>
  </si>
  <si>
    <t>2单元1805</t>
  </si>
  <si>
    <t>2单元1806</t>
  </si>
  <si>
    <t>2单元1807</t>
  </si>
  <si>
    <t>2单元1808</t>
  </si>
  <si>
    <t>2单元1809</t>
  </si>
  <si>
    <t>2单元1810</t>
  </si>
  <si>
    <t>2单元1811</t>
  </si>
  <si>
    <t>2单元1812</t>
  </si>
  <si>
    <t>2单元1813</t>
  </si>
  <si>
    <t>2单元1814</t>
  </si>
  <si>
    <t>2单元1815</t>
  </si>
  <si>
    <t>经营性办公</t>
    <phoneticPr fontId="144" type="noConversion"/>
  </si>
  <si>
    <t>1层商业</t>
    <phoneticPr fontId="144" type="noConversion"/>
  </si>
  <si>
    <t>2层商业</t>
    <phoneticPr fontId="144" type="noConversion"/>
  </si>
  <si>
    <t>3层商业</t>
    <phoneticPr fontId="144" type="noConversion"/>
  </si>
  <si>
    <t>办公</t>
    <phoneticPr fontId="144" type="noConversion"/>
  </si>
  <si>
    <t>售价</t>
  </si>
  <si>
    <t>20-30（含）</t>
  </si>
  <si>
    <t>商业</t>
    <phoneticPr fontId="32" type="noConversion"/>
  </si>
  <si>
    <t>底商</t>
    <phoneticPr fontId="32" type="noConversion"/>
  </si>
  <si>
    <t>正常</t>
  </si>
  <si>
    <t>30-40（含）</t>
  </si>
  <si>
    <t>典型户型修正-商业</t>
  </si>
  <si>
    <t>典型户型修正-办公</t>
    <phoneticPr fontId="17" type="noConversion"/>
  </si>
  <si>
    <t>办公</t>
    <phoneticPr fontId="33" type="noConversion"/>
  </si>
  <si>
    <t>低层</t>
  </si>
  <si>
    <t>低层</t>
    <phoneticPr fontId="33" type="noConversion"/>
  </si>
  <si>
    <t>中层</t>
  </si>
  <si>
    <t>中层</t>
    <phoneticPr fontId="33" type="noConversion"/>
  </si>
  <si>
    <t>高层</t>
    <phoneticPr fontId="33" type="noConversion"/>
  </si>
  <si>
    <t>1单元401</t>
  </si>
  <si>
    <t>1单元402</t>
  </si>
  <si>
    <t>1单元403</t>
  </si>
  <si>
    <t>1单元404</t>
  </si>
  <si>
    <t>1单元405</t>
  </si>
  <si>
    <t>1单元406</t>
  </si>
  <si>
    <t>1单元407</t>
  </si>
  <si>
    <t>1单元408</t>
  </si>
  <si>
    <t>1单元409</t>
  </si>
  <si>
    <t>1单元410</t>
  </si>
  <si>
    <t>1单元411</t>
  </si>
  <si>
    <t>1单元412</t>
  </si>
  <si>
    <t>1单元413</t>
  </si>
  <si>
    <t>1单元414</t>
  </si>
  <si>
    <t>1单元415</t>
  </si>
  <si>
    <t>1单元501</t>
  </si>
  <si>
    <t>1单元601</t>
  </si>
  <si>
    <t>1单元602</t>
  </si>
  <si>
    <t>1单元603</t>
  </si>
  <si>
    <t>1单元604</t>
  </si>
  <si>
    <t>1单元605</t>
  </si>
  <si>
    <t>1单元606</t>
  </si>
  <si>
    <t>1单元607</t>
  </si>
  <si>
    <t>1单元608</t>
  </si>
  <si>
    <t>1单元609</t>
  </si>
  <si>
    <t>1单元610</t>
  </si>
  <si>
    <t>1单元611</t>
  </si>
  <si>
    <t>1单元612</t>
  </si>
  <si>
    <t>1单元613</t>
  </si>
  <si>
    <t>1单元614</t>
  </si>
  <si>
    <t>1单元615</t>
  </si>
  <si>
    <t>1单元616</t>
  </si>
  <si>
    <t>1单元617</t>
  </si>
  <si>
    <t>1单元618</t>
  </si>
  <si>
    <t>1单元619</t>
  </si>
  <si>
    <t>1单元620</t>
  </si>
  <si>
    <t>1单元621</t>
  </si>
  <si>
    <t>1单元622</t>
  </si>
  <si>
    <t>1单元701</t>
  </si>
  <si>
    <t>1单元702</t>
  </si>
  <si>
    <t>1单元703</t>
  </si>
  <si>
    <t>1单元704</t>
  </si>
  <si>
    <t>1单元705</t>
  </si>
  <si>
    <t>1单元706</t>
  </si>
  <si>
    <t>1单元707</t>
  </si>
  <si>
    <t>1单元708</t>
  </si>
  <si>
    <t>1单元709</t>
  </si>
  <si>
    <t>1单元710</t>
  </si>
  <si>
    <t>1单元711</t>
  </si>
  <si>
    <t>1单元712</t>
  </si>
  <si>
    <t>1单元713</t>
  </si>
  <si>
    <t>1单元714</t>
  </si>
  <si>
    <t>1单元715</t>
  </si>
  <si>
    <t>1单元716</t>
  </si>
  <si>
    <t>1单元717</t>
  </si>
  <si>
    <t>1单元718</t>
  </si>
  <si>
    <t>1单元719</t>
  </si>
  <si>
    <t>1单元720</t>
  </si>
  <si>
    <t>1单元721</t>
  </si>
  <si>
    <t>1单元722</t>
  </si>
  <si>
    <t>1单元801</t>
  </si>
  <si>
    <t>1单元802</t>
  </si>
  <si>
    <t>1单元803</t>
  </si>
  <si>
    <t>1单元804</t>
  </si>
  <si>
    <t>1单元805</t>
  </si>
  <si>
    <t>1单元806</t>
  </si>
  <si>
    <t>1单元807</t>
  </si>
  <si>
    <t>1单元808</t>
  </si>
  <si>
    <t>1单元809</t>
  </si>
  <si>
    <t>1单元810</t>
  </si>
  <si>
    <t>1单元811</t>
  </si>
  <si>
    <t>1单元812</t>
  </si>
  <si>
    <t>1单元813</t>
  </si>
  <si>
    <t>1单元814</t>
  </si>
  <si>
    <t>1单元815</t>
  </si>
  <si>
    <t>1单元816</t>
  </si>
  <si>
    <t>1单元817</t>
  </si>
  <si>
    <t>1单元818</t>
  </si>
  <si>
    <t>1单元819</t>
  </si>
  <si>
    <t>1单元820</t>
  </si>
  <si>
    <t>1单元821</t>
  </si>
  <si>
    <t>1单元822</t>
  </si>
  <si>
    <t>1单元901</t>
  </si>
  <si>
    <t>1单元902</t>
  </si>
  <si>
    <t>1单元903</t>
  </si>
  <si>
    <t>1单元904</t>
  </si>
  <si>
    <t>1单元905</t>
  </si>
  <si>
    <t>1单元906</t>
  </si>
  <si>
    <t>1单元907</t>
  </si>
  <si>
    <t>1单元908</t>
  </si>
  <si>
    <t>1单元909</t>
  </si>
  <si>
    <t>1单元910</t>
  </si>
  <si>
    <t>1单元911</t>
  </si>
  <si>
    <t>1单元912</t>
  </si>
  <si>
    <t>1单元913</t>
  </si>
  <si>
    <t>1单元914</t>
  </si>
  <si>
    <t>1单元915</t>
  </si>
  <si>
    <t>1单元916</t>
  </si>
  <si>
    <t>1单元917</t>
  </si>
  <si>
    <t>1单元918</t>
  </si>
  <si>
    <t>1单元919</t>
  </si>
  <si>
    <t>1单元920</t>
  </si>
  <si>
    <t>1单元921</t>
  </si>
  <si>
    <t>1单元922</t>
  </si>
  <si>
    <t>1单元1001</t>
  </si>
  <si>
    <t>1单元1002</t>
  </si>
  <si>
    <t>1单元1003</t>
  </si>
  <si>
    <t>1单元1004</t>
  </si>
  <si>
    <t>1单元1005</t>
  </si>
  <si>
    <t>1单元1006</t>
  </si>
  <si>
    <t>1单元1007</t>
  </si>
  <si>
    <t>1单元1008</t>
  </si>
  <si>
    <t>1单元1009</t>
  </si>
  <si>
    <t>1单元1010</t>
  </si>
  <si>
    <t>1单元1011</t>
  </si>
  <si>
    <t>1单元1012</t>
  </si>
  <si>
    <t>1单元1013</t>
  </si>
  <si>
    <t>1单元1014</t>
  </si>
  <si>
    <t>1单元1015</t>
  </si>
  <si>
    <t>1单元1016</t>
  </si>
  <si>
    <t>1单元1017</t>
  </si>
  <si>
    <t>1单元1018</t>
  </si>
  <si>
    <t>1单元1019</t>
  </si>
  <si>
    <t>1单元1020</t>
  </si>
  <si>
    <t>1单元1021</t>
  </si>
  <si>
    <t>1单元1022</t>
  </si>
  <si>
    <t>1单元1101</t>
  </si>
  <si>
    <t>1单元1102</t>
  </si>
  <si>
    <t>1单元1103</t>
  </si>
  <si>
    <t>1单元1104</t>
  </si>
  <si>
    <t>1单元1105</t>
  </si>
  <si>
    <t>1单元1106</t>
  </si>
  <si>
    <t>1单元1107</t>
  </si>
  <si>
    <t>1单元1108</t>
  </si>
  <si>
    <t>1单元1109</t>
  </si>
  <si>
    <t>1单元1110</t>
  </si>
  <si>
    <t>1单元1111</t>
  </si>
  <si>
    <t>1单元1112</t>
  </si>
  <si>
    <t>1单元1113</t>
  </si>
  <si>
    <t>1单元1114</t>
  </si>
  <si>
    <t>1单元1115</t>
  </si>
  <si>
    <t>1单元1116</t>
  </si>
  <si>
    <t>1单元1117</t>
  </si>
  <si>
    <t>1单元1118</t>
  </si>
  <si>
    <t>1单元1119</t>
  </si>
  <si>
    <t>1单元1120</t>
  </si>
  <si>
    <t>1单元1121</t>
  </si>
  <si>
    <t>1单元1122</t>
  </si>
  <si>
    <t>1单元1201</t>
  </si>
  <si>
    <t>1单元1202</t>
  </si>
  <si>
    <t>1单元1203</t>
  </si>
  <si>
    <t>1单元1204</t>
  </si>
  <si>
    <t>1单元1205</t>
  </si>
  <si>
    <t>1单元1206</t>
  </si>
  <si>
    <t>1单元1207</t>
  </si>
  <si>
    <t>1单元1208</t>
  </si>
  <si>
    <t>1单元1209</t>
  </si>
  <si>
    <t>1单元1210</t>
  </si>
  <si>
    <t>1单元1211</t>
  </si>
  <si>
    <t>1单元1212</t>
  </si>
  <si>
    <t>1单元1213</t>
  </si>
  <si>
    <t>1单元1214</t>
  </si>
  <si>
    <t>1单元1215</t>
  </si>
  <si>
    <t>1单元1216</t>
  </si>
  <si>
    <t>1单元1217</t>
  </si>
  <si>
    <t>1单元1218</t>
  </si>
  <si>
    <t>1单元1219</t>
  </si>
  <si>
    <t>1单元1220</t>
  </si>
  <si>
    <t>1单元1221</t>
  </si>
  <si>
    <t>1单元1222</t>
  </si>
  <si>
    <t>1单元1301</t>
  </si>
  <si>
    <t>1单元1302</t>
  </si>
  <si>
    <t>1单元1303</t>
  </si>
  <si>
    <t>1单元1304</t>
  </si>
  <si>
    <t>1单元1305</t>
  </si>
  <si>
    <t>1单元1306</t>
  </si>
  <si>
    <t>1单元1307</t>
  </si>
  <si>
    <t>1单元1308</t>
  </si>
  <si>
    <t>1单元1309</t>
  </si>
  <si>
    <t>1单元1310</t>
  </si>
  <si>
    <t>1单元1311</t>
  </si>
  <si>
    <t>1单元1312</t>
  </si>
  <si>
    <t>1单元1313</t>
  </si>
  <si>
    <t>1单元1314</t>
  </si>
  <si>
    <t>1单元1315</t>
  </si>
  <si>
    <t>1单元1316</t>
  </si>
  <si>
    <t>1单元1317</t>
  </si>
  <si>
    <t>1单元1318</t>
  </si>
  <si>
    <t>1单元1319</t>
  </si>
  <si>
    <t>1单元1320</t>
  </si>
  <si>
    <t>1单元1321</t>
  </si>
  <si>
    <t>1单元1322</t>
  </si>
  <si>
    <t>1单元1401</t>
  </si>
  <si>
    <t>1单元1402</t>
  </si>
  <si>
    <t>1单元1403</t>
  </si>
  <si>
    <t>1单元1404</t>
  </si>
  <si>
    <t>1单元1405</t>
  </si>
  <si>
    <t>1单元1406</t>
  </si>
  <si>
    <t>1单元1407</t>
  </si>
  <si>
    <t>1单元1408</t>
  </si>
  <si>
    <t>1单元1409</t>
  </si>
  <si>
    <t>1单元1410</t>
  </si>
  <si>
    <t>1单元1411</t>
  </si>
  <si>
    <t>1单元1412</t>
  </si>
  <si>
    <t>1单元1413</t>
  </si>
  <si>
    <t>1单元1414</t>
  </si>
  <si>
    <t>1单元1415</t>
  </si>
  <si>
    <t>1单元1416</t>
  </si>
  <si>
    <t>1单元1417</t>
  </si>
  <si>
    <t>1单元1418</t>
  </si>
  <si>
    <t>1单元1419</t>
  </si>
  <si>
    <t>1单元1420</t>
  </si>
  <si>
    <t>1单元1421</t>
  </si>
  <si>
    <t>1单元1422</t>
  </si>
  <si>
    <t>1单元1501</t>
  </si>
  <si>
    <t>1单元1502</t>
  </si>
  <si>
    <t>1单元1503</t>
  </si>
  <si>
    <t>1单元1504</t>
  </si>
  <si>
    <t>1单元1505</t>
  </si>
  <si>
    <t>1单元1506</t>
  </si>
  <si>
    <t>1单元1507</t>
  </si>
  <si>
    <t>1单元1508</t>
  </si>
  <si>
    <t>1单元1509</t>
  </si>
  <si>
    <t>1单元1510</t>
  </si>
  <si>
    <t>1单元1511</t>
  </si>
  <si>
    <t>1单元1512</t>
  </si>
  <si>
    <t>1单元1513</t>
  </si>
  <si>
    <t>1单元1514</t>
  </si>
  <si>
    <t>1单元1515</t>
  </si>
  <si>
    <t>1单元1516</t>
  </si>
  <si>
    <t>1单元1517</t>
  </si>
  <si>
    <t>1单元1518</t>
  </si>
  <si>
    <t>1单元1519</t>
  </si>
  <si>
    <t>1单元1520</t>
  </si>
  <si>
    <t>1单元1521</t>
  </si>
  <si>
    <t>1单元1522</t>
  </si>
  <si>
    <t>1单元1601</t>
  </si>
  <si>
    <t>1单元1602</t>
  </si>
  <si>
    <t>1单元1603</t>
  </si>
  <si>
    <t>1单元1604</t>
  </si>
  <si>
    <t>1单元1605</t>
  </si>
  <si>
    <t>1单元1606</t>
  </si>
  <si>
    <t>1单元1607</t>
  </si>
  <si>
    <t>1单元1608</t>
  </si>
  <si>
    <t>1单元1609</t>
  </si>
  <si>
    <t>1单元1610</t>
  </si>
  <si>
    <t>1单元1611</t>
  </si>
  <si>
    <t>1单元1612</t>
  </si>
  <si>
    <t>1单元1613</t>
  </si>
  <si>
    <t>1单元1614</t>
  </si>
  <si>
    <t>1单元1615</t>
  </si>
  <si>
    <t>1单元1616</t>
  </si>
  <si>
    <t>1单元1617</t>
  </si>
  <si>
    <t>1单元1618</t>
  </si>
  <si>
    <t>1单元1619</t>
  </si>
  <si>
    <t>1单元1620</t>
  </si>
  <si>
    <t>1单元1621</t>
  </si>
  <si>
    <t>1单元1622</t>
  </si>
  <si>
    <t>1单元1701</t>
  </si>
  <si>
    <t>1单元1702</t>
  </si>
  <si>
    <t>1单元1703</t>
  </si>
  <si>
    <t>1单元1704</t>
  </si>
  <si>
    <t>1单元1705</t>
  </si>
  <si>
    <t>1单元1706</t>
  </si>
  <si>
    <t>1单元1707</t>
  </si>
  <si>
    <t>1单元1708</t>
  </si>
  <si>
    <t>1单元1709</t>
  </si>
  <si>
    <t>1单元1710</t>
  </si>
  <si>
    <t>1单元1711</t>
  </si>
  <si>
    <t>1单元1712</t>
  </si>
  <si>
    <t>1单元1713</t>
  </si>
  <si>
    <t>1单元1714</t>
  </si>
  <si>
    <t>1单元1715</t>
  </si>
  <si>
    <t>1单元1716</t>
  </si>
  <si>
    <t>1单元1717</t>
  </si>
  <si>
    <t>1单元1718</t>
  </si>
  <si>
    <t>1单元1719</t>
  </si>
  <si>
    <t>1单元1720</t>
  </si>
  <si>
    <t>1单元1721</t>
  </si>
  <si>
    <t>1单元1722</t>
  </si>
  <si>
    <t>1单元1801</t>
  </si>
  <si>
    <t>1单元1802</t>
  </si>
  <si>
    <t>1单元1803</t>
  </si>
  <si>
    <t>1单元1804</t>
  </si>
  <si>
    <t>1单元1805</t>
  </si>
  <si>
    <t>1单元1806</t>
  </si>
  <si>
    <t>1单元1807</t>
  </si>
  <si>
    <t>1单元1808</t>
  </si>
  <si>
    <t>1单元1809</t>
  </si>
  <si>
    <t>1单元1810</t>
  </si>
  <si>
    <t>1单元1811</t>
  </si>
  <si>
    <t>1单元1812</t>
  </si>
  <si>
    <t>1单元1813</t>
  </si>
  <si>
    <t>1单元1814</t>
  </si>
  <si>
    <t>1单元1815</t>
  </si>
  <si>
    <t>1单元1816</t>
  </si>
  <si>
    <t>1单元1817</t>
  </si>
  <si>
    <t>1单元1818</t>
  </si>
  <si>
    <t>1单元1819</t>
  </si>
  <si>
    <t>1单元1820</t>
  </si>
  <si>
    <t>1单元1821</t>
  </si>
  <si>
    <t>1单元1822</t>
  </si>
  <si>
    <t>40-50（含）</t>
  </si>
  <si>
    <t>项目局部</t>
  </si>
  <si>
    <t>时尚街区底商</t>
    <phoneticPr fontId="4" type="noConversion"/>
  </si>
  <si>
    <t>好</t>
    <phoneticPr fontId="32" type="noConversion"/>
  </si>
  <si>
    <t>较好</t>
    <phoneticPr fontId="32" type="noConversion"/>
  </si>
  <si>
    <t>一般</t>
    <phoneticPr fontId="32" type="noConversion"/>
  </si>
  <si>
    <t>较差</t>
    <phoneticPr fontId="32" type="noConversion"/>
  </si>
  <si>
    <t>差</t>
  </si>
  <si>
    <t>差</t>
    <phoneticPr fontId="32" type="noConversion"/>
  </si>
  <si>
    <t>大</t>
    <phoneticPr fontId="32" type="noConversion"/>
  </si>
  <si>
    <t>较大</t>
  </si>
  <si>
    <t>较大</t>
    <phoneticPr fontId="32" type="noConversion"/>
  </si>
  <si>
    <t>较小</t>
    <phoneticPr fontId="32" type="noConversion"/>
  </si>
  <si>
    <t>小</t>
    <phoneticPr fontId="32" type="noConversion"/>
  </si>
  <si>
    <r>
      <t>1</t>
    </r>
    <r>
      <rPr>
        <sz val="11"/>
        <color indexed="8"/>
        <rFont val="宋体"/>
        <family val="3"/>
        <charset val="134"/>
      </rPr>
      <t>层</t>
    </r>
    <phoneticPr fontId="32" type="noConversion"/>
  </si>
  <si>
    <t>钢混</t>
    <phoneticPr fontId="32" type="noConversion"/>
  </si>
  <si>
    <t>砖混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</si>
  <si>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</si>
  <si>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</si>
  <si>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</si>
  <si>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</si>
  <si>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</si>
  <si>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</si>
  <si>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</si>
  <si>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</si>
  <si>
    <t>不可餐饮</t>
    <phoneticPr fontId="32" type="noConversion"/>
  </si>
  <si>
    <t>标准层高</t>
  </si>
  <si>
    <t>精装修</t>
  </si>
  <si>
    <t>精装修</t>
    <phoneticPr fontId="32" type="noConversion"/>
  </si>
  <si>
    <t>普通装修</t>
    <phoneticPr fontId="32" type="noConversion"/>
  </si>
  <si>
    <t>简单装修</t>
  </si>
  <si>
    <t>简单装修</t>
    <phoneticPr fontId="32" type="noConversion"/>
  </si>
  <si>
    <t>毛坯</t>
  </si>
  <si>
    <t>毛坯</t>
    <phoneticPr fontId="32" type="noConversion"/>
  </si>
  <si>
    <t>较好</t>
    <phoneticPr fontId="32" type="noConversion"/>
  </si>
  <si>
    <t>1层</t>
  </si>
  <si>
    <t>格兰晴天底商</t>
    <phoneticPr fontId="4" type="noConversion"/>
  </si>
  <si>
    <t>可视性</t>
    <phoneticPr fontId="32"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</si>
  <si>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</si>
  <si>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</si>
  <si>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</si>
  <si>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</si>
  <si>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</si>
  <si>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t>标准写字楼</t>
  </si>
  <si>
    <t>标准写字楼</t>
    <phoneticPr fontId="33" type="noConversion"/>
  </si>
  <si>
    <t>异型建筑</t>
    <phoneticPr fontId="33" type="noConversion"/>
  </si>
  <si>
    <t>钢混</t>
    <phoneticPr fontId="33" type="noConversion"/>
  </si>
  <si>
    <t>砖混</t>
    <phoneticPr fontId="33" type="noConversion"/>
  </si>
  <si>
    <t>精装修</t>
    <phoneticPr fontId="33" type="noConversion"/>
  </si>
  <si>
    <t>普通装修</t>
    <phoneticPr fontId="33" type="noConversion"/>
  </si>
  <si>
    <t>简单装修</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</si>
  <si>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</si>
  <si>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</si>
  <si>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</si>
  <si>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</si>
  <si>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</si>
  <si>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</si>
  <si>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普通</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</si>
  <si>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</si>
  <si>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</si>
  <si>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</si>
  <si>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</si>
  <si>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</si>
  <si>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标准层高</t>
    <phoneticPr fontId="33" type="noConversion"/>
  </si>
  <si>
    <t>loft</t>
    <phoneticPr fontId="33" type="noConversion"/>
  </si>
  <si>
    <t>精装修</t>
    <phoneticPr fontId="33" type="noConversion"/>
  </si>
  <si>
    <t>通州万达广场</t>
    <phoneticPr fontId="4" type="noConversion"/>
  </si>
  <si>
    <t>业态</t>
    <phoneticPr fontId="4" type="noConversion"/>
  </si>
  <si>
    <t>可餐饮</t>
    <phoneticPr fontId="26" type="noConversion"/>
  </si>
  <si>
    <t>不可餐饮</t>
    <phoneticPr fontId="26" type="noConversion"/>
  </si>
  <si>
    <t>层高</t>
    <phoneticPr fontId="4" type="noConversion"/>
  </si>
  <si>
    <r>
      <t>5</t>
    </r>
    <r>
      <rPr>
        <sz val="10"/>
        <color indexed="8"/>
        <rFont val="宋体"/>
        <family val="3"/>
        <charset val="134"/>
      </rPr>
      <t>米以上</t>
    </r>
    <phoneticPr fontId="26" type="noConversion"/>
  </si>
  <si>
    <r>
      <t>3-5</t>
    </r>
    <r>
      <rPr>
        <sz val="10"/>
        <color indexed="8"/>
        <rFont val="宋体"/>
        <family val="3"/>
        <charset val="134"/>
      </rPr>
      <t>米</t>
    </r>
    <phoneticPr fontId="26" type="noConversion"/>
  </si>
  <si>
    <t>5米以上</t>
  </si>
  <si>
    <t>3-5米</t>
  </si>
  <si>
    <t>5米以上</t>
    <phoneticPr fontId="32" type="noConversion"/>
  </si>
  <si>
    <t>3-5米</t>
    <phoneticPr fontId="32" type="noConversion"/>
  </si>
  <si>
    <t>蓝调沙龙底商</t>
    <phoneticPr fontId="4" type="noConversion"/>
  </si>
  <si>
    <t>富力运河十号</t>
    <phoneticPr fontId="4" type="noConversion"/>
  </si>
  <si>
    <t>已注销</t>
  </si>
  <si>
    <t>北京君合百年房地产开发有限公司</t>
    <phoneticPr fontId="7" type="noConversion"/>
  </si>
  <si>
    <r>
      <rPr>
        <sz val="12"/>
        <color theme="9" tint="-0.249977111117893"/>
        <rFont val="宋体"/>
        <family val="3"/>
        <charset val="134"/>
      </rPr>
      <t>通州区临河里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1-3</t>
    </r>
    <r>
      <rPr>
        <sz val="12"/>
        <color theme="9" tint="-0.249977111117893"/>
        <rFont val="宋体"/>
        <family val="3"/>
        <charset val="134"/>
      </rPr>
      <t>层商业用房、</t>
    </r>
    <r>
      <rPr>
        <sz val="12"/>
        <color theme="9" tint="-0.249977111117893"/>
        <rFont val="Arial"/>
        <family val="2"/>
      </rPr>
      <t>1</t>
    </r>
    <r>
      <rPr>
        <sz val="12"/>
        <color theme="9" tint="-0.249977111117893"/>
        <rFont val="宋体"/>
        <family val="3"/>
        <charset val="134"/>
      </rPr>
      <t>单元</t>
    </r>
    <r>
      <rPr>
        <sz val="12"/>
        <color theme="9" tint="-0.249977111117893"/>
        <rFont val="Arial"/>
        <family val="2"/>
      </rPr>
      <t>4-18</t>
    </r>
    <r>
      <rPr>
        <sz val="12"/>
        <color theme="9" tint="-0.249977111117893"/>
        <rFont val="宋体"/>
        <family val="3"/>
        <charset val="134"/>
      </rPr>
      <t>层办公用房</t>
    </r>
    <phoneticPr fontId="7" type="noConversion"/>
  </si>
  <si>
    <t>商业、办公</t>
    <phoneticPr fontId="7" type="noConversion"/>
  </si>
  <si>
    <r>
      <rPr>
        <sz val="12"/>
        <color theme="9" tint="-0.249977111117893"/>
        <rFont val="宋体"/>
        <family val="3"/>
        <charset val="134"/>
      </rPr>
      <t>商业</t>
    </r>
    <r>
      <rPr>
        <sz val="12"/>
        <color theme="9" tint="-0.249977111117893"/>
        <rFont val="Arial"/>
        <family val="2"/>
      </rPr>
      <t>26.33</t>
    </r>
    <r>
      <rPr>
        <sz val="12"/>
        <color theme="9" tint="-0.249977111117893"/>
        <rFont val="宋体"/>
        <family val="3"/>
        <charset val="134"/>
      </rPr>
      <t>年、办公</t>
    </r>
    <r>
      <rPr>
        <sz val="12"/>
        <color theme="9" tint="-0.249977111117893"/>
        <rFont val="Arial"/>
        <family val="2"/>
      </rPr>
      <t>36.33</t>
    </r>
    <r>
      <rPr>
        <sz val="12"/>
        <color theme="9" tint="-0.249977111117893"/>
        <rFont val="宋体"/>
        <family val="3"/>
        <charset val="134"/>
      </rPr>
      <t>年</t>
    </r>
    <phoneticPr fontId="7" type="noConversion"/>
  </si>
  <si>
    <t>中粮信托有限责任公司</t>
    <phoneticPr fontId="7" type="noConversion"/>
  </si>
  <si>
    <t>序号</t>
    <phoneticPr fontId="144" type="noConversion"/>
  </si>
  <si>
    <t>坐落</t>
    <phoneticPr fontId="144" type="noConversion"/>
  </si>
  <si>
    <t>通州区临河里1号楼</t>
  </si>
  <si>
    <t>不动产权利人</t>
    <phoneticPr fontId="144" type="noConversion"/>
  </si>
  <si>
    <t>北京君合百年房地产开发有限公司</t>
    <phoneticPr fontId="144" type="noConversion"/>
  </si>
  <si>
    <t>不动产权证号</t>
    <phoneticPr fontId="144" type="noConversion"/>
  </si>
  <si>
    <t>京（2016）通州区不动产权第0058273</t>
    <phoneticPr fontId="144" type="noConversion"/>
  </si>
  <si>
    <t>1单元401</t>
    <phoneticPr fontId="144" type="noConversion"/>
  </si>
  <si>
    <r>
      <t>1单元402</t>
    </r>
    <r>
      <rPr>
        <sz val="11"/>
        <color theme="1"/>
        <rFont val="宋体"/>
        <family val="2"/>
        <charset val="134"/>
        <scheme val="minor"/>
      </rPr>
      <t/>
    </r>
  </si>
  <si>
    <r>
      <t>1单元403</t>
    </r>
    <r>
      <rPr>
        <sz val="11"/>
        <color theme="1"/>
        <rFont val="宋体"/>
        <family val="2"/>
        <charset val="134"/>
        <scheme val="minor"/>
      </rPr>
      <t/>
    </r>
  </si>
  <si>
    <r>
      <t>1单元404</t>
    </r>
    <r>
      <rPr>
        <sz val="11"/>
        <color theme="1"/>
        <rFont val="宋体"/>
        <family val="2"/>
        <charset val="134"/>
        <scheme val="minor"/>
      </rPr>
      <t/>
    </r>
  </si>
  <si>
    <r>
      <t>1单元405</t>
    </r>
    <r>
      <rPr>
        <sz val="11"/>
        <color theme="1"/>
        <rFont val="宋体"/>
        <family val="2"/>
        <charset val="134"/>
        <scheme val="minor"/>
      </rPr>
      <t/>
    </r>
  </si>
  <si>
    <r>
      <t>1单元406</t>
    </r>
    <r>
      <rPr>
        <sz val="11"/>
        <color theme="1"/>
        <rFont val="宋体"/>
        <family val="2"/>
        <charset val="134"/>
        <scheme val="minor"/>
      </rPr>
      <t/>
    </r>
  </si>
  <si>
    <r>
      <t>1单元407</t>
    </r>
    <r>
      <rPr>
        <sz val="11"/>
        <color theme="1"/>
        <rFont val="宋体"/>
        <family val="2"/>
        <charset val="134"/>
        <scheme val="minor"/>
      </rPr>
      <t/>
    </r>
  </si>
  <si>
    <r>
      <t>1单元408</t>
    </r>
    <r>
      <rPr>
        <sz val="11"/>
        <color theme="1"/>
        <rFont val="宋体"/>
        <family val="2"/>
        <charset val="134"/>
        <scheme val="minor"/>
      </rPr>
      <t/>
    </r>
  </si>
  <si>
    <r>
      <t>1单元409</t>
    </r>
    <r>
      <rPr>
        <sz val="11"/>
        <color theme="1"/>
        <rFont val="宋体"/>
        <family val="2"/>
        <charset val="134"/>
        <scheme val="minor"/>
      </rPr>
      <t/>
    </r>
  </si>
  <si>
    <r>
      <t>1单元410</t>
    </r>
    <r>
      <rPr>
        <sz val="11"/>
        <color theme="1"/>
        <rFont val="宋体"/>
        <family val="2"/>
        <charset val="134"/>
        <scheme val="minor"/>
      </rPr>
      <t/>
    </r>
  </si>
  <si>
    <r>
      <t>1单元411</t>
    </r>
    <r>
      <rPr>
        <sz val="11"/>
        <color theme="1"/>
        <rFont val="宋体"/>
        <family val="2"/>
        <charset val="134"/>
        <scheme val="minor"/>
      </rPr>
      <t/>
    </r>
  </si>
  <si>
    <r>
      <t>1单元412</t>
    </r>
    <r>
      <rPr>
        <sz val="11"/>
        <color theme="1"/>
        <rFont val="宋体"/>
        <family val="2"/>
        <charset val="134"/>
        <scheme val="minor"/>
      </rPr>
      <t/>
    </r>
  </si>
  <si>
    <r>
      <t>1单元413</t>
    </r>
    <r>
      <rPr>
        <sz val="11"/>
        <color theme="1"/>
        <rFont val="宋体"/>
        <family val="2"/>
        <charset val="134"/>
        <scheme val="minor"/>
      </rPr>
      <t/>
    </r>
  </si>
  <si>
    <r>
      <t>1单元414</t>
    </r>
    <r>
      <rPr>
        <sz val="11"/>
        <color theme="1"/>
        <rFont val="宋体"/>
        <family val="2"/>
        <charset val="134"/>
        <scheme val="minor"/>
      </rPr>
      <t/>
    </r>
  </si>
  <si>
    <r>
      <t>1单元415</t>
    </r>
    <r>
      <rPr>
        <sz val="11"/>
        <color theme="1"/>
        <rFont val="宋体"/>
        <family val="2"/>
        <charset val="134"/>
        <scheme val="minor"/>
      </rPr>
      <t/>
    </r>
  </si>
  <si>
    <t>1单元601</t>
    <phoneticPr fontId="144" type="noConversion"/>
  </si>
  <si>
    <r>
      <t>1单元602</t>
    </r>
    <r>
      <rPr>
        <sz val="11"/>
        <color theme="1"/>
        <rFont val="宋体"/>
        <family val="2"/>
        <charset val="134"/>
        <scheme val="minor"/>
      </rPr>
      <t/>
    </r>
  </si>
  <si>
    <r>
      <t>1单元603</t>
    </r>
    <r>
      <rPr>
        <sz val="11"/>
        <color theme="1"/>
        <rFont val="宋体"/>
        <family val="2"/>
        <charset val="134"/>
        <scheme val="minor"/>
      </rPr>
      <t/>
    </r>
  </si>
  <si>
    <r>
      <t>1单元604</t>
    </r>
    <r>
      <rPr>
        <sz val="11"/>
        <color theme="1"/>
        <rFont val="宋体"/>
        <family val="2"/>
        <charset val="134"/>
        <scheme val="minor"/>
      </rPr>
      <t/>
    </r>
  </si>
  <si>
    <r>
      <t>1单元605</t>
    </r>
    <r>
      <rPr>
        <sz val="11"/>
        <color theme="1"/>
        <rFont val="宋体"/>
        <family val="2"/>
        <charset val="134"/>
        <scheme val="minor"/>
      </rPr>
      <t/>
    </r>
  </si>
  <si>
    <r>
      <t>1单元606</t>
    </r>
    <r>
      <rPr>
        <sz val="11"/>
        <color theme="1"/>
        <rFont val="宋体"/>
        <family val="2"/>
        <charset val="134"/>
        <scheme val="minor"/>
      </rPr>
      <t/>
    </r>
  </si>
  <si>
    <r>
      <t>1单元607</t>
    </r>
    <r>
      <rPr>
        <sz val="11"/>
        <color theme="1"/>
        <rFont val="宋体"/>
        <family val="2"/>
        <charset val="134"/>
        <scheme val="minor"/>
      </rPr>
      <t/>
    </r>
  </si>
  <si>
    <r>
      <t>1单元608</t>
    </r>
    <r>
      <rPr>
        <sz val="11"/>
        <color theme="1"/>
        <rFont val="宋体"/>
        <family val="2"/>
        <charset val="134"/>
        <scheme val="minor"/>
      </rPr>
      <t/>
    </r>
  </si>
  <si>
    <r>
      <t>1单元609</t>
    </r>
    <r>
      <rPr>
        <sz val="11"/>
        <color theme="1"/>
        <rFont val="宋体"/>
        <family val="2"/>
        <charset val="134"/>
        <scheme val="minor"/>
      </rPr>
      <t/>
    </r>
  </si>
  <si>
    <r>
      <t>1单元610</t>
    </r>
    <r>
      <rPr>
        <sz val="11"/>
        <color theme="1"/>
        <rFont val="宋体"/>
        <family val="2"/>
        <charset val="134"/>
        <scheme val="minor"/>
      </rPr>
      <t/>
    </r>
  </si>
  <si>
    <r>
      <t>1单元611</t>
    </r>
    <r>
      <rPr>
        <sz val="11"/>
        <color theme="1"/>
        <rFont val="宋体"/>
        <family val="2"/>
        <charset val="134"/>
        <scheme val="minor"/>
      </rPr>
      <t/>
    </r>
  </si>
  <si>
    <r>
      <t>1单元612</t>
    </r>
    <r>
      <rPr>
        <sz val="11"/>
        <color theme="1"/>
        <rFont val="宋体"/>
        <family val="2"/>
        <charset val="134"/>
        <scheme val="minor"/>
      </rPr>
      <t/>
    </r>
  </si>
  <si>
    <r>
      <t>1单元613</t>
    </r>
    <r>
      <rPr>
        <sz val="11"/>
        <color theme="1"/>
        <rFont val="宋体"/>
        <family val="2"/>
        <charset val="134"/>
        <scheme val="minor"/>
      </rPr>
      <t/>
    </r>
  </si>
  <si>
    <r>
      <t>1单元614</t>
    </r>
    <r>
      <rPr>
        <sz val="11"/>
        <color theme="1"/>
        <rFont val="宋体"/>
        <family val="2"/>
        <charset val="134"/>
        <scheme val="minor"/>
      </rPr>
      <t/>
    </r>
  </si>
  <si>
    <r>
      <t>1单元615</t>
    </r>
    <r>
      <rPr>
        <sz val="11"/>
        <color theme="1"/>
        <rFont val="宋体"/>
        <family val="2"/>
        <charset val="134"/>
        <scheme val="minor"/>
      </rPr>
      <t/>
    </r>
  </si>
  <si>
    <r>
      <t>1单元616</t>
    </r>
    <r>
      <rPr>
        <sz val="11"/>
        <color theme="1"/>
        <rFont val="宋体"/>
        <family val="2"/>
        <charset val="134"/>
        <scheme val="minor"/>
      </rPr>
      <t/>
    </r>
  </si>
  <si>
    <r>
      <t>1单元617</t>
    </r>
    <r>
      <rPr>
        <sz val="11"/>
        <color theme="1"/>
        <rFont val="宋体"/>
        <family val="2"/>
        <charset val="134"/>
        <scheme val="minor"/>
      </rPr>
      <t/>
    </r>
  </si>
  <si>
    <r>
      <t>1单元618</t>
    </r>
    <r>
      <rPr>
        <sz val="11"/>
        <color theme="1"/>
        <rFont val="宋体"/>
        <family val="2"/>
        <charset val="134"/>
        <scheme val="minor"/>
      </rPr>
      <t/>
    </r>
  </si>
  <si>
    <r>
      <t>1单元619</t>
    </r>
    <r>
      <rPr>
        <sz val="11"/>
        <color theme="1"/>
        <rFont val="宋体"/>
        <family val="2"/>
        <charset val="134"/>
        <scheme val="minor"/>
      </rPr>
      <t/>
    </r>
  </si>
  <si>
    <r>
      <t>1单元620</t>
    </r>
    <r>
      <rPr>
        <sz val="11"/>
        <color theme="1"/>
        <rFont val="宋体"/>
        <family val="2"/>
        <charset val="134"/>
        <scheme val="minor"/>
      </rPr>
      <t/>
    </r>
  </si>
  <si>
    <r>
      <t>1单元621</t>
    </r>
    <r>
      <rPr>
        <sz val="11"/>
        <color theme="1"/>
        <rFont val="宋体"/>
        <family val="2"/>
        <charset val="134"/>
        <scheme val="minor"/>
      </rPr>
      <t/>
    </r>
  </si>
  <si>
    <r>
      <t>1单元622</t>
    </r>
    <r>
      <rPr>
        <sz val="11"/>
        <color theme="1"/>
        <rFont val="宋体"/>
        <family val="2"/>
        <charset val="134"/>
        <scheme val="minor"/>
      </rPr>
      <t/>
    </r>
  </si>
  <si>
    <t>1单元701</t>
    <phoneticPr fontId="144" type="noConversion"/>
  </si>
  <si>
    <r>
      <t>1单元702</t>
    </r>
    <r>
      <rPr>
        <sz val="11"/>
        <color theme="1"/>
        <rFont val="宋体"/>
        <family val="2"/>
        <charset val="134"/>
        <scheme val="minor"/>
      </rPr>
      <t/>
    </r>
  </si>
  <si>
    <r>
      <t>1单元703</t>
    </r>
    <r>
      <rPr>
        <sz val="11"/>
        <color theme="1"/>
        <rFont val="宋体"/>
        <family val="2"/>
        <charset val="134"/>
        <scheme val="minor"/>
      </rPr>
      <t/>
    </r>
  </si>
  <si>
    <r>
      <t>1单元704</t>
    </r>
    <r>
      <rPr>
        <sz val="11"/>
        <color theme="1"/>
        <rFont val="宋体"/>
        <family val="2"/>
        <charset val="134"/>
        <scheme val="minor"/>
      </rPr>
      <t/>
    </r>
  </si>
  <si>
    <r>
      <t>1单元705</t>
    </r>
    <r>
      <rPr>
        <sz val="11"/>
        <color theme="1"/>
        <rFont val="宋体"/>
        <family val="2"/>
        <charset val="134"/>
        <scheme val="minor"/>
      </rPr>
      <t/>
    </r>
  </si>
  <si>
    <r>
      <t>1单元706</t>
    </r>
    <r>
      <rPr>
        <sz val="11"/>
        <color theme="1"/>
        <rFont val="宋体"/>
        <family val="2"/>
        <charset val="134"/>
        <scheme val="minor"/>
      </rPr>
      <t/>
    </r>
  </si>
  <si>
    <r>
      <t>1单元707</t>
    </r>
    <r>
      <rPr>
        <sz val="11"/>
        <color theme="1"/>
        <rFont val="宋体"/>
        <family val="2"/>
        <charset val="134"/>
        <scheme val="minor"/>
      </rPr>
      <t/>
    </r>
  </si>
  <si>
    <r>
      <t>1单元708</t>
    </r>
    <r>
      <rPr>
        <sz val="11"/>
        <color theme="1"/>
        <rFont val="宋体"/>
        <family val="2"/>
        <charset val="134"/>
        <scheme val="minor"/>
      </rPr>
      <t/>
    </r>
  </si>
  <si>
    <r>
      <t>1单元709</t>
    </r>
    <r>
      <rPr>
        <sz val="11"/>
        <color theme="1"/>
        <rFont val="宋体"/>
        <family val="2"/>
        <charset val="134"/>
        <scheme val="minor"/>
      </rPr>
      <t/>
    </r>
  </si>
  <si>
    <r>
      <t>1单元710</t>
    </r>
    <r>
      <rPr>
        <sz val="11"/>
        <color theme="1"/>
        <rFont val="宋体"/>
        <family val="2"/>
        <charset val="134"/>
        <scheme val="minor"/>
      </rPr>
      <t/>
    </r>
  </si>
  <si>
    <r>
      <t>1单元711</t>
    </r>
    <r>
      <rPr>
        <sz val="11"/>
        <color theme="1"/>
        <rFont val="宋体"/>
        <family val="2"/>
        <charset val="134"/>
        <scheme val="minor"/>
      </rPr>
      <t/>
    </r>
  </si>
  <si>
    <r>
      <t>1单元712</t>
    </r>
    <r>
      <rPr>
        <sz val="11"/>
        <color theme="1"/>
        <rFont val="宋体"/>
        <family val="2"/>
        <charset val="134"/>
        <scheme val="minor"/>
      </rPr>
      <t/>
    </r>
  </si>
  <si>
    <r>
      <t>1单元713</t>
    </r>
    <r>
      <rPr>
        <sz val="11"/>
        <color theme="1"/>
        <rFont val="宋体"/>
        <family val="2"/>
        <charset val="134"/>
        <scheme val="minor"/>
      </rPr>
      <t/>
    </r>
  </si>
  <si>
    <r>
      <t>1单元714</t>
    </r>
    <r>
      <rPr>
        <sz val="11"/>
        <color theme="1"/>
        <rFont val="宋体"/>
        <family val="2"/>
        <charset val="134"/>
        <scheme val="minor"/>
      </rPr>
      <t/>
    </r>
  </si>
  <si>
    <r>
      <t>1单元715</t>
    </r>
    <r>
      <rPr>
        <sz val="11"/>
        <color theme="1"/>
        <rFont val="宋体"/>
        <family val="2"/>
        <charset val="134"/>
        <scheme val="minor"/>
      </rPr>
      <t/>
    </r>
  </si>
  <si>
    <r>
      <t>1单元716</t>
    </r>
    <r>
      <rPr>
        <sz val="11"/>
        <color theme="1"/>
        <rFont val="宋体"/>
        <family val="2"/>
        <charset val="134"/>
        <scheme val="minor"/>
      </rPr>
      <t/>
    </r>
  </si>
  <si>
    <r>
      <t>1单元717</t>
    </r>
    <r>
      <rPr>
        <sz val="11"/>
        <color theme="1"/>
        <rFont val="宋体"/>
        <family val="2"/>
        <charset val="134"/>
        <scheme val="minor"/>
      </rPr>
      <t/>
    </r>
  </si>
  <si>
    <r>
      <t>1单元718</t>
    </r>
    <r>
      <rPr>
        <sz val="11"/>
        <color theme="1"/>
        <rFont val="宋体"/>
        <family val="2"/>
        <charset val="134"/>
        <scheme val="minor"/>
      </rPr>
      <t/>
    </r>
  </si>
  <si>
    <r>
      <t>1单元719</t>
    </r>
    <r>
      <rPr>
        <sz val="11"/>
        <color theme="1"/>
        <rFont val="宋体"/>
        <family val="2"/>
        <charset val="134"/>
        <scheme val="minor"/>
      </rPr>
      <t/>
    </r>
  </si>
  <si>
    <r>
      <t>1单元720</t>
    </r>
    <r>
      <rPr>
        <sz val="11"/>
        <color theme="1"/>
        <rFont val="宋体"/>
        <family val="2"/>
        <charset val="134"/>
        <scheme val="minor"/>
      </rPr>
      <t/>
    </r>
  </si>
  <si>
    <r>
      <t>1单元721</t>
    </r>
    <r>
      <rPr>
        <sz val="11"/>
        <color theme="1"/>
        <rFont val="宋体"/>
        <family val="2"/>
        <charset val="134"/>
        <scheme val="minor"/>
      </rPr>
      <t/>
    </r>
  </si>
  <si>
    <r>
      <t>1单元722</t>
    </r>
    <r>
      <rPr>
        <sz val="11"/>
        <color theme="1"/>
        <rFont val="宋体"/>
        <family val="2"/>
        <charset val="134"/>
        <scheme val="minor"/>
      </rPr>
      <t/>
    </r>
  </si>
  <si>
    <t>1单元801</t>
    <phoneticPr fontId="144" type="noConversion"/>
  </si>
  <si>
    <r>
      <t>1单元802</t>
    </r>
    <r>
      <rPr>
        <sz val="11"/>
        <color theme="1"/>
        <rFont val="宋体"/>
        <family val="2"/>
        <charset val="134"/>
        <scheme val="minor"/>
      </rPr>
      <t/>
    </r>
  </si>
  <si>
    <r>
      <t>1单元803</t>
    </r>
    <r>
      <rPr>
        <sz val="11"/>
        <color theme="1"/>
        <rFont val="宋体"/>
        <family val="2"/>
        <charset val="134"/>
        <scheme val="minor"/>
      </rPr>
      <t/>
    </r>
  </si>
  <si>
    <r>
      <t>1单元804</t>
    </r>
    <r>
      <rPr>
        <sz val="11"/>
        <color theme="1"/>
        <rFont val="宋体"/>
        <family val="2"/>
        <charset val="134"/>
        <scheme val="minor"/>
      </rPr>
      <t/>
    </r>
  </si>
  <si>
    <r>
      <t>1单元805</t>
    </r>
    <r>
      <rPr>
        <sz val="11"/>
        <color theme="1"/>
        <rFont val="宋体"/>
        <family val="2"/>
        <charset val="134"/>
        <scheme val="minor"/>
      </rPr>
      <t/>
    </r>
  </si>
  <si>
    <r>
      <t>1单元806</t>
    </r>
    <r>
      <rPr>
        <sz val="11"/>
        <color theme="1"/>
        <rFont val="宋体"/>
        <family val="2"/>
        <charset val="134"/>
        <scheme val="minor"/>
      </rPr>
      <t/>
    </r>
  </si>
  <si>
    <r>
      <t>1单元807</t>
    </r>
    <r>
      <rPr>
        <sz val="11"/>
        <color theme="1"/>
        <rFont val="宋体"/>
        <family val="2"/>
        <charset val="134"/>
        <scheme val="minor"/>
      </rPr>
      <t/>
    </r>
  </si>
  <si>
    <r>
      <t>1单元808</t>
    </r>
    <r>
      <rPr>
        <sz val="11"/>
        <color theme="1"/>
        <rFont val="宋体"/>
        <family val="2"/>
        <charset val="134"/>
        <scheme val="minor"/>
      </rPr>
      <t/>
    </r>
  </si>
  <si>
    <r>
      <t>1单元809</t>
    </r>
    <r>
      <rPr>
        <sz val="11"/>
        <color theme="1"/>
        <rFont val="宋体"/>
        <family val="2"/>
        <charset val="134"/>
        <scheme val="minor"/>
      </rPr>
      <t/>
    </r>
  </si>
  <si>
    <r>
      <t>1单元810</t>
    </r>
    <r>
      <rPr>
        <sz val="11"/>
        <color theme="1"/>
        <rFont val="宋体"/>
        <family val="2"/>
        <charset val="134"/>
        <scheme val="minor"/>
      </rPr>
      <t/>
    </r>
  </si>
  <si>
    <r>
      <t>1单元811</t>
    </r>
    <r>
      <rPr>
        <sz val="11"/>
        <color theme="1"/>
        <rFont val="宋体"/>
        <family val="2"/>
        <charset val="134"/>
        <scheme val="minor"/>
      </rPr>
      <t/>
    </r>
  </si>
  <si>
    <r>
      <t>1单元812</t>
    </r>
    <r>
      <rPr>
        <sz val="11"/>
        <color theme="1"/>
        <rFont val="宋体"/>
        <family val="2"/>
        <charset val="134"/>
        <scheme val="minor"/>
      </rPr>
      <t/>
    </r>
  </si>
  <si>
    <r>
      <t>1单元813</t>
    </r>
    <r>
      <rPr>
        <sz val="11"/>
        <color theme="1"/>
        <rFont val="宋体"/>
        <family val="2"/>
        <charset val="134"/>
        <scheme val="minor"/>
      </rPr>
      <t/>
    </r>
  </si>
  <si>
    <r>
      <t>1单元814</t>
    </r>
    <r>
      <rPr>
        <sz val="11"/>
        <color theme="1"/>
        <rFont val="宋体"/>
        <family val="2"/>
        <charset val="134"/>
        <scheme val="minor"/>
      </rPr>
      <t/>
    </r>
  </si>
  <si>
    <r>
      <t>1单元815</t>
    </r>
    <r>
      <rPr>
        <sz val="11"/>
        <color theme="1"/>
        <rFont val="宋体"/>
        <family val="2"/>
        <charset val="134"/>
        <scheme val="minor"/>
      </rPr>
      <t/>
    </r>
  </si>
  <si>
    <r>
      <t>1单元816</t>
    </r>
    <r>
      <rPr>
        <sz val="11"/>
        <color theme="1"/>
        <rFont val="宋体"/>
        <family val="2"/>
        <charset val="134"/>
        <scheme val="minor"/>
      </rPr>
      <t/>
    </r>
  </si>
  <si>
    <r>
      <t>1单元817</t>
    </r>
    <r>
      <rPr>
        <sz val="11"/>
        <color theme="1"/>
        <rFont val="宋体"/>
        <family val="2"/>
        <charset val="134"/>
        <scheme val="minor"/>
      </rPr>
      <t/>
    </r>
  </si>
  <si>
    <r>
      <t>1单元818</t>
    </r>
    <r>
      <rPr>
        <sz val="11"/>
        <color theme="1"/>
        <rFont val="宋体"/>
        <family val="2"/>
        <charset val="134"/>
        <scheme val="minor"/>
      </rPr>
      <t/>
    </r>
  </si>
  <si>
    <r>
      <t>1单元819</t>
    </r>
    <r>
      <rPr>
        <sz val="11"/>
        <color theme="1"/>
        <rFont val="宋体"/>
        <family val="2"/>
        <charset val="134"/>
        <scheme val="minor"/>
      </rPr>
      <t/>
    </r>
  </si>
  <si>
    <r>
      <t>1单元820</t>
    </r>
    <r>
      <rPr>
        <sz val="11"/>
        <color theme="1"/>
        <rFont val="宋体"/>
        <family val="2"/>
        <charset val="134"/>
        <scheme val="minor"/>
      </rPr>
      <t/>
    </r>
  </si>
  <si>
    <r>
      <t>1单元821</t>
    </r>
    <r>
      <rPr>
        <sz val="11"/>
        <color theme="1"/>
        <rFont val="宋体"/>
        <family val="2"/>
        <charset val="134"/>
        <scheme val="minor"/>
      </rPr>
      <t/>
    </r>
  </si>
  <si>
    <r>
      <t>1单元822</t>
    </r>
    <r>
      <rPr>
        <sz val="11"/>
        <color theme="1"/>
        <rFont val="宋体"/>
        <family val="2"/>
        <charset val="134"/>
        <scheme val="minor"/>
      </rPr>
      <t/>
    </r>
  </si>
  <si>
    <t>1单元901</t>
    <phoneticPr fontId="144" type="noConversion"/>
  </si>
  <si>
    <r>
      <t>1单元902</t>
    </r>
    <r>
      <rPr>
        <sz val="11"/>
        <color theme="1"/>
        <rFont val="宋体"/>
        <family val="2"/>
        <charset val="134"/>
        <scheme val="minor"/>
      </rPr>
      <t/>
    </r>
  </si>
  <si>
    <r>
      <t>1单元903</t>
    </r>
    <r>
      <rPr>
        <sz val="11"/>
        <color theme="1"/>
        <rFont val="宋体"/>
        <family val="2"/>
        <charset val="134"/>
        <scheme val="minor"/>
      </rPr>
      <t/>
    </r>
  </si>
  <si>
    <r>
      <t>1单元904</t>
    </r>
    <r>
      <rPr>
        <sz val="11"/>
        <color theme="1"/>
        <rFont val="宋体"/>
        <family val="2"/>
        <charset val="134"/>
        <scheme val="minor"/>
      </rPr>
      <t/>
    </r>
  </si>
  <si>
    <r>
      <t>1单元905</t>
    </r>
    <r>
      <rPr>
        <sz val="11"/>
        <color theme="1"/>
        <rFont val="宋体"/>
        <family val="2"/>
        <charset val="134"/>
        <scheme val="minor"/>
      </rPr>
      <t/>
    </r>
  </si>
  <si>
    <r>
      <t>1单元906</t>
    </r>
    <r>
      <rPr>
        <sz val="11"/>
        <color theme="1"/>
        <rFont val="宋体"/>
        <family val="2"/>
        <charset val="134"/>
        <scheme val="minor"/>
      </rPr>
      <t/>
    </r>
  </si>
  <si>
    <r>
      <t>1单元907</t>
    </r>
    <r>
      <rPr>
        <sz val="11"/>
        <color theme="1"/>
        <rFont val="宋体"/>
        <family val="2"/>
        <charset val="134"/>
        <scheme val="minor"/>
      </rPr>
      <t/>
    </r>
  </si>
  <si>
    <r>
      <t>1单元908</t>
    </r>
    <r>
      <rPr>
        <sz val="11"/>
        <color theme="1"/>
        <rFont val="宋体"/>
        <family val="2"/>
        <charset val="134"/>
        <scheme val="minor"/>
      </rPr>
      <t/>
    </r>
  </si>
  <si>
    <r>
      <t>1单元909</t>
    </r>
    <r>
      <rPr>
        <sz val="11"/>
        <color theme="1"/>
        <rFont val="宋体"/>
        <family val="2"/>
        <charset val="134"/>
        <scheme val="minor"/>
      </rPr>
      <t/>
    </r>
  </si>
  <si>
    <r>
      <t>1单元910</t>
    </r>
    <r>
      <rPr>
        <sz val="11"/>
        <color theme="1"/>
        <rFont val="宋体"/>
        <family val="2"/>
        <charset val="134"/>
        <scheme val="minor"/>
      </rPr>
      <t/>
    </r>
  </si>
  <si>
    <r>
      <t>1单元911</t>
    </r>
    <r>
      <rPr>
        <sz val="11"/>
        <color theme="1"/>
        <rFont val="宋体"/>
        <family val="2"/>
        <charset val="134"/>
        <scheme val="minor"/>
      </rPr>
      <t/>
    </r>
  </si>
  <si>
    <r>
      <t>1单元912</t>
    </r>
    <r>
      <rPr>
        <sz val="11"/>
        <color theme="1"/>
        <rFont val="宋体"/>
        <family val="2"/>
        <charset val="134"/>
        <scheme val="minor"/>
      </rPr>
      <t/>
    </r>
  </si>
  <si>
    <r>
      <t>1单元913</t>
    </r>
    <r>
      <rPr>
        <sz val="11"/>
        <color theme="1"/>
        <rFont val="宋体"/>
        <family val="2"/>
        <charset val="134"/>
        <scheme val="minor"/>
      </rPr>
      <t/>
    </r>
  </si>
  <si>
    <r>
      <t>1单元914</t>
    </r>
    <r>
      <rPr>
        <sz val="11"/>
        <color theme="1"/>
        <rFont val="宋体"/>
        <family val="2"/>
        <charset val="134"/>
        <scheme val="minor"/>
      </rPr>
      <t/>
    </r>
  </si>
  <si>
    <r>
      <t>1单元915</t>
    </r>
    <r>
      <rPr>
        <sz val="11"/>
        <color theme="1"/>
        <rFont val="宋体"/>
        <family val="2"/>
        <charset val="134"/>
        <scheme val="minor"/>
      </rPr>
      <t/>
    </r>
  </si>
  <si>
    <r>
      <t>1单元916</t>
    </r>
    <r>
      <rPr>
        <sz val="11"/>
        <color theme="1"/>
        <rFont val="宋体"/>
        <family val="2"/>
        <charset val="134"/>
        <scheme val="minor"/>
      </rPr>
      <t/>
    </r>
  </si>
  <si>
    <r>
      <t>1单元917</t>
    </r>
    <r>
      <rPr>
        <sz val="11"/>
        <color theme="1"/>
        <rFont val="宋体"/>
        <family val="2"/>
        <charset val="134"/>
        <scheme val="minor"/>
      </rPr>
      <t/>
    </r>
  </si>
  <si>
    <r>
      <t>1单元918</t>
    </r>
    <r>
      <rPr>
        <sz val="11"/>
        <color theme="1"/>
        <rFont val="宋体"/>
        <family val="2"/>
        <charset val="134"/>
        <scheme val="minor"/>
      </rPr>
      <t/>
    </r>
  </si>
  <si>
    <r>
      <t>1单元919</t>
    </r>
    <r>
      <rPr>
        <sz val="11"/>
        <color theme="1"/>
        <rFont val="宋体"/>
        <family val="2"/>
        <charset val="134"/>
        <scheme val="minor"/>
      </rPr>
      <t/>
    </r>
  </si>
  <si>
    <r>
      <t>1单元920</t>
    </r>
    <r>
      <rPr>
        <sz val="11"/>
        <color theme="1"/>
        <rFont val="宋体"/>
        <family val="2"/>
        <charset val="134"/>
        <scheme val="minor"/>
      </rPr>
      <t/>
    </r>
  </si>
  <si>
    <r>
      <t>1单元921</t>
    </r>
    <r>
      <rPr>
        <sz val="11"/>
        <color theme="1"/>
        <rFont val="宋体"/>
        <family val="2"/>
        <charset val="134"/>
        <scheme val="minor"/>
      </rPr>
      <t/>
    </r>
  </si>
  <si>
    <r>
      <t>1单元922</t>
    </r>
    <r>
      <rPr>
        <sz val="11"/>
        <color theme="1"/>
        <rFont val="宋体"/>
        <family val="2"/>
        <charset val="134"/>
        <scheme val="minor"/>
      </rPr>
      <t/>
    </r>
  </si>
  <si>
    <t>1单元1001</t>
    <phoneticPr fontId="144" type="noConversion"/>
  </si>
  <si>
    <r>
      <t>1单元1002</t>
    </r>
    <r>
      <rPr>
        <sz val="11"/>
        <color theme="1"/>
        <rFont val="宋体"/>
        <family val="2"/>
        <charset val="134"/>
        <scheme val="minor"/>
      </rPr>
      <t/>
    </r>
  </si>
  <si>
    <r>
      <t>1单元1003</t>
    </r>
    <r>
      <rPr>
        <sz val="11"/>
        <color theme="1"/>
        <rFont val="宋体"/>
        <family val="2"/>
        <charset val="134"/>
        <scheme val="minor"/>
      </rPr>
      <t/>
    </r>
  </si>
  <si>
    <r>
      <t>1单元1004</t>
    </r>
    <r>
      <rPr>
        <sz val="11"/>
        <color theme="1"/>
        <rFont val="宋体"/>
        <family val="2"/>
        <charset val="134"/>
        <scheme val="minor"/>
      </rPr>
      <t/>
    </r>
  </si>
  <si>
    <r>
      <t>1单元1005</t>
    </r>
    <r>
      <rPr>
        <sz val="11"/>
        <color theme="1"/>
        <rFont val="宋体"/>
        <family val="2"/>
        <charset val="134"/>
        <scheme val="minor"/>
      </rPr>
      <t/>
    </r>
  </si>
  <si>
    <r>
      <t>1单元1006</t>
    </r>
    <r>
      <rPr>
        <sz val="11"/>
        <color theme="1"/>
        <rFont val="宋体"/>
        <family val="2"/>
        <charset val="134"/>
        <scheme val="minor"/>
      </rPr>
      <t/>
    </r>
  </si>
  <si>
    <r>
      <t>1单元1007</t>
    </r>
    <r>
      <rPr>
        <sz val="11"/>
        <color theme="1"/>
        <rFont val="宋体"/>
        <family val="2"/>
        <charset val="134"/>
        <scheme val="minor"/>
      </rPr>
      <t/>
    </r>
  </si>
  <si>
    <r>
      <t>1单元1008</t>
    </r>
    <r>
      <rPr>
        <sz val="11"/>
        <color theme="1"/>
        <rFont val="宋体"/>
        <family val="2"/>
        <charset val="134"/>
        <scheme val="minor"/>
      </rPr>
      <t/>
    </r>
  </si>
  <si>
    <r>
      <t>1单元1009</t>
    </r>
    <r>
      <rPr>
        <sz val="11"/>
        <color theme="1"/>
        <rFont val="宋体"/>
        <family val="2"/>
        <charset val="134"/>
        <scheme val="minor"/>
      </rPr>
      <t/>
    </r>
  </si>
  <si>
    <r>
      <t>1单元1010</t>
    </r>
    <r>
      <rPr>
        <sz val="11"/>
        <color theme="1"/>
        <rFont val="宋体"/>
        <family val="2"/>
        <charset val="134"/>
        <scheme val="minor"/>
      </rPr>
      <t/>
    </r>
  </si>
  <si>
    <r>
      <t>1单元1011</t>
    </r>
    <r>
      <rPr>
        <sz val="11"/>
        <color theme="1"/>
        <rFont val="宋体"/>
        <family val="2"/>
        <charset val="134"/>
        <scheme val="minor"/>
      </rPr>
      <t/>
    </r>
  </si>
  <si>
    <r>
      <t>1单元1012</t>
    </r>
    <r>
      <rPr>
        <sz val="11"/>
        <color theme="1"/>
        <rFont val="宋体"/>
        <family val="2"/>
        <charset val="134"/>
        <scheme val="minor"/>
      </rPr>
      <t/>
    </r>
  </si>
  <si>
    <r>
      <t>1单元1013</t>
    </r>
    <r>
      <rPr>
        <sz val="11"/>
        <color theme="1"/>
        <rFont val="宋体"/>
        <family val="2"/>
        <charset val="134"/>
        <scheme val="minor"/>
      </rPr>
      <t/>
    </r>
  </si>
  <si>
    <r>
      <t>1单元1014</t>
    </r>
    <r>
      <rPr>
        <sz val="11"/>
        <color theme="1"/>
        <rFont val="宋体"/>
        <family val="2"/>
        <charset val="134"/>
        <scheme val="minor"/>
      </rPr>
      <t/>
    </r>
  </si>
  <si>
    <r>
      <t>1单元1015</t>
    </r>
    <r>
      <rPr>
        <sz val="11"/>
        <color theme="1"/>
        <rFont val="宋体"/>
        <family val="2"/>
        <charset val="134"/>
        <scheme val="minor"/>
      </rPr>
      <t/>
    </r>
  </si>
  <si>
    <r>
      <t>1单元1016</t>
    </r>
    <r>
      <rPr>
        <sz val="11"/>
        <color theme="1"/>
        <rFont val="宋体"/>
        <family val="2"/>
        <charset val="134"/>
        <scheme val="minor"/>
      </rPr>
      <t/>
    </r>
  </si>
  <si>
    <r>
      <t>1单元1017</t>
    </r>
    <r>
      <rPr>
        <sz val="11"/>
        <color theme="1"/>
        <rFont val="宋体"/>
        <family val="2"/>
        <charset val="134"/>
        <scheme val="minor"/>
      </rPr>
      <t/>
    </r>
  </si>
  <si>
    <r>
      <t>1单元1018</t>
    </r>
    <r>
      <rPr>
        <sz val="11"/>
        <color theme="1"/>
        <rFont val="宋体"/>
        <family val="2"/>
        <charset val="134"/>
        <scheme val="minor"/>
      </rPr>
      <t/>
    </r>
  </si>
  <si>
    <r>
      <t>1单元1019</t>
    </r>
    <r>
      <rPr>
        <sz val="11"/>
        <color theme="1"/>
        <rFont val="宋体"/>
        <family val="2"/>
        <charset val="134"/>
        <scheme val="minor"/>
      </rPr>
      <t/>
    </r>
  </si>
  <si>
    <r>
      <t>1单元1020</t>
    </r>
    <r>
      <rPr>
        <sz val="11"/>
        <color theme="1"/>
        <rFont val="宋体"/>
        <family val="2"/>
        <charset val="134"/>
        <scheme val="minor"/>
      </rPr>
      <t/>
    </r>
  </si>
  <si>
    <r>
      <t>1单元1021</t>
    </r>
    <r>
      <rPr>
        <sz val="11"/>
        <color theme="1"/>
        <rFont val="宋体"/>
        <family val="2"/>
        <charset val="134"/>
        <scheme val="minor"/>
      </rPr>
      <t/>
    </r>
  </si>
  <si>
    <r>
      <t>1单元1022</t>
    </r>
    <r>
      <rPr>
        <sz val="11"/>
        <color theme="1"/>
        <rFont val="宋体"/>
        <family val="2"/>
        <charset val="134"/>
        <scheme val="minor"/>
      </rPr>
      <t/>
    </r>
  </si>
  <si>
    <t>1单元1101</t>
    <phoneticPr fontId="144" type="noConversion"/>
  </si>
  <si>
    <r>
      <t>1单元1102</t>
    </r>
    <r>
      <rPr>
        <sz val="11"/>
        <color theme="1"/>
        <rFont val="宋体"/>
        <family val="2"/>
        <charset val="134"/>
        <scheme val="minor"/>
      </rPr>
      <t/>
    </r>
  </si>
  <si>
    <r>
      <t>1单元1103</t>
    </r>
    <r>
      <rPr>
        <sz val="11"/>
        <color theme="1"/>
        <rFont val="宋体"/>
        <family val="2"/>
        <charset val="134"/>
        <scheme val="minor"/>
      </rPr>
      <t/>
    </r>
  </si>
  <si>
    <r>
      <t>1单元1104</t>
    </r>
    <r>
      <rPr>
        <sz val="11"/>
        <color theme="1"/>
        <rFont val="宋体"/>
        <family val="2"/>
        <charset val="134"/>
        <scheme val="minor"/>
      </rPr>
      <t/>
    </r>
  </si>
  <si>
    <r>
      <t>1单元1105</t>
    </r>
    <r>
      <rPr>
        <sz val="11"/>
        <color theme="1"/>
        <rFont val="宋体"/>
        <family val="2"/>
        <charset val="134"/>
        <scheme val="minor"/>
      </rPr>
      <t/>
    </r>
  </si>
  <si>
    <r>
      <t>1单元1106</t>
    </r>
    <r>
      <rPr>
        <sz val="11"/>
        <color theme="1"/>
        <rFont val="宋体"/>
        <family val="2"/>
        <charset val="134"/>
        <scheme val="minor"/>
      </rPr>
      <t/>
    </r>
  </si>
  <si>
    <r>
      <t>1单元1107</t>
    </r>
    <r>
      <rPr>
        <sz val="11"/>
        <color theme="1"/>
        <rFont val="宋体"/>
        <family val="2"/>
        <charset val="134"/>
        <scheme val="minor"/>
      </rPr>
      <t/>
    </r>
  </si>
  <si>
    <r>
      <t>1单元1108</t>
    </r>
    <r>
      <rPr>
        <sz val="11"/>
        <color theme="1"/>
        <rFont val="宋体"/>
        <family val="2"/>
        <charset val="134"/>
        <scheme val="minor"/>
      </rPr>
      <t/>
    </r>
  </si>
  <si>
    <r>
      <t>1单元1109</t>
    </r>
    <r>
      <rPr>
        <sz val="11"/>
        <color theme="1"/>
        <rFont val="宋体"/>
        <family val="2"/>
        <charset val="134"/>
        <scheme val="minor"/>
      </rPr>
      <t/>
    </r>
  </si>
  <si>
    <r>
      <t>1单元1110</t>
    </r>
    <r>
      <rPr>
        <sz val="11"/>
        <color theme="1"/>
        <rFont val="宋体"/>
        <family val="2"/>
        <charset val="134"/>
        <scheme val="minor"/>
      </rPr>
      <t/>
    </r>
  </si>
  <si>
    <r>
      <t>1单元1111</t>
    </r>
    <r>
      <rPr>
        <sz val="11"/>
        <color theme="1"/>
        <rFont val="宋体"/>
        <family val="2"/>
        <charset val="134"/>
        <scheme val="minor"/>
      </rPr>
      <t/>
    </r>
  </si>
  <si>
    <r>
      <t>1单元1112</t>
    </r>
    <r>
      <rPr>
        <sz val="11"/>
        <color theme="1"/>
        <rFont val="宋体"/>
        <family val="2"/>
        <charset val="134"/>
        <scheme val="minor"/>
      </rPr>
      <t/>
    </r>
  </si>
  <si>
    <r>
      <t>1单元1113</t>
    </r>
    <r>
      <rPr>
        <sz val="11"/>
        <color theme="1"/>
        <rFont val="宋体"/>
        <family val="2"/>
        <charset val="134"/>
        <scheme val="minor"/>
      </rPr>
      <t/>
    </r>
  </si>
  <si>
    <r>
      <t>1单元1114</t>
    </r>
    <r>
      <rPr>
        <sz val="11"/>
        <color theme="1"/>
        <rFont val="宋体"/>
        <family val="2"/>
        <charset val="134"/>
        <scheme val="minor"/>
      </rPr>
      <t/>
    </r>
  </si>
  <si>
    <r>
      <t>1单元1115</t>
    </r>
    <r>
      <rPr>
        <sz val="11"/>
        <color theme="1"/>
        <rFont val="宋体"/>
        <family val="2"/>
        <charset val="134"/>
        <scheme val="minor"/>
      </rPr>
      <t/>
    </r>
  </si>
  <si>
    <r>
      <t>1单元1116</t>
    </r>
    <r>
      <rPr>
        <sz val="11"/>
        <color theme="1"/>
        <rFont val="宋体"/>
        <family val="2"/>
        <charset val="134"/>
        <scheme val="minor"/>
      </rPr>
      <t/>
    </r>
  </si>
  <si>
    <r>
      <t>1单元1117</t>
    </r>
    <r>
      <rPr>
        <sz val="11"/>
        <color theme="1"/>
        <rFont val="宋体"/>
        <family val="2"/>
        <charset val="134"/>
        <scheme val="minor"/>
      </rPr>
      <t/>
    </r>
  </si>
  <si>
    <r>
      <t>1单元1118</t>
    </r>
    <r>
      <rPr>
        <sz val="11"/>
        <color theme="1"/>
        <rFont val="宋体"/>
        <family val="2"/>
        <charset val="134"/>
        <scheme val="minor"/>
      </rPr>
      <t/>
    </r>
  </si>
  <si>
    <r>
      <t>1单元1119</t>
    </r>
    <r>
      <rPr>
        <sz val="11"/>
        <color theme="1"/>
        <rFont val="宋体"/>
        <family val="2"/>
        <charset val="134"/>
        <scheme val="minor"/>
      </rPr>
      <t/>
    </r>
  </si>
  <si>
    <r>
      <t>1单元1120</t>
    </r>
    <r>
      <rPr>
        <sz val="11"/>
        <color theme="1"/>
        <rFont val="宋体"/>
        <family val="2"/>
        <charset val="134"/>
        <scheme val="minor"/>
      </rPr>
      <t/>
    </r>
  </si>
  <si>
    <r>
      <t>1单元1121</t>
    </r>
    <r>
      <rPr>
        <sz val="11"/>
        <color theme="1"/>
        <rFont val="宋体"/>
        <family val="2"/>
        <charset val="134"/>
        <scheme val="minor"/>
      </rPr>
      <t/>
    </r>
  </si>
  <si>
    <r>
      <t>1单元1122</t>
    </r>
    <r>
      <rPr>
        <sz val="11"/>
        <color theme="1"/>
        <rFont val="宋体"/>
        <family val="2"/>
        <charset val="134"/>
        <scheme val="minor"/>
      </rPr>
      <t/>
    </r>
  </si>
  <si>
    <t>1单元1201</t>
    <phoneticPr fontId="144" type="noConversion"/>
  </si>
  <si>
    <r>
      <t>1单元1202</t>
    </r>
    <r>
      <rPr>
        <sz val="11"/>
        <color theme="1"/>
        <rFont val="宋体"/>
        <family val="2"/>
        <charset val="134"/>
        <scheme val="minor"/>
      </rPr>
      <t/>
    </r>
  </si>
  <si>
    <r>
      <t>1单元1203</t>
    </r>
    <r>
      <rPr>
        <sz val="11"/>
        <color theme="1"/>
        <rFont val="宋体"/>
        <family val="2"/>
        <charset val="134"/>
        <scheme val="minor"/>
      </rPr>
      <t/>
    </r>
  </si>
  <si>
    <r>
      <t>1单元1204</t>
    </r>
    <r>
      <rPr>
        <sz val="11"/>
        <color theme="1"/>
        <rFont val="宋体"/>
        <family val="2"/>
        <charset val="134"/>
        <scheme val="minor"/>
      </rPr>
      <t/>
    </r>
  </si>
  <si>
    <r>
      <t>1单元1205</t>
    </r>
    <r>
      <rPr>
        <sz val="11"/>
        <color theme="1"/>
        <rFont val="宋体"/>
        <family val="2"/>
        <charset val="134"/>
        <scheme val="minor"/>
      </rPr>
      <t/>
    </r>
  </si>
  <si>
    <r>
      <t>1单元1206</t>
    </r>
    <r>
      <rPr>
        <sz val="11"/>
        <color theme="1"/>
        <rFont val="宋体"/>
        <family val="2"/>
        <charset val="134"/>
        <scheme val="minor"/>
      </rPr>
      <t/>
    </r>
  </si>
  <si>
    <r>
      <t>1单元1207</t>
    </r>
    <r>
      <rPr>
        <sz val="11"/>
        <color theme="1"/>
        <rFont val="宋体"/>
        <family val="2"/>
        <charset val="134"/>
        <scheme val="minor"/>
      </rPr>
      <t/>
    </r>
  </si>
  <si>
    <r>
      <t>1单元1208</t>
    </r>
    <r>
      <rPr>
        <sz val="11"/>
        <color theme="1"/>
        <rFont val="宋体"/>
        <family val="2"/>
        <charset val="134"/>
        <scheme val="minor"/>
      </rPr>
      <t/>
    </r>
  </si>
  <si>
    <r>
      <t>1单元1209</t>
    </r>
    <r>
      <rPr>
        <sz val="11"/>
        <color theme="1"/>
        <rFont val="宋体"/>
        <family val="2"/>
        <charset val="134"/>
        <scheme val="minor"/>
      </rPr>
      <t/>
    </r>
  </si>
  <si>
    <r>
      <t>1单元1210</t>
    </r>
    <r>
      <rPr>
        <sz val="11"/>
        <color theme="1"/>
        <rFont val="宋体"/>
        <family val="2"/>
        <charset val="134"/>
        <scheme val="minor"/>
      </rPr>
      <t/>
    </r>
  </si>
  <si>
    <r>
      <t>1单元1211</t>
    </r>
    <r>
      <rPr>
        <sz val="11"/>
        <color theme="1"/>
        <rFont val="宋体"/>
        <family val="2"/>
        <charset val="134"/>
        <scheme val="minor"/>
      </rPr>
      <t/>
    </r>
  </si>
  <si>
    <r>
      <t>1单元1212</t>
    </r>
    <r>
      <rPr>
        <sz val="11"/>
        <color theme="1"/>
        <rFont val="宋体"/>
        <family val="2"/>
        <charset val="134"/>
        <scheme val="minor"/>
      </rPr>
      <t/>
    </r>
  </si>
  <si>
    <r>
      <t>1单元1213</t>
    </r>
    <r>
      <rPr>
        <sz val="11"/>
        <color theme="1"/>
        <rFont val="宋体"/>
        <family val="2"/>
        <charset val="134"/>
        <scheme val="minor"/>
      </rPr>
      <t/>
    </r>
  </si>
  <si>
    <r>
      <t>1单元1214</t>
    </r>
    <r>
      <rPr>
        <sz val="11"/>
        <color theme="1"/>
        <rFont val="宋体"/>
        <family val="2"/>
        <charset val="134"/>
        <scheme val="minor"/>
      </rPr>
      <t/>
    </r>
  </si>
  <si>
    <r>
      <t>1单元1215</t>
    </r>
    <r>
      <rPr>
        <sz val="11"/>
        <color theme="1"/>
        <rFont val="宋体"/>
        <family val="2"/>
        <charset val="134"/>
        <scheme val="minor"/>
      </rPr>
      <t/>
    </r>
  </si>
  <si>
    <r>
      <t>1单元1216</t>
    </r>
    <r>
      <rPr>
        <sz val="11"/>
        <color theme="1"/>
        <rFont val="宋体"/>
        <family val="2"/>
        <charset val="134"/>
        <scheme val="minor"/>
      </rPr>
      <t/>
    </r>
  </si>
  <si>
    <r>
      <t>1单元1217</t>
    </r>
    <r>
      <rPr>
        <sz val="11"/>
        <color theme="1"/>
        <rFont val="宋体"/>
        <family val="2"/>
        <charset val="134"/>
        <scheme val="minor"/>
      </rPr>
      <t/>
    </r>
  </si>
  <si>
    <r>
      <t>1单元1218</t>
    </r>
    <r>
      <rPr>
        <sz val="11"/>
        <color theme="1"/>
        <rFont val="宋体"/>
        <family val="2"/>
        <charset val="134"/>
        <scheme val="minor"/>
      </rPr>
      <t/>
    </r>
  </si>
  <si>
    <r>
      <t>1单元1219</t>
    </r>
    <r>
      <rPr>
        <sz val="11"/>
        <color theme="1"/>
        <rFont val="宋体"/>
        <family val="2"/>
        <charset val="134"/>
        <scheme val="minor"/>
      </rPr>
      <t/>
    </r>
  </si>
  <si>
    <r>
      <t>1单元1220</t>
    </r>
    <r>
      <rPr>
        <sz val="11"/>
        <color theme="1"/>
        <rFont val="宋体"/>
        <family val="2"/>
        <charset val="134"/>
        <scheme val="minor"/>
      </rPr>
      <t/>
    </r>
  </si>
  <si>
    <r>
      <t>1单元1221</t>
    </r>
    <r>
      <rPr>
        <sz val="11"/>
        <color theme="1"/>
        <rFont val="宋体"/>
        <family val="2"/>
        <charset val="134"/>
        <scheme val="minor"/>
      </rPr>
      <t/>
    </r>
  </si>
  <si>
    <r>
      <t>1单元1222</t>
    </r>
    <r>
      <rPr>
        <sz val="11"/>
        <color theme="1"/>
        <rFont val="宋体"/>
        <family val="2"/>
        <charset val="134"/>
        <scheme val="minor"/>
      </rPr>
      <t/>
    </r>
  </si>
  <si>
    <t>1单元1301</t>
    <phoneticPr fontId="144" type="noConversion"/>
  </si>
  <si>
    <r>
      <t>1单元1302</t>
    </r>
    <r>
      <rPr>
        <sz val="11"/>
        <color theme="1"/>
        <rFont val="宋体"/>
        <family val="2"/>
        <charset val="134"/>
        <scheme val="minor"/>
      </rPr>
      <t/>
    </r>
  </si>
  <si>
    <r>
      <t>1单元1303</t>
    </r>
    <r>
      <rPr>
        <sz val="11"/>
        <color theme="1"/>
        <rFont val="宋体"/>
        <family val="2"/>
        <charset val="134"/>
        <scheme val="minor"/>
      </rPr>
      <t/>
    </r>
  </si>
  <si>
    <r>
      <t>1单元1304</t>
    </r>
    <r>
      <rPr>
        <sz val="11"/>
        <color theme="1"/>
        <rFont val="宋体"/>
        <family val="2"/>
        <charset val="134"/>
        <scheme val="minor"/>
      </rPr>
      <t/>
    </r>
  </si>
  <si>
    <r>
      <t>1单元1305</t>
    </r>
    <r>
      <rPr>
        <sz val="11"/>
        <color theme="1"/>
        <rFont val="宋体"/>
        <family val="2"/>
        <charset val="134"/>
        <scheme val="minor"/>
      </rPr>
      <t/>
    </r>
  </si>
  <si>
    <r>
      <t>1单元1306</t>
    </r>
    <r>
      <rPr>
        <sz val="11"/>
        <color theme="1"/>
        <rFont val="宋体"/>
        <family val="2"/>
        <charset val="134"/>
        <scheme val="minor"/>
      </rPr>
      <t/>
    </r>
  </si>
  <si>
    <r>
      <t>1单元1307</t>
    </r>
    <r>
      <rPr>
        <sz val="11"/>
        <color theme="1"/>
        <rFont val="宋体"/>
        <family val="2"/>
        <charset val="134"/>
        <scheme val="minor"/>
      </rPr>
      <t/>
    </r>
  </si>
  <si>
    <r>
      <t>1单元1308</t>
    </r>
    <r>
      <rPr>
        <sz val="11"/>
        <color theme="1"/>
        <rFont val="宋体"/>
        <family val="2"/>
        <charset val="134"/>
        <scheme val="minor"/>
      </rPr>
      <t/>
    </r>
  </si>
  <si>
    <r>
      <t>1单元1309</t>
    </r>
    <r>
      <rPr>
        <sz val="11"/>
        <color theme="1"/>
        <rFont val="宋体"/>
        <family val="2"/>
        <charset val="134"/>
        <scheme val="minor"/>
      </rPr>
      <t/>
    </r>
  </si>
  <si>
    <r>
      <t>1单元1310</t>
    </r>
    <r>
      <rPr>
        <sz val="11"/>
        <color theme="1"/>
        <rFont val="宋体"/>
        <family val="2"/>
        <charset val="134"/>
        <scheme val="minor"/>
      </rPr>
      <t/>
    </r>
  </si>
  <si>
    <r>
      <t>1单元1311</t>
    </r>
    <r>
      <rPr>
        <sz val="11"/>
        <color theme="1"/>
        <rFont val="宋体"/>
        <family val="2"/>
        <charset val="134"/>
        <scheme val="minor"/>
      </rPr>
      <t/>
    </r>
  </si>
  <si>
    <r>
      <t>1单元1312</t>
    </r>
    <r>
      <rPr>
        <sz val="11"/>
        <color theme="1"/>
        <rFont val="宋体"/>
        <family val="2"/>
        <charset val="134"/>
        <scheme val="minor"/>
      </rPr>
      <t/>
    </r>
  </si>
  <si>
    <r>
      <t>1单元1313</t>
    </r>
    <r>
      <rPr>
        <sz val="11"/>
        <color theme="1"/>
        <rFont val="宋体"/>
        <family val="2"/>
        <charset val="134"/>
        <scheme val="minor"/>
      </rPr>
      <t/>
    </r>
  </si>
  <si>
    <r>
      <t>1单元1314</t>
    </r>
    <r>
      <rPr>
        <sz val="11"/>
        <color theme="1"/>
        <rFont val="宋体"/>
        <family val="2"/>
        <charset val="134"/>
        <scheme val="minor"/>
      </rPr>
      <t/>
    </r>
  </si>
  <si>
    <r>
      <t>1单元1315</t>
    </r>
    <r>
      <rPr>
        <sz val="11"/>
        <color theme="1"/>
        <rFont val="宋体"/>
        <family val="2"/>
        <charset val="134"/>
        <scheme val="minor"/>
      </rPr>
      <t/>
    </r>
  </si>
  <si>
    <r>
      <t>1单元1316</t>
    </r>
    <r>
      <rPr>
        <sz val="11"/>
        <color theme="1"/>
        <rFont val="宋体"/>
        <family val="2"/>
        <charset val="134"/>
        <scheme val="minor"/>
      </rPr>
      <t/>
    </r>
  </si>
  <si>
    <r>
      <t>1单元1317</t>
    </r>
    <r>
      <rPr>
        <sz val="11"/>
        <color theme="1"/>
        <rFont val="宋体"/>
        <family val="2"/>
        <charset val="134"/>
        <scheme val="minor"/>
      </rPr>
      <t/>
    </r>
  </si>
  <si>
    <r>
      <t>1单元1318</t>
    </r>
    <r>
      <rPr>
        <sz val="11"/>
        <color theme="1"/>
        <rFont val="宋体"/>
        <family val="2"/>
        <charset val="134"/>
        <scheme val="minor"/>
      </rPr>
      <t/>
    </r>
  </si>
  <si>
    <r>
      <t>1单元1319</t>
    </r>
    <r>
      <rPr>
        <sz val="11"/>
        <color theme="1"/>
        <rFont val="宋体"/>
        <family val="2"/>
        <charset val="134"/>
        <scheme val="minor"/>
      </rPr>
      <t/>
    </r>
  </si>
  <si>
    <r>
      <t>1单元1320</t>
    </r>
    <r>
      <rPr>
        <sz val="11"/>
        <color theme="1"/>
        <rFont val="宋体"/>
        <family val="2"/>
        <charset val="134"/>
        <scheme val="minor"/>
      </rPr>
      <t/>
    </r>
  </si>
  <si>
    <r>
      <t>1单元1321</t>
    </r>
    <r>
      <rPr>
        <sz val="11"/>
        <color theme="1"/>
        <rFont val="宋体"/>
        <family val="2"/>
        <charset val="134"/>
        <scheme val="minor"/>
      </rPr>
      <t/>
    </r>
  </si>
  <si>
    <r>
      <t>1单元1322</t>
    </r>
    <r>
      <rPr>
        <sz val="11"/>
        <color theme="1"/>
        <rFont val="宋体"/>
        <family val="2"/>
        <charset val="134"/>
        <scheme val="minor"/>
      </rPr>
      <t/>
    </r>
  </si>
  <si>
    <t>1单元1401</t>
    <phoneticPr fontId="144" type="noConversion"/>
  </si>
  <si>
    <r>
      <t>1单元1402</t>
    </r>
    <r>
      <rPr>
        <sz val="11"/>
        <color theme="1"/>
        <rFont val="宋体"/>
        <family val="2"/>
        <charset val="134"/>
        <scheme val="minor"/>
      </rPr>
      <t/>
    </r>
  </si>
  <si>
    <r>
      <t>1单元1403</t>
    </r>
    <r>
      <rPr>
        <sz val="11"/>
        <color theme="1"/>
        <rFont val="宋体"/>
        <family val="2"/>
        <charset val="134"/>
        <scheme val="minor"/>
      </rPr>
      <t/>
    </r>
  </si>
  <si>
    <r>
      <t>1单元1404</t>
    </r>
    <r>
      <rPr>
        <sz val="11"/>
        <color theme="1"/>
        <rFont val="宋体"/>
        <family val="2"/>
        <charset val="134"/>
        <scheme val="minor"/>
      </rPr>
      <t/>
    </r>
  </si>
  <si>
    <r>
      <t>1单元1405</t>
    </r>
    <r>
      <rPr>
        <sz val="11"/>
        <color theme="1"/>
        <rFont val="宋体"/>
        <family val="2"/>
        <charset val="134"/>
        <scheme val="minor"/>
      </rPr>
      <t/>
    </r>
  </si>
  <si>
    <r>
      <t>1单元1406</t>
    </r>
    <r>
      <rPr>
        <sz val="11"/>
        <color theme="1"/>
        <rFont val="宋体"/>
        <family val="2"/>
        <charset val="134"/>
        <scheme val="minor"/>
      </rPr>
      <t/>
    </r>
  </si>
  <si>
    <r>
      <t>1单元1407</t>
    </r>
    <r>
      <rPr>
        <sz val="11"/>
        <color theme="1"/>
        <rFont val="宋体"/>
        <family val="2"/>
        <charset val="134"/>
        <scheme val="minor"/>
      </rPr>
      <t/>
    </r>
  </si>
  <si>
    <r>
      <t>1单元1408</t>
    </r>
    <r>
      <rPr>
        <sz val="11"/>
        <color theme="1"/>
        <rFont val="宋体"/>
        <family val="2"/>
        <charset val="134"/>
        <scheme val="minor"/>
      </rPr>
      <t/>
    </r>
  </si>
  <si>
    <r>
      <t>1单元1409</t>
    </r>
    <r>
      <rPr>
        <sz val="11"/>
        <color theme="1"/>
        <rFont val="宋体"/>
        <family val="2"/>
        <charset val="134"/>
        <scheme val="minor"/>
      </rPr>
      <t/>
    </r>
  </si>
  <si>
    <r>
      <t>1单元1410</t>
    </r>
    <r>
      <rPr>
        <sz val="11"/>
        <color theme="1"/>
        <rFont val="宋体"/>
        <family val="2"/>
        <charset val="134"/>
        <scheme val="minor"/>
      </rPr>
      <t/>
    </r>
  </si>
  <si>
    <r>
      <t>1单元1411</t>
    </r>
    <r>
      <rPr>
        <sz val="11"/>
        <color theme="1"/>
        <rFont val="宋体"/>
        <family val="2"/>
        <charset val="134"/>
        <scheme val="minor"/>
      </rPr>
      <t/>
    </r>
  </si>
  <si>
    <r>
      <t>1单元1412</t>
    </r>
    <r>
      <rPr>
        <sz val="11"/>
        <color theme="1"/>
        <rFont val="宋体"/>
        <family val="2"/>
        <charset val="134"/>
        <scheme val="minor"/>
      </rPr>
      <t/>
    </r>
  </si>
  <si>
    <r>
      <t>1单元1413</t>
    </r>
    <r>
      <rPr>
        <sz val="11"/>
        <color theme="1"/>
        <rFont val="宋体"/>
        <family val="2"/>
        <charset val="134"/>
        <scheme val="minor"/>
      </rPr>
      <t/>
    </r>
  </si>
  <si>
    <r>
      <t>1单元1414</t>
    </r>
    <r>
      <rPr>
        <sz val="11"/>
        <color theme="1"/>
        <rFont val="宋体"/>
        <family val="2"/>
        <charset val="134"/>
        <scheme val="minor"/>
      </rPr>
      <t/>
    </r>
  </si>
  <si>
    <r>
      <t>1单元1415</t>
    </r>
    <r>
      <rPr>
        <sz val="11"/>
        <color theme="1"/>
        <rFont val="宋体"/>
        <family val="2"/>
        <charset val="134"/>
        <scheme val="minor"/>
      </rPr>
      <t/>
    </r>
  </si>
  <si>
    <r>
      <t>1单元1416</t>
    </r>
    <r>
      <rPr>
        <sz val="11"/>
        <color theme="1"/>
        <rFont val="宋体"/>
        <family val="2"/>
        <charset val="134"/>
        <scheme val="minor"/>
      </rPr>
      <t/>
    </r>
  </si>
  <si>
    <r>
      <t>1单元1417</t>
    </r>
    <r>
      <rPr>
        <sz val="11"/>
        <color theme="1"/>
        <rFont val="宋体"/>
        <family val="2"/>
        <charset val="134"/>
        <scheme val="minor"/>
      </rPr>
      <t/>
    </r>
  </si>
  <si>
    <r>
      <t>1单元1418</t>
    </r>
    <r>
      <rPr>
        <sz val="11"/>
        <color theme="1"/>
        <rFont val="宋体"/>
        <family val="2"/>
        <charset val="134"/>
        <scheme val="minor"/>
      </rPr>
      <t/>
    </r>
  </si>
  <si>
    <r>
      <t>1单元1419</t>
    </r>
    <r>
      <rPr>
        <sz val="11"/>
        <color theme="1"/>
        <rFont val="宋体"/>
        <family val="2"/>
        <charset val="134"/>
        <scheme val="minor"/>
      </rPr>
      <t/>
    </r>
  </si>
  <si>
    <r>
      <t>1单元1420</t>
    </r>
    <r>
      <rPr>
        <sz val="11"/>
        <color theme="1"/>
        <rFont val="宋体"/>
        <family val="2"/>
        <charset val="134"/>
        <scheme val="minor"/>
      </rPr>
      <t/>
    </r>
  </si>
  <si>
    <r>
      <t>1单元1421</t>
    </r>
    <r>
      <rPr>
        <sz val="11"/>
        <color theme="1"/>
        <rFont val="宋体"/>
        <family val="2"/>
        <charset val="134"/>
        <scheme val="minor"/>
      </rPr>
      <t/>
    </r>
  </si>
  <si>
    <r>
      <t>1单元1422</t>
    </r>
    <r>
      <rPr>
        <sz val="11"/>
        <color theme="1"/>
        <rFont val="宋体"/>
        <family val="2"/>
        <charset val="134"/>
        <scheme val="minor"/>
      </rPr>
      <t/>
    </r>
  </si>
  <si>
    <t>1单元1501</t>
    <phoneticPr fontId="144" type="noConversion"/>
  </si>
  <si>
    <r>
      <t>1单元1502</t>
    </r>
    <r>
      <rPr>
        <sz val="11"/>
        <color theme="1"/>
        <rFont val="宋体"/>
        <family val="2"/>
        <charset val="134"/>
        <scheme val="minor"/>
      </rPr>
      <t/>
    </r>
  </si>
  <si>
    <r>
      <t>1单元1503</t>
    </r>
    <r>
      <rPr>
        <sz val="11"/>
        <color theme="1"/>
        <rFont val="宋体"/>
        <family val="2"/>
        <charset val="134"/>
        <scheme val="minor"/>
      </rPr>
      <t/>
    </r>
  </si>
  <si>
    <r>
      <t>1单元1504</t>
    </r>
    <r>
      <rPr>
        <sz val="11"/>
        <color theme="1"/>
        <rFont val="宋体"/>
        <family val="2"/>
        <charset val="134"/>
        <scheme val="minor"/>
      </rPr>
      <t/>
    </r>
  </si>
  <si>
    <r>
      <t>1单元1505</t>
    </r>
    <r>
      <rPr>
        <sz val="11"/>
        <color theme="1"/>
        <rFont val="宋体"/>
        <family val="2"/>
        <charset val="134"/>
        <scheme val="minor"/>
      </rPr>
      <t/>
    </r>
  </si>
  <si>
    <r>
      <t>1单元1506</t>
    </r>
    <r>
      <rPr>
        <sz val="11"/>
        <color theme="1"/>
        <rFont val="宋体"/>
        <family val="2"/>
        <charset val="134"/>
        <scheme val="minor"/>
      </rPr>
      <t/>
    </r>
  </si>
  <si>
    <r>
      <t>1单元1507</t>
    </r>
    <r>
      <rPr>
        <sz val="11"/>
        <color theme="1"/>
        <rFont val="宋体"/>
        <family val="2"/>
        <charset val="134"/>
        <scheme val="minor"/>
      </rPr>
      <t/>
    </r>
  </si>
  <si>
    <r>
      <t>1单元1508</t>
    </r>
    <r>
      <rPr>
        <sz val="11"/>
        <color theme="1"/>
        <rFont val="宋体"/>
        <family val="2"/>
        <charset val="134"/>
        <scheme val="minor"/>
      </rPr>
      <t/>
    </r>
  </si>
  <si>
    <r>
      <t>1单元1509</t>
    </r>
    <r>
      <rPr>
        <sz val="11"/>
        <color theme="1"/>
        <rFont val="宋体"/>
        <family val="2"/>
        <charset val="134"/>
        <scheme val="minor"/>
      </rPr>
      <t/>
    </r>
  </si>
  <si>
    <r>
      <t>1单元1510</t>
    </r>
    <r>
      <rPr>
        <sz val="11"/>
        <color theme="1"/>
        <rFont val="宋体"/>
        <family val="2"/>
        <charset val="134"/>
        <scheme val="minor"/>
      </rPr>
      <t/>
    </r>
  </si>
  <si>
    <r>
      <t>1单元1511</t>
    </r>
    <r>
      <rPr>
        <sz val="11"/>
        <color theme="1"/>
        <rFont val="宋体"/>
        <family val="2"/>
        <charset val="134"/>
        <scheme val="minor"/>
      </rPr>
      <t/>
    </r>
  </si>
  <si>
    <r>
      <t>1单元1512</t>
    </r>
    <r>
      <rPr>
        <sz val="11"/>
        <color theme="1"/>
        <rFont val="宋体"/>
        <family val="2"/>
        <charset val="134"/>
        <scheme val="minor"/>
      </rPr>
      <t/>
    </r>
  </si>
  <si>
    <r>
      <t>1单元1513</t>
    </r>
    <r>
      <rPr>
        <sz val="11"/>
        <color theme="1"/>
        <rFont val="宋体"/>
        <family val="2"/>
        <charset val="134"/>
        <scheme val="minor"/>
      </rPr>
      <t/>
    </r>
  </si>
  <si>
    <r>
      <t>1单元1514</t>
    </r>
    <r>
      <rPr>
        <sz val="11"/>
        <color theme="1"/>
        <rFont val="宋体"/>
        <family val="2"/>
        <charset val="134"/>
        <scheme val="minor"/>
      </rPr>
      <t/>
    </r>
  </si>
  <si>
    <r>
      <t>1单元1515</t>
    </r>
    <r>
      <rPr>
        <sz val="11"/>
        <color theme="1"/>
        <rFont val="宋体"/>
        <family val="2"/>
        <charset val="134"/>
        <scheme val="minor"/>
      </rPr>
      <t/>
    </r>
  </si>
  <si>
    <r>
      <t>1单元1516</t>
    </r>
    <r>
      <rPr>
        <sz val="11"/>
        <color theme="1"/>
        <rFont val="宋体"/>
        <family val="2"/>
        <charset val="134"/>
        <scheme val="minor"/>
      </rPr>
      <t/>
    </r>
  </si>
  <si>
    <r>
      <t>1单元1517</t>
    </r>
    <r>
      <rPr>
        <sz val="11"/>
        <color theme="1"/>
        <rFont val="宋体"/>
        <family val="2"/>
        <charset val="134"/>
        <scheme val="minor"/>
      </rPr>
      <t/>
    </r>
  </si>
  <si>
    <r>
      <t>1单元1518</t>
    </r>
    <r>
      <rPr>
        <sz val="11"/>
        <color theme="1"/>
        <rFont val="宋体"/>
        <family val="2"/>
        <charset val="134"/>
        <scheme val="minor"/>
      </rPr>
      <t/>
    </r>
  </si>
  <si>
    <r>
      <t>1单元1519</t>
    </r>
    <r>
      <rPr>
        <sz val="11"/>
        <color theme="1"/>
        <rFont val="宋体"/>
        <family val="2"/>
        <charset val="134"/>
        <scheme val="minor"/>
      </rPr>
      <t/>
    </r>
  </si>
  <si>
    <r>
      <t>1单元1520</t>
    </r>
    <r>
      <rPr>
        <sz val="11"/>
        <color theme="1"/>
        <rFont val="宋体"/>
        <family val="2"/>
        <charset val="134"/>
        <scheme val="minor"/>
      </rPr>
      <t/>
    </r>
  </si>
  <si>
    <r>
      <t>1单元1521</t>
    </r>
    <r>
      <rPr>
        <sz val="11"/>
        <color theme="1"/>
        <rFont val="宋体"/>
        <family val="2"/>
        <charset val="134"/>
        <scheme val="minor"/>
      </rPr>
      <t/>
    </r>
  </si>
  <si>
    <r>
      <t>1单元1522</t>
    </r>
    <r>
      <rPr>
        <sz val="11"/>
        <color theme="1"/>
        <rFont val="宋体"/>
        <family val="2"/>
        <charset val="134"/>
        <scheme val="minor"/>
      </rPr>
      <t/>
    </r>
  </si>
  <si>
    <t>1单元1601</t>
    <phoneticPr fontId="144" type="noConversion"/>
  </si>
  <si>
    <r>
      <t>1单元1602</t>
    </r>
    <r>
      <rPr>
        <sz val="11"/>
        <color theme="1"/>
        <rFont val="宋体"/>
        <family val="2"/>
        <charset val="134"/>
        <scheme val="minor"/>
      </rPr>
      <t/>
    </r>
  </si>
  <si>
    <r>
      <t>1单元1603</t>
    </r>
    <r>
      <rPr>
        <sz val="11"/>
        <color theme="1"/>
        <rFont val="宋体"/>
        <family val="2"/>
        <charset val="134"/>
        <scheme val="minor"/>
      </rPr>
      <t/>
    </r>
  </si>
  <si>
    <r>
      <t>1单元1604</t>
    </r>
    <r>
      <rPr>
        <sz val="11"/>
        <color theme="1"/>
        <rFont val="宋体"/>
        <family val="2"/>
        <charset val="134"/>
        <scheme val="minor"/>
      </rPr>
      <t/>
    </r>
  </si>
  <si>
    <r>
      <t>1单元1605</t>
    </r>
    <r>
      <rPr>
        <sz val="11"/>
        <color theme="1"/>
        <rFont val="宋体"/>
        <family val="2"/>
        <charset val="134"/>
        <scheme val="minor"/>
      </rPr>
      <t/>
    </r>
  </si>
  <si>
    <r>
      <t>1单元1606</t>
    </r>
    <r>
      <rPr>
        <sz val="11"/>
        <color theme="1"/>
        <rFont val="宋体"/>
        <family val="2"/>
        <charset val="134"/>
        <scheme val="minor"/>
      </rPr>
      <t/>
    </r>
  </si>
  <si>
    <r>
      <t>1单元1607</t>
    </r>
    <r>
      <rPr>
        <sz val="11"/>
        <color theme="1"/>
        <rFont val="宋体"/>
        <family val="2"/>
        <charset val="134"/>
        <scheme val="minor"/>
      </rPr>
      <t/>
    </r>
  </si>
  <si>
    <r>
      <t>1单元1608</t>
    </r>
    <r>
      <rPr>
        <sz val="11"/>
        <color theme="1"/>
        <rFont val="宋体"/>
        <family val="2"/>
        <charset val="134"/>
        <scheme val="minor"/>
      </rPr>
      <t/>
    </r>
  </si>
  <si>
    <r>
      <t>1单元1609</t>
    </r>
    <r>
      <rPr>
        <sz val="11"/>
        <color theme="1"/>
        <rFont val="宋体"/>
        <family val="2"/>
        <charset val="134"/>
        <scheme val="minor"/>
      </rPr>
      <t/>
    </r>
  </si>
  <si>
    <r>
      <t>1单元1610</t>
    </r>
    <r>
      <rPr>
        <sz val="11"/>
        <color theme="1"/>
        <rFont val="宋体"/>
        <family val="2"/>
        <charset val="134"/>
        <scheme val="minor"/>
      </rPr>
      <t/>
    </r>
  </si>
  <si>
    <r>
      <t>1单元1611</t>
    </r>
    <r>
      <rPr>
        <sz val="11"/>
        <color theme="1"/>
        <rFont val="宋体"/>
        <family val="2"/>
        <charset val="134"/>
        <scheme val="minor"/>
      </rPr>
      <t/>
    </r>
  </si>
  <si>
    <r>
      <t>1单元1612</t>
    </r>
    <r>
      <rPr>
        <sz val="11"/>
        <color theme="1"/>
        <rFont val="宋体"/>
        <family val="2"/>
        <charset val="134"/>
        <scheme val="minor"/>
      </rPr>
      <t/>
    </r>
  </si>
  <si>
    <r>
      <t>1单元1613</t>
    </r>
    <r>
      <rPr>
        <sz val="11"/>
        <color theme="1"/>
        <rFont val="宋体"/>
        <family val="2"/>
        <charset val="134"/>
        <scheme val="minor"/>
      </rPr>
      <t/>
    </r>
  </si>
  <si>
    <r>
      <t>1单元1614</t>
    </r>
    <r>
      <rPr>
        <sz val="11"/>
        <color theme="1"/>
        <rFont val="宋体"/>
        <family val="2"/>
        <charset val="134"/>
        <scheme val="minor"/>
      </rPr>
      <t/>
    </r>
  </si>
  <si>
    <r>
      <t>1单元1615</t>
    </r>
    <r>
      <rPr>
        <sz val="11"/>
        <color theme="1"/>
        <rFont val="宋体"/>
        <family val="2"/>
        <charset val="134"/>
        <scheme val="minor"/>
      </rPr>
      <t/>
    </r>
  </si>
  <si>
    <r>
      <t>1单元1616</t>
    </r>
    <r>
      <rPr>
        <sz val="11"/>
        <color theme="1"/>
        <rFont val="宋体"/>
        <family val="2"/>
        <charset val="134"/>
        <scheme val="minor"/>
      </rPr>
      <t/>
    </r>
  </si>
  <si>
    <r>
      <t>1单元1617</t>
    </r>
    <r>
      <rPr>
        <sz val="11"/>
        <color theme="1"/>
        <rFont val="宋体"/>
        <family val="2"/>
        <charset val="134"/>
        <scheme val="minor"/>
      </rPr>
      <t/>
    </r>
  </si>
  <si>
    <r>
      <t>1单元1618</t>
    </r>
    <r>
      <rPr>
        <sz val="11"/>
        <color theme="1"/>
        <rFont val="宋体"/>
        <family val="2"/>
        <charset val="134"/>
        <scheme val="minor"/>
      </rPr>
      <t/>
    </r>
  </si>
  <si>
    <r>
      <t>1单元1619</t>
    </r>
    <r>
      <rPr>
        <sz val="11"/>
        <color theme="1"/>
        <rFont val="宋体"/>
        <family val="2"/>
        <charset val="134"/>
        <scheme val="minor"/>
      </rPr>
      <t/>
    </r>
  </si>
  <si>
    <r>
      <t>1单元1620</t>
    </r>
    <r>
      <rPr>
        <sz val="11"/>
        <color theme="1"/>
        <rFont val="宋体"/>
        <family val="2"/>
        <charset val="134"/>
        <scheme val="minor"/>
      </rPr>
      <t/>
    </r>
  </si>
  <si>
    <r>
      <t>1单元1621</t>
    </r>
    <r>
      <rPr>
        <sz val="11"/>
        <color theme="1"/>
        <rFont val="宋体"/>
        <family val="2"/>
        <charset val="134"/>
        <scheme val="minor"/>
      </rPr>
      <t/>
    </r>
  </si>
  <si>
    <r>
      <t>1单元1622</t>
    </r>
    <r>
      <rPr>
        <sz val="11"/>
        <color theme="1"/>
        <rFont val="宋体"/>
        <family val="2"/>
        <charset val="134"/>
        <scheme val="minor"/>
      </rPr>
      <t/>
    </r>
  </si>
  <si>
    <t>1单元1701</t>
    <phoneticPr fontId="144" type="noConversion"/>
  </si>
  <si>
    <r>
      <t>1单元1702</t>
    </r>
    <r>
      <rPr>
        <sz val="11"/>
        <color theme="1"/>
        <rFont val="宋体"/>
        <family val="2"/>
        <charset val="134"/>
        <scheme val="minor"/>
      </rPr>
      <t/>
    </r>
  </si>
  <si>
    <r>
      <t>1单元1703</t>
    </r>
    <r>
      <rPr>
        <sz val="11"/>
        <color theme="1"/>
        <rFont val="宋体"/>
        <family val="2"/>
        <charset val="134"/>
        <scheme val="minor"/>
      </rPr>
      <t/>
    </r>
  </si>
  <si>
    <r>
      <t>1单元1704</t>
    </r>
    <r>
      <rPr>
        <sz val="11"/>
        <color theme="1"/>
        <rFont val="宋体"/>
        <family val="2"/>
        <charset val="134"/>
        <scheme val="minor"/>
      </rPr>
      <t/>
    </r>
  </si>
  <si>
    <r>
      <t>1单元1705</t>
    </r>
    <r>
      <rPr>
        <sz val="11"/>
        <color theme="1"/>
        <rFont val="宋体"/>
        <family val="2"/>
        <charset val="134"/>
        <scheme val="minor"/>
      </rPr>
      <t/>
    </r>
  </si>
  <si>
    <r>
      <t>1单元1706</t>
    </r>
    <r>
      <rPr>
        <sz val="11"/>
        <color theme="1"/>
        <rFont val="宋体"/>
        <family val="2"/>
        <charset val="134"/>
        <scheme val="minor"/>
      </rPr>
      <t/>
    </r>
  </si>
  <si>
    <r>
      <t>1单元1707</t>
    </r>
    <r>
      <rPr>
        <sz val="11"/>
        <color theme="1"/>
        <rFont val="宋体"/>
        <family val="2"/>
        <charset val="134"/>
        <scheme val="minor"/>
      </rPr>
      <t/>
    </r>
  </si>
  <si>
    <r>
      <t>1单元1708</t>
    </r>
    <r>
      <rPr>
        <sz val="11"/>
        <color theme="1"/>
        <rFont val="宋体"/>
        <family val="2"/>
        <charset val="134"/>
        <scheme val="minor"/>
      </rPr>
      <t/>
    </r>
  </si>
  <si>
    <r>
      <t>1单元1709</t>
    </r>
    <r>
      <rPr>
        <sz val="11"/>
        <color theme="1"/>
        <rFont val="宋体"/>
        <family val="2"/>
        <charset val="134"/>
        <scheme val="minor"/>
      </rPr>
      <t/>
    </r>
  </si>
  <si>
    <r>
      <t>1单元1710</t>
    </r>
    <r>
      <rPr>
        <sz val="11"/>
        <color theme="1"/>
        <rFont val="宋体"/>
        <family val="2"/>
        <charset val="134"/>
        <scheme val="minor"/>
      </rPr>
      <t/>
    </r>
  </si>
  <si>
    <r>
      <t>1单元1711</t>
    </r>
    <r>
      <rPr>
        <sz val="11"/>
        <color theme="1"/>
        <rFont val="宋体"/>
        <family val="2"/>
        <charset val="134"/>
        <scheme val="minor"/>
      </rPr>
      <t/>
    </r>
  </si>
  <si>
    <r>
      <t>1单元1712</t>
    </r>
    <r>
      <rPr>
        <sz val="11"/>
        <color theme="1"/>
        <rFont val="宋体"/>
        <family val="2"/>
        <charset val="134"/>
        <scheme val="minor"/>
      </rPr>
      <t/>
    </r>
  </si>
  <si>
    <r>
      <t>1单元1713</t>
    </r>
    <r>
      <rPr>
        <sz val="11"/>
        <color theme="1"/>
        <rFont val="宋体"/>
        <family val="2"/>
        <charset val="134"/>
        <scheme val="minor"/>
      </rPr>
      <t/>
    </r>
  </si>
  <si>
    <r>
      <t>1单元1714</t>
    </r>
    <r>
      <rPr>
        <sz val="11"/>
        <color theme="1"/>
        <rFont val="宋体"/>
        <family val="2"/>
        <charset val="134"/>
        <scheme val="minor"/>
      </rPr>
      <t/>
    </r>
  </si>
  <si>
    <r>
      <t>1单元1715</t>
    </r>
    <r>
      <rPr>
        <sz val="11"/>
        <color theme="1"/>
        <rFont val="宋体"/>
        <family val="2"/>
        <charset val="134"/>
        <scheme val="minor"/>
      </rPr>
      <t/>
    </r>
  </si>
  <si>
    <r>
      <t>1单元1716</t>
    </r>
    <r>
      <rPr>
        <sz val="11"/>
        <color theme="1"/>
        <rFont val="宋体"/>
        <family val="2"/>
        <charset val="134"/>
        <scheme val="minor"/>
      </rPr>
      <t/>
    </r>
  </si>
  <si>
    <r>
      <t>1单元1717</t>
    </r>
    <r>
      <rPr>
        <sz val="11"/>
        <color theme="1"/>
        <rFont val="宋体"/>
        <family val="2"/>
        <charset val="134"/>
        <scheme val="minor"/>
      </rPr>
      <t/>
    </r>
  </si>
  <si>
    <r>
      <t>1单元1718</t>
    </r>
    <r>
      <rPr>
        <sz val="11"/>
        <color theme="1"/>
        <rFont val="宋体"/>
        <family val="2"/>
        <charset val="134"/>
        <scheme val="minor"/>
      </rPr>
      <t/>
    </r>
  </si>
  <si>
    <r>
      <t>1单元1719</t>
    </r>
    <r>
      <rPr>
        <sz val="11"/>
        <color theme="1"/>
        <rFont val="宋体"/>
        <family val="2"/>
        <charset val="134"/>
        <scheme val="minor"/>
      </rPr>
      <t/>
    </r>
  </si>
  <si>
    <r>
      <t>1单元1720</t>
    </r>
    <r>
      <rPr>
        <sz val="11"/>
        <color theme="1"/>
        <rFont val="宋体"/>
        <family val="2"/>
        <charset val="134"/>
        <scheme val="minor"/>
      </rPr>
      <t/>
    </r>
  </si>
  <si>
    <r>
      <t>1单元1721</t>
    </r>
    <r>
      <rPr>
        <sz val="11"/>
        <color theme="1"/>
        <rFont val="宋体"/>
        <family val="2"/>
        <charset val="134"/>
        <scheme val="minor"/>
      </rPr>
      <t/>
    </r>
  </si>
  <si>
    <r>
      <t>1单元1722</t>
    </r>
    <r>
      <rPr>
        <sz val="11"/>
        <color theme="1"/>
        <rFont val="宋体"/>
        <family val="2"/>
        <charset val="134"/>
        <scheme val="minor"/>
      </rPr>
      <t/>
    </r>
  </si>
  <si>
    <t>1单元1801</t>
    <phoneticPr fontId="144" type="noConversion"/>
  </si>
  <si>
    <r>
      <t>1单元1802</t>
    </r>
    <r>
      <rPr>
        <sz val="11"/>
        <color theme="1"/>
        <rFont val="宋体"/>
        <family val="2"/>
        <charset val="134"/>
        <scheme val="minor"/>
      </rPr>
      <t/>
    </r>
  </si>
  <si>
    <r>
      <t>1单元1803</t>
    </r>
    <r>
      <rPr>
        <sz val="11"/>
        <color theme="1"/>
        <rFont val="宋体"/>
        <family val="2"/>
        <charset val="134"/>
        <scheme val="minor"/>
      </rPr>
      <t/>
    </r>
  </si>
  <si>
    <r>
      <t>1单元1804</t>
    </r>
    <r>
      <rPr>
        <sz val="11"/>
        <color theme="1"/>
        <rFont val="宋体"/>
        <family val="2"/>
        <charset val="134"/>
        <scheme val="minor"/>
      </rPr>
      <t/>
    </r>
  </si>
  <si>
    <r>
      <t>1单元1805</t>
    </r>
    <r>
      <rPr>
        <sz val="11"/>
        <color theme="1"/>
        <rFont val="宋体"/>
        <family val="2"/>
        <charset val="134"/>
        <scheme val="minor"/>
      </rPr>
      <t/>
    </r>
  </si>
  <si>
    <r>
      <t>1单元1806</t>
    </r>
    <r>
      <rPr>
        <sz val="11"/>
        <color theme="1"/>
        <rFont val="宋体"/>
        <family val="2"/>
        <charset val="134"/>
        <scheme val="minor"/>
      </rPr>
      <t/>
    </r>
  </si>
  <si>
    <r>
      <t>1单元1807</t>
    </r>
    <r>
      <rPr>
        <sz val="11"/>
        <color theme="1"/>
        <rFont val="宋体"/>
        <family val="2"/>
        <charset val="134"/>
        <scheme val="minor"/>
      </rPr>
      <t/>
    </r>
  </si>
  <si>
    <r>
      <t>1单元1808</t>
    </r>
    <r>
      <rPr>
        <sz val="11"/>
        <color theme="1"/>
        <rFont val="宋体"/>
        <family val="2"/>
        <charset val="134"/>
        <scheme val="minor"/>
      </rPr>
      <t/>
    </r>
  </si>
  <si>
    <r>
      <t>1单元1809</t>
    </r>
    <r>
      <rPr>
        <sz val="11"/>
        <color theme="1"/>
        <rFont val="宋体"/>
        <family val="2"/>
        <charset val="134"/>
        <scheme val="minor"/>
      </rPr>
      <t/>
    </r>
  </si>
  <si>
    <r>
      <t>1单元1810</t>
    </r>
    <r>
      <rPr>
        <sz val="11"/>
        <color theme="1"/>
        <rFont val="宋体"/>
        <family val="2"/>
        <charset val="134"/>
        <scheme val="minor"/>
      </rPr>
      <t/>
    </r>
  </si>
  <si>
    <r>
      <t>1单元1811</t>
    </r>
    <r>
      <rPr>
        <sz val="11"/>
        <color theme="1"/>
        <rFont val="宋体"/>
        <family val="2"/>
        <charset val="134"/>
        <scheme val="minor"/>
      </rPr>
      <t/>
    </r>
  </si>
  <si>
    <r>
      <t>1单元1812</t>
    </r>
    <r>
      <rPr>
        <sz val="11"/>
        <color theme="1"/>
        <rFont val="宋体"/>
        <family val="2"/>
        <charset val="134"/>
        <scheme val="minor"/>
      </rPr>
      <t/>
    </r>
  </si>
  <si>
    <r>
      <t>1单元1813</t>
    </r>
    <r>
      <rPr>
        <sz val="11"/>
        <color theme="1"/>
        <rFont val="宋体"/>
        <family val="2"/>
        <charset val="134"/>
        <scheme val="minor"/>
      </rPr>
      <t/>
    </r>
  </si>
  <si>
    <r>
      <t>1单元1814</t>
    </r>
    <r>
      <rPr>
        <sz val="11"/>
        <color theme="1"/>
        <rFont val="宋体"/>
        <family val="2"/>
        <charset val="134"/>
        <scheme val="minor"/>
      </rPr>
      <t/>
    </r>
  </si>
  <si>
    <r>
      <t>1单元1815</t>
    </r>
    <r>
      <rPr>
        <sz val="11"/>
        <color theme="1"/>
        <rFont val="宋体"/>
        <family val="2"/>
        <charset val="134"/>
        <scheme val="minor"/>
      </rPr>
      <t/>
    </r>
  </si>
  <si>
    <r>
      <t>1单元1816</t>
    </r>
    <r>
      <rPr>
        <sz val="11"/>
        <color theme="1"/>
        <rFont val="宋体"/>
        <family val="2"/>
        <charset val="134"/>
        <scheme val="minor"/>
      </rPr>
      <t/>
    </r>
  </si>
  <si>
    <r>
      <t>1单元1817</t>
    </r>
    <r>
      <rPr>
        <sz val="11"/>
        <color theme="1"/>
        <rFont val="宋体"/>
        <family val="2"/>
        <charset val="134"/>
        <scheme val="minor"/>
      </rPr>
      <t/>
    </r>
  </si>
  <si>
    <r>
      <t>1单元1818</t>
    </r>
    <r>
      <rPr>
        <sz val="11"/>
        <color theme="1"/>
        <rFont val="宋体"/>
        <family val="2"/>
        <charset val="134"/>
        <scheme val="minor"/>
      </rPr>
      <t/>
    </r>
  </si>
  <si>
    <r>
      <t>1单元1819</t>
    </r>
    <r>
      <rPr>
        <sz val="11"/>
        <color theme="1"/>
        <rFont val="宋体"/>
        <family val="2"/>
        <charset val="134"/>
        <scheme val="minor"/>
      </rPr>
      <t/>
    </r>
  </si>
  <si>
    <r>
      <t>1单元1820</t>
    </r>
    <r>
      <rPr>
        <sz val="11"/>
        <color theme="1"/>
        <rFont val="宋体"/>
        <family val="2"/>
        <charset val="134"/>
        <scheme val="minor"/>
      </rPr>
      <t/>
    </r>
  </si>
  <si>
    <r>
      <t>1单元1821</t>
    </r>
    <r>
      <rPr>
        <sz val="11"/>
        <color theme="1"/>
        <rFont val="宋体"/>
        <family val="2"/>
        <charset val="134"/>
        <scheme val="minor"/>
      </rPr>
      <t/>
    </r>
  </si>
  <si>
    <r>
      <t>1单元1822</t>
    </r>
    <r>
      <rPr>
        <sz val="11"/>
        <color theme="1"/>
        <rFont val="宋体"/>
        <family val="2"/>
        <charset val="134"/>
        <scheme val="minor"/>
      </rPr>
      <t/>
    </r>
  </si>
  <si>
    <t>商业面积合计</t>
    <phoneticPr fontId="144" type="noConversion"/>
  </si>
  <si>
    <t>办公面积合计</t>
    <phoneticPr fontId="144" type="noConversion"/>
  </si>
  <si>
    <t>面积总计</t>
    <phoneticPr fontId="144" type="noConversion"/>
  </si>
  <si>
    <t>京（2016）通州区不动产权第0058273</t>
    <phoneticPr fontId="144" type="noConversion"/>
  </si>
  <si>
    <t>抵押</t>
  </si>
  <si>
    <t>房地产抵押价值</t>
  </si>
  <si>
    <t>绿地中央广场</t>
    <phoneticPr fontId="4" type="noConversion"/>
  </si>
  <si>
    <t>商业101</t>
  </si>
  <si>
    <t>商业101</t>
    <phoneticPr fontId="8" type="noConversion"/>
  </si>
  <si>
    <t>办公401</t>
    <phoneticPr fontId="8" type="noConversion"/>
  </si>
  <si>
    <t>比较法-商业</t>
  </si>
  <si>
    <t>办公401</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</si>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</sst>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192" fontId="127" fillId="0" borderId="1" xfId="5" applyNumberFormat="1" applyFont="1" applyFill="1" applyBorder="1" applyAlignment="1">
      <alignment horizontal="righ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2" fontId="51" fillId="6" borderId="0" xfId="0" applyNumberFormat="1" applyFont="1" applyFill="1" applyAlignment="1" applyProtection="1">
      <alignment vertical="center"/>
      <protection locked="0"/>
    </xf>
    <xf numFmtId="2" fontId="57" fillId="0" borderId="1" xfId="0" applyNumberFormat="1" applyFont="1" applyBorder="1" applyAlignment="1" applyProtection="1">
      <alignment vertical="center" wrapText="1"/>
      <protection locked="0"/>
    </xf>
    <xf numFmtId="0" fontId="106" fillId="6" borderId="7" xfId="0" applyFont="1" applyFill="1" applyBorder="1" applyAlignment="1" applyProtection="1">
      <alignment horizontal="center" vertical="center" wrapText="1"/>
      <protection locked="0"/>
    </xf>
    <xf numFmtId="2" fontId="106" fillId="6" borderId="7"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0" fontId="48" fillId="6" borderId="30" xfId="0" applyNumberFormat="1" applyFont="1" applyFill="1" applyBorder="1" applyAlignment="1" applyProtection="1">
      <alignment horizontal="center" vertical="center" wrapText="1"/>
      <protection locked="0"/>
    </xf>
    <xf numFmtId="49" fontId="48" fillId="6" borderId="30"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0" fillId="0" borderId="0" xfId="0" applyAlignment="1">
      <alignment horizontal="center" vertical="center"/>
    </xf>
    <xf numFmtId="0" fontId="100" fillId="5" borderId="0" xfId="0" applyFont="1" applyFill="1" applyAlignment="1">
      <alignment horizontal="center" vertical="center"/>
    </xf>
    <xf numFmtId="0" fontId="0" fillId="5" borderId="0" xfId="0" applyFill="1" applyAlignment="1">
      <alignment horizontal="center" vertical="center"/>
    </xf>
    <xf numFmtId="0" fontId="0" fillId="0" borderId="0" xfId="0" applyFill="1" applyAlignment="1">
      <alignment horizontal="center" vertical="center"/>
    </xf>
    <xf numFmtId="0" fontId="0" fillId="5" borderId="0" xfId="0" applyFill="1">
      <alignment vertical="center"/>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72" fillId="6" borderId="13" xfId="12"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255" fillId="0" borderId="1" xfId="0" applyFont="1" applyBorder="1">
      <alignment vertical="center"/>
    </xf>
    <xf numFmtId="0" fontId="255" fillId="0" borderId="1" xfId="0" applyFont="1" applyBorder="1" applyAlignment="1">
      <alignment horizontal="center" vertical="center"/>
    </xf>
    <xf numFmtId="0" fontId="255" fillId="0" borderId="1" xfId="0" applyFont="1" applyFill="1" applyBorder="1" applyAlignment="1">
      <alignment horizontal="center" vertical="center"/>
    </xf>
    <xf numFmtId="0" fontId="255" fillId="5" borderId="1" xfId="0" applyFont="1" applyFill="1" applyBorder="1" applyAlignment="1">
      <alignment horizontal="center" vertical="center"/>
    </xf>
    <xf numFmtId="0" fontId="255" fillId="9" borderId="1" xfId="0" applyFont="1" applyFill="1" applyBorder="1" applyAlignment="1">
      <alignment horizontal="center" vertical="center"/>
    </xf>
    <xf numFmtId="0" fontId="106" fillId="9" borderId="1" xfId="0" applyFont="1" applyFill="1" applyBorder="1" applyAlignment="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62" fillId="9" borderId="11" xfId="0" applyNumberFormat="1" applyFont="1" applyFill="1" applyBorder="1" applyAlignment="1" applyProtection="1">
      <alignment horizontal="center" vertical="center" wrapText="1"/>
      <protection locked="0"/>
    </xf>
    <xf numFmtId="0" fontId="55" fillId="9" borderId="7" xfId="0" applyNumberFormat="1" applyFont="1" applyFill="1" applyBorder="1" applyAlignment="1" applyProtection="1">
      <alignment horizontal="center" vertical="center" wrapText="1"/>
      <protection locked="0"/>
    </xf>
    <xf numFmtId="181" fontId="56" fillId="9" borderId="61" xfId="0" applyNumberFormat="1" applyFont="1" applyFill="1" applyBorder="1" applyAlignment="1" applyProtection="1">
      <alignment horizontal="center" vertical="center"/>
      <protection locked="0"/>
    </xf>
    <xf numFmtId="0" fontId="48" fillId="9" borderId="1" xfId="0" applyNumberFormat="1" applyFont="1" applyFill="1" applyBorder="1" applyAlignment="1" applyProtection="1">
      <alignment horizontal="center" vertical="center" wrapText="1"/>
      <protection locked="0"/>
    </xf>
    <xf numFmtId="0" fontId="48" fillId="9" borderId="78" xfId="0" applyNumberFormat="1" applyFont="1" applyFill="1" applyBorder="1" applyAlignment="1" applyProtection="1">
      <alignment horizontal="center" vertical="center" wrapText="1"/>
      <protection locked="0"/>
    </xf>
    <xf numFmtId="0" fontId="55" fillId="9" borderId="78" xfId="0" applyNumberFormat="1" applyFont="1" applyFill="1" applyBorder="1" applyAlignment="1" applyProtection="1">
      <alignment horizontal="center" vertical="center" wrapText="1"/>
      <protection locked="0"/>
    </xf>
    <xf numFmtId="0" fontId="66" fillId="9" borderId="88" xfId="0" applyFont="1" applyFill="1" applyBorder="1" applyAlignment="1" applyProtection="1">
      <alignment vertical="center"/>
      <protection locked="0"/>
    </xf>
    <xf numFmtId="49" fontId="145" fillId="9" borderId="27" xfId="0" applyNumberFormat="1" applyFont="1" applyFill="1" applyBorder="1" applyAlignment="1" applyProtection="1">
      <alignment horizontal="right"/>
      <protection locked="0"/>
    </xf>
    <xf numFmtId="0" fontId="64" fillId="9" borderId="1"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48" fillId="9" borderId="5" xfId="0" applyFont="1" applyFill="1" applyBorder="1" applyAlignment="1" applyProtection="1">
      <alignment horizontal="center" vertical="center" wrapText="1"/>
    </xf>
    <xf numFmtId="49" fontId="61" fillId="9" borderId="27" xfId="0" applyNumberFormat="1" applyFont="1" applyFill="1" applyBorder="1" applyAlignment="1" applyProtection="1">
      <alignment horizontal="right"/>
      <protection locked="0"/>
    </xf>
    <xf numFmtId="0" fontId="51" fillId="9" borderId="1" xfId="0" applyFont="1" applyFill="1" applyBorder="1" applyAlignment="1" applyProtection="1">
      <alignment horizontal="left" vertical="center" wrapText="1"/>
      <protection locked="0"/>
    </xf>
    <xf numFmtId="181" fontId="51" fillId="9"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475163</xdr:colOff>
      <xdr:row>27</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04763" cy="4780953"/>
        </a:xfrm>
        <a:prstGeom prst="rect">
          <a:avLst/>
        </a:prstGeom>
      </xdr:spPr>
    </xdr:pic>
    <xdr:clientData/>
  </xdr:twoCellAnchor>
  <xdr:twoCellAnchor editAs="oneCell">
    <xdr:from>
      <xdr:col>0</xdr:col>
      <xdr:colOff>0</xdr:colOff>
      <xdr:row>27</xdr:row>
      <xdr:rowOff>152400</xdr:rowOff>
    </xdr:from>
    <xdr:to>
      <xdr:col>12</xdr:col>
      <xdr:colOff>208496</xdr:colOff>
      <xdr:row>59</xdr:row>
      <xdr:rowOff>27905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81550"/>
          <a:ext cx="8438096" cy="5361905"/>
        </a:xfrm>
        <a:prstGeom prst="rect">
          <a:avLst/>
        </a:prstGeom>
      </xdr:spPr>
    </xdr:pic>
    <xdr:clientData/>
  </xdr:twoCellAnchor>
  <xdr:twoCellAnchor editAs="oneCell">
    <xdr:from>
      <xdr:col>0</xdr:col>
      <xdr:colOff>0</xdr:colOff>
      <xdr:row>58</xdr:row>
      <xdr:rowOff>28575</xdr:rowOff>
    </xdr:from>
    <xdr:to>
      <xdr:col>12</xdr:col>
      <xdr:colOff>332305</xdr:colOff>
      <xdr:row>85</xdr:row>
      <xdr:rowOff>123235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72675"/>
          <a:ext cx="8561905" cy="4723810"/>
        </a:xfrm>
        <a:prstGeom prst="rect">
          <a:avLst/>
        </a:prstGeom>
      </xdr:spPr>
    </xdr:pic>
    <xdr:clientData/>
  </xdr:twoCellAnchor>
  <xdr:twoCellAnchor editAs="oneCell">
    <xdr:from>
      <xdr:col>13</xdr:col>
      <xdr:colOff>0</xdr:colOff>
      <xdr:row>0</xdr:row>
      <xdr:rowOff>0</xdr:rowOff>
    </xdr:from>
    <xdr:to>
      <xdr:col>25</xdr:col>
      <xdr:colOff>341829</xdr:colOff>
      <xdr:row>30</xdr:row>
      <xdr:rowOff>94596</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8571429" cy="5238096"/>
        </a:xfrm>
        <a:prstGeom prst="rect">
          <a:avLst/>
        </a:prstGeom>
      </xdr:spPr>
    </xdr:pic>
    <xdr:clientData/>
  </xdr:twoCellAnchor>
  <xdr:twoCellAnchor editAs="oneCell">
    <xdr:from>
      <xdr:col>13</xdr:col>
      <xdr:colOff>0</xdr:colOff>
      <xdr:row>31</xdr:row>
      <xdr:rowOff>0</xdr:rowOff>
    </xdr:from>
    <xdr:to>
      <xdr:col>25</xdr:col>
      <xdr:colOff>418020</xdr:colOff>
      <xdr:row>58</xdr:row>
      <xdr:rowOff>161327</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5314950"/>
          <a:ext cx="8647620" cy="4790477"/>
        </a:xfrm>
        <a:prstGeom prst="rect">
          <a:avLst/>
        </a:prstGeom>
      </xdr:spPr>
    </xdr:pic>
    <xdr:clientData/>
  </xdr:twoCellAnchor>
  <xdr:twoCellAnchor editAs="oneCell">
    <xdr:from>
      <xdr:col>13</xdr:col>
      <xdr:colOff>0</xdr:colOff>
      <xdr:row>59</xdr:row>
      <xdr:rowOff>0</xdr:rowOff>
    </xdr:from>
    <xdr:to>
      <xdr:col>25</xdr:col>
      <xdr:colOff>294210</xdr:colOff>
      <xdr:row>86</xdr:row>
      <xdr:rowOff>56565</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0115550"/>
          <a:ext cx="8523810"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E46" sqref="E45:E4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北京市通州区临河里1号楼1-3层商业用房、1单元4-18层办公用房房地产抵押价值预评估</v>
      </c>
    </row>
    <row r="3" spans="1:2" s="1591" customFormat="1">
      <c r="A3" s="1589" t="s">
        <v>1221</v>
      </c>
      <c r="B3" s="1590" t="str">
        <f>'预评函-封皮'!B40</f>
        <v>中粮信托有限责任公司</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受贵公司委托，我公司对北京市通州区临河里1号楼1-3层商业用房、1单元4-18层办公用房房地产抵押价值进行了预评估。</v>
      </c>
    </row>
    <row r="7" spans="1:2" s="1591" customFormat="1">
      <c r="A7" s="1589" t="s">
        <v>1264</v>
      </c>
      <c r="B7" s="1590" t="str">
        <f>'预评函-1'!A7</f>
        <v>估价对象为北京市通州区临河里1号楼1-3层商业用房、1单元4-18层办公用房房地产，为所有。根据《国有土地使用证》[]，估价对象（分摊）出让国有建设用地使用权面积为12092.92平方米，建筑面积为42325.21平方米。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临河里1号楼1-3层商业用房、1单元4-18层办公用房房地产,属开发建设的办公项目，该项目尚在开发建设中。根据《国有土地使用证》[]，估价对象（分摊）出让国有建设用地使用权面积为12092.92平方米，规划建筑面积为42325.21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2018年5月8日（评估专业人员实地查勘之日）</v>
      </c>
    </row>
    <row r="13" spans="1:2" s="1591" customFormat="1">
      <c r="A13" s="1589" t="s">
        <v>1227</v>
      </c>
      <c r="B13" s="1590" t="str">
        <f>'预评函-1'!A18</f>
        <v>本次估价的“房地产价值”是指在正常市场情况下，在价值时点2018年5月8日，估价对象规划用途为商业、办公，土地取得方式为出让，出让国有建设用地使用权剩余土地使用年限为商业26.33年、办公36.33年，假定未设立法定优先受偿款下的房地产市场价值。</v>
      </c>
    </row>
    <row r="14" spans="1:2" s="1591" customFormat="1">
      <c r="A14" s="1589" t="s">
        <v>1228</v>
      </c>
      <c r="B14" s="1590" t="str">
        <f>'预评函-1'!A19</f>
        <v>其中，“出让国有建设用地使用权价值”是指估价对象用途为商业、办公，实际开发程度为宗地红线外“七通”（即通路、通电、通讯、通上水、通下水、通热、燃气）、红线内场地平整条件下，剩余土地使用年限为商业26.33年、办公36.33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2982</v>
      </c>
    </row>
    <row r="21" spans="1:2" s="1591" customFormat="1">
      <c r="A21" s="1589" t="s">
        <v>1235</v>
      </c>
      <c r="B21" s="1590">
        <f ca="1">'预评函-2'!D7</f>
        <v>51217</v>
      </c>
    </row>
    <row r="22" spans="1:2" s="1591" customFormat="1">
      <c r="A22" s="1589" t="s">
        <v>1236</v>
      </c>
      <c r="B22" s="1590" t="str">
        <f ca="1">'预评函-2'!D6</f>
        <v>贰仟玖佰捌拾贰万元整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f ca="1">'预评函-2'!D16</f>
        <v>2982</v>
      </c>
    </row>
    <row r="35" spans="1:2" s="1591" customFormat="1">
      <c r="A35" s="1589" t="s">
        <v>1275</v>
      </c>
      <c r="B35" s="1590">
        <f ca="1">'预评函-2'!D18</f>
        <v>705</v>
      </c>
    </row>
    <row r="36" spans="1:2" s="1591" customFormat="1">
      <c r="A36" s="1589" t="s">
        <v>1242</v>
      </c>
      <c r="B36" s="1590" t="str">
        <f ca="1">'预评函-2'!D17</f>
        <v>贰仟玖佰捌拾贰万元整</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北京市通州区临河里1号楼1-3层商业用房、1单元4-18层办公用房房地产</v>
      </c>
    </row>
    <row r="42" spans="1:2" s="1591" customFormat="1">
      <c r="A42" s="1589" t="s">
        <v>1288</v>
      </c>
      <c r="B42" s="1590" t="str">
        <f>'预评函-3'!B2</f>
        <v>建筑面积</v>
      </c>
    </row>
    <row r="43" spans="1:2" s="1591" customFormat="1">
      <c r="A43" s="1589" t="s">
        <v>1289</v>
      </c>
      <c r="B43" s="1590">
        <f>'预评函-3'!B4</f>
        <v>42325.20999999997</v>
      </c>
    </row>
    <row r="44" spans="1:2" s="1591" customFormat="1">
      <c r="A44" s="1589" t="s">
        <v>1273</v>
      </c>
      <c r="B44" s="1590" t="str">
        <f>'预评函-3'!C2</f>
        <v>(分摊)土地面积</v>
      </c>
    </row>
    <row r="45" spans="1:2" s="1591" customFormat="1">
      <c r="A45" s="1589" t="s">
        <v>1245</v>
      </c>
      <c r="B45" s="1590">
        <f>'预评函-3'!C4</f>
        <v>12092.92</v>
      </c>
    </row>
    <row r="46" spans="1:2" s="1591" customFormat="1">
      <c r="A46" s="1589" t="s">
        <v>1271</v>
      </c>
      <c r="B46" s="1590" t="str">
        <f>'预评函-3'!D2</f>
        <v>出让国有建设用地使用权价值</v>
      </c>
    </row>
    <row r="47" spans="1:2" s="1591" customFormat="1">
      <c r="A47" s="1589" t="s">
        <v>1246</v>
      </c>
      <c r="B47" s="1590">
        <f ca="1">'预评函-3'!D4</f>
        <v>2389</v>
      </c>
    </row>
    <row r="48" spans="1:2" s="1591" customFormat="1">
      <c r="A48" s="1589" t="s">
        <v>1247</v>
      </c>
      <c r="B48" s="1590">
        <f ca="1">'预评函-3'!E4</f>
        <v>41032</v>
      </c>
    </row>
    <row r="49" spans="1:2" s="1591" customFormat="1">
      <c r="A49" s="1589" t="s">
        <v>1248</v>
      </c>
      <c r="B49" s="1590" t="str">
        <f ca="1">'预评函-3'!D5</f>
        <v>贰仟叁佰捌拾玖万元整</v>
      </c>
    </row>
    <row r="50" spans="1:2" s="1591" customFormat="1">
      <c r="A50" s="1589" t="s">
        <v>1272</v>
      </c>
      <c r="B50" s="1590" t="str">
        <f>'预评函-3'!F2</f>
        <v>在建建筑物价值</v>
      </c>
    </row>
    <row r="51" spans="1:2" s="1591" customFormat="1">
      <c r="A51" s="1589" t="s">
        <v>1249</v>
      </c>
      <c r="B51" s="1590">
        <f ca="1">'预评函-3'!F4</f>
        <v>593</v>
      </c>
    </row>
    <row r="52" spans="1:2" s="1591" customFormat="1">
      <c r="A52" s="1589" t="s">
        <v>1250</v>
      </c>
      <c r="B52" s="1590">
        <f ca="1">'预评函-3'!G4</f>
        <v>10185</v>
      </c>
    </row>
    <row r="53" spans="1:2" s="1591" customFormat="1">
      <c r="A53" s="1589" t="s">
        <v>1278</v>
      </c>
      <c r="B53" s="1590" t="str">
        <f ca="1">'预评函-3'!F5</f>
        <v>伍佰玖拾叁万元整</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3075</v>
      </c>
      <c r="C17" s="2012"/>
    </row>
    <row r="18" spans="1:3">
      <c r="A18" s="2011" t="s">
        <v>1767</v>
      </c>
      <c r="B18" s="2011" t="s">
        <v>3077</v>
      </c>
      <c r="C18" s="2012"/>
    </row>
    <row r="19" spans="1:3">
      <c r="A19" s="2011" t="s">
        <v>1768</v>
      </c>
      <c r="B19" s="2011" t="s">
        <v>3394</v>
      </c>
      <c r="C19" s="2012"/>
    </row>
    <row r="20" spans="1:3">
      <c r="A20" s="2011" t="s">
        <v>1769</v>
      </c>
      <c r="B20" s="2011" t="s">
        <v>3395</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7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72"/>
      <c r="B54" s="2019" t="s">
        <v>864</v>
      </c>
      <c r="C54" s="2016" t="s">
        <v>1281</v>
      </c>
    </row>
    <row r="55" spans="1:4">
      <c r="A55" s="3072"/>
      <c r="B55" s="2019" t="s">
        <v>865</v>
      </c>
      <c r="C55" s="2016" t="s">
        <v>1282</v>
      </c>
    </row>
    <row r="56" spans="1:4">
      <c r="A56" s="3072"/>
      <c r="B56" s="2019" t="s">
        <v>866</v>
      </c>
      <c r="C56" s="2016" t="s">
        <v>1286</v>
      </c>
    </row>
    <row r="57" spans="1:4">
      <c r="A57" s="3072"/>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1776</v>
      </c>
      <c r="B1" s="3073" t="str">
        <f>IF(B10="北京市","北京市",C10)&amp;F10&amp;IF('结果表-商业'!G1="在建","出让国有建设用地使用权及在建建筑物",IF('结果表-商业'!G1="土地","出让国有建设用地使用权",))&amp;B9&amp;"预评估"</f>
        <v>北京市通州区临河里1号楼1-3层商业用房、1单元4-18层办公用房房地产抵押价值预评估</v>
      </c>
      <c r="C1" s="3074"/>
      <c r="D1" s="3074"/>
      <c r="E1" s="3074"/>
      <c r="F1" s="3074"/>
      <c r="G1" s="3074"/>
      <c r="H1" s="3074"/>
      <c r="I1" s="3075"/>
      <c r="J1" s="2023"/>
      <c r="K1" s="2024"/>
      <c r="L1" s="2025"/>
      <c r="M1" s="2025"/>
      <c r="N1" s="2026"/>
      <c r="O1" s="2027"/>
      <c r="P1" s="2026"/>
      <c r="Q1" s="2026"/>
      <c r="R1" s="2026"/>
      <c r="S1" s="2028" t="str">
        <f>IF(B10="北京市","北京市",C10)&amp;F10&amp;IF('结果表-商业'!G1="在建","出让国有建设用地使用权及在建建筑物房地产抵押价值",IF('结果表-商业'!G1="土地","出让国有建设用地使用权抵押价值",B9))</f>
        <v>北京市通州区临河里1号楼1-3层商业用房、1单元4-18层办公用房房地产抵押价值</v>
      </c>
    </row>
    <row r="2" spans="1:19" ht="18" customHeight="1">
      <c r="A2" s="2023" t="s">
        <v>1777</v>
      </c>
      <c r="B2" s="1038"/>
      <c r="C2" s="2030"/>
      <c r="D2" s="2023"/>
      <c r="E2" s="2031"/>
      <c r="F2" s="2031"/>
      <c r="G2" s="2023"/>
      <c r="H2" s="2023"/>
      <c r="I2" s="2023"/>
      <c r="J2" s="2023"/>
      <c r="K2" s="2024"/>
      <c r="L2" s="2025"/>
      <c r="M2" s="2025"/>
      <c r="N2" s="2026"/>
      <c r="O2" s="2027"/>
      <c r="P2" s="2026"/>
      <c r="Q2" s="2026"/>
      <c r="R2" s="2026"/>
      <c r="S2" s="2028" t="str">
        <f>IF(B10="北京市","北京市",C10)&amp;F10&amp;IF('结果表-商业'!G1="在建","出让国有建设用地使用权及在建建筑物房地产",IF('结果表-商业'!G1="土地","出让国有建设用地使用权","房地产"))</f>
        <v>北京市通州区临河里1号楼1-3层商业用房、1单元4-18层办公用房房地产</v>
      </c>
    </row>
    <row r="3" spans="1:19" ht="18" customHeight="1">
      <c r="A3" s="2032" t="s">
        <v>1778</v>
      </c>
      <c r="B3" s="2033">
        <v>43228</v>
      </c>
      <c r="C3" s="2034" t="s">
        <v>1779</v>
      </c>
      <c r="D3" s="2033">
        <v>43228</v>
      </c>
      <c r="E3" s="2023"/>
      <c r="F3" s="2023"/>
      <c r="G3" s="2023"/>
      <c r="H3" s="2023"/>
      <c r="I3" s="2023"/>
      <c r="J3" s="2023"/>
      <c r="K3" s="2024"/>
      <c r="L3" s="2025"/>
      <c r="M3" s="2025"/>
      <c r="N3" s="2026"/>
      <c r="O3" s="2027"/>
      <c r="P3" s="2026"/>
      <c r="Q3" s="2026"/>
      <c r="R3" s="2026"/>
      <c r="S3" s="2028"/>
    </row>
    <row r="4" spans="1:19" ht="18" customHeight="1" thickBot="1">
      <c r="A4" s="2035" t="s">
        <v>1780</v>
      </c>
      <c r="B4" s="2036" t="s">
        <v>3043</v>
      </c>
      <c r="C4" s="1036">
        <f ca="1">SUMIF(注册房地产估价师,B4,估价师及机构信息!B3:B24)</f>
        <v>1120050019</v>
      </c>
      <c r="D4" s="2036" t="s">
        <v>3044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thickBot="1">
      <c r="A5" s="2041" t="s">
        <v>1781</v>
      </c>
      <c r="B5" s="2997" t="s">
        <v>3788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Top="1" thickBot="1">
      <c r="A6" s="2044" t="s">
        <v>1782</v>
      </c>
      <c r="B6" s="2997" t="s">
        <v>3788</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1783</v>
      </c>
      <c r="B7" s="2997" t="s">
        <v>3784</v>
      </c>
      <c r="C7" s="2045"/>
      <c r="D7" s="2046"/>
      <c r="E7" s="2031"/>
      <c r="F7" s="2039"/>
      <c r="G7" s="2039"/>
      <c r="H7" s="2039"/>
      <c r="I7" s="2039"/>
      <c r="J7" s="2039"/>
      <c r="K7" s="2048"/>
      <c r="L7" s="2025"/>
      <c r="M7" s="2025"/>
      <c r="N7" s="2026"/>
      <c r="O7" s="2027"/>
      <c r="P7" s="2026"/>
      <c r="Q7" s="2026"/>
      <c r="R7" s="2026"/>
    </row>
    <row r="8" spans="1:19" ht="18" customHeight="1">
      <c r="A8" s="2044" t="s">
        <v>1784</v>
      </c>
      <c r="B8" s="2049" t="s">
        <v>4101</v>
      </c>
      <c r="C8" s="2050"/>
      <c r="D8" s="3076" t="s">
        <v>1785</v>
      </c>
      <c r="E8" s="2051" t="s">
        <v>3783</v>
      </c>
      <c r="F8" s="2052"/>
      <c r="G8" s="2023"/>
      <c r="H8" s="2023"/>
      <c r="I8" s="2023"/>
      <c r="J8" s="2039"/>
      <c r="K8" s="2040"/>
      <c r="L8" s="2025"/>
      <c r="M8" s="2025"/>
      <c r="N8" s="2026"/>
      <c r="O8" s="2027"/>
      <c r="P8" s="2026"/>
      <c r="Q8" s="2026"/>
      <c r="R8" s="2026"/>
    </row>
    <row r="9" spans="1:19" ht="18" customHeight="1" thickBot="1">
      <c r="A9" s="2037" t="s">
        <v>1786</v>
      </c>
      <c r="B9" s="2053" t="s">
        <v>4102</v>
      </c>
      <c r="C9" s="2054"/>
      <c r="D9" s="3077"/>
      <c r="E9" s="2053" t="s">
        <v>70</v>
      </c>
      <c r="F9" s="2055"/>
      <c r="G9" s="2056"/>
      <c r="H9" s="2056"/>
      <c r="I9" s="2056"/>
      <c r="J9" s="2039"/>
      <c r="K9" s="2048"/>
      <c r="L9" s="2025"/>
      <c r="M9" s="2025"/>
      <c r="N9" s="2026"/>
      <c r="O9" s="2027"/>
      <c r="P9" s="2026"/>
      <c r="Q9" s="2026"/>
      <c r="R9" s="2026"/>
    </row>
    <row r="10" spans="1:19" ht="18" customHeight="1" thickTop="1">
      <c r="A10" s="2057" t="s">
        <v>1787</v>
      </c>
      <c r="B10" s="2058" t="s">
        <v>3045</v>
      </c>
      <c r="C10" s="2059"/>
      <c r="D10" s="2043"/>
      <c r="E10" s="2060" t="s">
        <v>1788</v>
      </c>
      <c r="F10" s="2061" t="s">
        <v>3785</v>
      </c>
      <c r="G10" s="2062"/>
      <c r="H10" s="2063"/>
      <c r="I10" s="2043"/>
      <c r="J10" s="2039"/>
      <c r="K10" s="2048"/>
      <c r="L10" s="2025"/>
      <c r="M10" s="2025"/>
      <c r="N10" s="2026"/>
      <c r="O10" s="2027"/>
      <c r="P10" s="2026"/>
      <c r="Q10" s="2026"/>
      <c r="R10" s="2026"/>
    </row>
    <row r="11" spans="1:19" ht="18" customHeight="1">
      <c r="A11" s="2064" t="s">
        <v>1789</v>
      </c>
      <c r="B11" s="2065" t="s">
        <v>3046</v>
      </c>
      <c r="C11" s="2066"/>
      <c r="D11" s="2067"/>
      <c r="E11" s="2039"/>
      <c r="F11" s="2039"/>
      <c r="G11" s="2039"/>
      <c r="H11" s="2039"/>
      <c r="I11" s="2039"/>
      <c r="J11" s="2039"/>
      <c r="K11" s="2048"/>
      <c r="L11" s="2025"/>
      <c r="M11" s="2025"/>
      <c r="N11" s="2026"/>
      <c r="O11" s="2027"/>
      <c r="P11" s="2026"/>
      <c r="Q11" s="2026"/>
      <c r="R11" s="2026"/>
    </row>
    <row r="12" spans="1:19" ht="18" customHeight="1">
      <c r="A12" s="2068" t="s">
        <v>1790</v>
      </c>
      <c r="B12" s="2065" t="s">
        <v>3047</v>
      </c>
      <c r="C12" s="2069" t="s">
        <v>1791</v>
      </c>
      <c r="D12" s="2070" t="s">
        <v>1792</v>
      </c>
      <c r="E12" s="2070" t="s">
        <v>1793</v>
      </c>
      <c r="F12" s="2070" t="s">
        <v>1794</v>
      </c>
      <c r="G12" s="2070" t="s">
        <v>1795</v>
      </c>
      <c r="H12" s="2070" t="s">
        <v>1796</v>
      </c>
      <c r="I12" s="2070" t="s">
        <v>1797</v>
      </c>
      <c r="J12" s="2039"/>
      <c r="K12" s="2048"/>
      <c r="L12" s="2025"/>
      <c r="M12" s="2025"/>
      <c r="N12" s="2026"/>
      <c r="O12" s="2027"/>
      <c r="P12" s="2026"/>
      <c r="Q12" s="2026"/>
      <c r="R12" s="2026"/>
    </row>
    <row r="13" spans="1:19" ht="18" customHeight="1">
      <c r="A13" s="2071"/>
      <c r="B13" s="2072"/>
      <c r="C13" s="2073" t="s">
        <v>1798</v>
      </c>
      <c r="D13" s="2074"/>
      <c r="E13" s="2074">
        <v>52839</v>
      </c>
      <c r="F13" s="2074">
        <v>56491</v>
      </c>
      <c r="G13" s="2074"/>
      <c r="H13" s="2074"/>
      <c r="I13" s="1046"/>
      <c r="J13" s="2039"/>
      <c r="K13" s="2048"/>
      <c r="L13" s="2025"/>
      <c r="M13" s="2025"/>
      <c r="N13" s="2026"/>
      <c r="O13" s="2027"/>
      <c r="P13" s="2026"/>
      <c r="Q13" s="2026"/>
      <c r="R13" s="2026"/>
    </row>
    <row r="14" spans="1:19" ht="18" customHeight="1">
      <c r="A14" s="2071"/>
      <c r="B14" s="2072"/>
      <c r="C14" s="2073" t="s">
        <v>1799</v>
      </c>
      <c r="D14" s="1049"/>
      <c r="E14" s="1049">
        <v>40</v>
      </c>
      <c r="F14" s="1049">
        <v>50</v>
      </c>
      <c r="G14" s="1049"/>
      <c r="H14" s="1049"/>
      <c r="I14" s="1049"/>
      <c r="J14" s="2039"/>
      <c r="K14" s="2075"/>
      <c r="L14" s="2025"/>
      <c r="M14" s="2025"/>
      <c r="N14" s="2026"/>
      <c r="O14" s="2027"/>
      <c r="P14" s="2026"/>
      <c r="Q14" s="2026"/>
      <c r="R14" s="2026"/>
    </row>
    <row r="15" spans="1:19" ht="18" customHeight="1">
      <c r="A15" s="2057"/>
      <c r="B15" s="2076"/>
      <c r="C15" s="2073" t="s">
        <v>1800</v>
      </c>
      <c r="D15" s="1048" t="str">
        <f>IF(B12="出让",IF(D13="","",ROUNDDOWN(MIN((D13-$D$3)/365,D14),2)),D14)</f>
        <v/>
      </c>
      <c r="E15" s="1048">
        <f>IF(B12="出让",IF(E13="","",ROUNDDOWN(MIN((E13-$D$3)/365,E14),2)),E14)</f>
        <v>26.33</v>
      </c>
      <c r="F15" s="1048">
        <f>IF(B12="出让",IF(F13="","",ROUNDDOWN(MIN((F13-$D$3)/365,F14),2)),F14)</f>
        <v>36.33</v>
      </c>
      <c r="G15" s="1048" t="str">
        <f>IF(B12="出让",IF(G13="","",ROUNDDOWN(MIN((G13-$D$3)/365,G14),2)),G14)</f>
        <v/>
      </c>
      <c r="H15" s="1048" t="str">
        <f>IF(B12="出让",IF(H13="","",ROUNDDOWN(MIN((H13-$D$3)/365,H14),2)),H14)</f>
        <v/>
      </c>
      <c r="I15" s="1048" t="str">
        <f>IF(B12="出让",IF(I13="","",ROUNDDOWN(MIN((I13-$D$3)/365,I14),2)),I14)</f>
        <v/>
      </c>
      <c r="J15" s="2039"/>
      <c r="K15" s="2077"/>
      <c r="L15" s="2078"/>
      <c r="M15" s="2078"/>
      <c r="N15" s="2079"/>
      <c r="O15" s="2078"/>
      <c r="P15" s="2079"/>
      <c r="Q15" s="2026"/>
      <c r="R15" s="2026"/>
    </row>
    <row r="16" spans="1:19" ht="30.75" customHeight="1">
      <c r="A16" s="2060" t="s">
        <v>1801</v>
      </c>
      <c r="B16" s="3083" t="s">
        <v>3786</v>
      </c>
      <c r="C16" s="3084"/>
      <c r="D16" s="3085"/>
      <c r="E16" s="2080" t="s">
        <v>1802</v>
      </c>
      <c r="F16" s="3086" t="s">
        <v>3787</v>
      </c>
      <c r="G16" s="3087"/>
      <c r="H16" s="3087"/>
      <c r="I16" s="3088"/>
      <c r="J16" s="2026"/>
      <c r="K16" s="2077"/>
      <c r="L16" s="2078"/>
      <c r="M16" s="2078"/>
      <c r="N16" s="2079"/>
      <c r="O16" s="2078"/>
      <c r="P16" s="2079"/>
      <c r="Q16" s="2026"/>
      <c r="R16" s="2026"/>
    </row>
    <row r="17" spans="1:22" ht="18" customHeight="1">
      <c r="A17" s="2081" t="s">
        <v>1803</v>
      </c>
      <c r="B17" s="2032" t="s">
        <v>1804</v>
      </c>
      <c r="C17" s="1053">
        <f>'数据-汇总表'!E3</f>
        <v>42325.20999999997</v>
      </c>
      <c r="D17" s="2082" t="s">
        <v>1805</v>
      </c>
      <c r="E17" s="3089" t="s">
        <v>1806</v>
      </c>
      <c r="F17" s="3090"/>
      <c r="G17" s="3090"/>
      <c r="H17" s="3090"/>
      <c r="I17" s="3091"/>
      <c r="J17" s="2026"/>
      <c r="K17" s="2083"/>
      <c r="L17" s="2078"/>
      <c r="M17" s="2078"/>
      <c r="N17" s="2079"/>
      <c r="O17" s="2078"/>
      <c r="P17" s="2079"/>
      <c r="Q17" s="2026"/>
      <c r="R17" s="2026"/>
      <c r="S17" s="2026"/>
      <c r="T17" s="2026"/>
      <c r="U17" s="2026"/>
      <c r="V17" s="2026"/>
    </row>
    <row r="18" spans="1:22" ht="36" customHeight="1" thickBot="1">
      <c r="A18" s="2084" t="s">
        <v>1807</v>
      </c>
      <c r="B18" s="2035" t="s">
        <v>1808</v>
      </c>
      <c r="C18" s="1443">
        <f>'数据-汇总表'!D3</f>
        <v>12092.92</v>
      </c>
      <c r="D18" s="2085" t="s">
        <v>1805</v>
      </c>
      <c r="E18" s="3092" t="s">
        <v>1809</v>
      </c>
      <c r="F18" s="3093"/>
      <c r="G18" s="3093"/>
      <c r="H18" s="3093"/>
      <c r="I18" s="3094"/>
      <c r="J18" s="2026"/>
      <c r="K18" s="2083"/>
      <c r="L18" s="2078"/>
      <c r="M18" s="2078"/>
      <c r="N18" s="2079"/>
      <c r="O18" s="2078"/>
      <c r="P18" s="2079"/>
      <c r="Q18" s="2026"/>
      <c r="R18" s="2026"/>
      <c r="S18" s="2026"/>
      <c r="T18" s="2026"/>
      <c r="U18" s="2026"/>
      <c r="V18" s="2026"/>
    </row>
    <row r="19" spans="1:22" ht="37.5" customHeight="1" thickTop="1" thickBot="1">
      <c r="A19" s="373" t="s">
        <v>1810</v>
      </c>
      <c r="B19" s="352" t="s">
        <v>1811</v>
      </c>
      <c r="C19" s="2086" t="s">
        <v>3048</v>
      </c>
      <c r="D19" s="2087" t="s">
        <v>1812</v>
      </c>
      <c r="E19" s="2088" t="s">
        <v>3049</v>
      </c>
      <c r="F19" s="2089" t="str">
        <f>IF(AND(C19="是",E19="否"),"是否提供他项权证或相关说明","")</f>
        <v>是否提供他项权证或相关说明</v>
      </c>
      <c r="G19" s="2090" t="s">
        <v>3049</v>
      </c>
      <c r="H19" s="2039"/>
      <c r="I19" s="2039"/>
      <c r="J19" s="2039"/>
      <c r="K19" s="2048"/>
      <c r="L19" s="2025"/>
      <c r="M19" s="2025"/>
      <c r="N19" s="2079"/>
      <c r="O19" s="2078"/>
      <c r="P19" s="2079"/>
      <c r="Q19" s="2026"/>
      <c r="R19" s="2026"/>
      <c r="S19" s="2026"/>
      <c r="T19" s="2026"/>
      <c r="U19" s="2026"/>
      <c r="V19" s="2026"/>
    </row>
    <row r="20" spans="1:22" ht="18" customHeight="1">
      <c r="A20" s="2091" t="s">
        <v>1813</v>
      </c>
      <c r="B20" s="3079" t="s">
        <v>1814</v>
      </c>
      <c r="C20" s="3080"/>
      <c r="D20" s="3081" t="s">
        <v>1815</v>
      </c>
      <c r="E20" s="3082"/>
      <c r="F20" s="2092" t="s">
        <v>1816</v>
      </c>
      <c r="G20" s="2039"/>
      <c r="H20" s="2039"/>
      <c r="I20" s="2039"/>
      <c r="J20" s="2039"/>
      <c r="K20" s="3078" t="s">
        <v>1817</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9"/>
      <c r="O20" s="2078"/>
      <c r="P20" s="2079"/>
      <c r="Q20" s="2026"/>
      <c r="R20" s="2026"/>
      <c r="S20" s="2026"/>
      <c r="T20" s="2026"/>
      <c r="U20" s="2026"/>
      <c r="V20" s="2026"/>
    </row>
    <row r="21" spans="1:22" ht="24.75" customHeight="1">
      <c r="A21" s="2091"/>
      <c r="B21" s="2093" t="s">
        <v>1818</v>
      </c>
      <c r="C21" s="2094" t="s">
        <v>1819</v>
      </c>
      <c r="D21" s="2095"/>
      <c r="E21" s="2096"/>
      <c r="F21" s="2097"/>
      <c r="G21" s="2039"/>
      <c r="H21" s="2039"/>
      <c r="I21" s="2039"/>
      <c r="J21" s="2039"/>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c r="C22" s="2094"/>
      <c r="D22" s="2023"/>
      <c r="E22" s="2023"/>
      <c r="F22" s="2099"/>
      <c r="G22" s="2039"/>
      <c r="H22" s="2039"/>
      <c r="I22" s="2039"/>
      <c r="J22" s="2039"/>
      <c r="K22" s="3078"/>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1820</v>
      </c>
      <c r="B23" s="183" t="s">
        <v>1821</v>
      </c>
      <c r="C23" s="2101"/>
      <c r="D23" s="2102" t="s">
        <v>1821</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3" t="s">
        <v>1822</v>
      </c>
      <c r="C24" s="2106"/>
      <c r="D24" s="2100" t="s">
        <v>1822</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3" t="s">
        <v>1823</v>
      </c>
      <c r="C25" s="2106"/>
      <c r="D25" s="2100" t="s">
        <v>1823</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1824</v>
      </c>
      <c r="C26" s="2110"/>
      <c r="D26" s="2111" t="s">
        <v>1825</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96" t="s">
        <v>1826</v>
      </c>
      <c r="B27" s="2057" t="s">
        <v>1827</v>
      </c>
      <c r="C27" s="2114" t="s">
        <v>3050</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96"/>
      <c r="B28" s="2032" t="s">
        <v>1828</v>
      </c>
      <c r="C28" s="2116" t="s">
        <v>3051</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96"/>
      <c r="B29" s="2032" t="s">
        <v>1829</v>
      </c>
      <c r="C29" s="2119" t="s">
        <v>3049</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97"/>
      <c r="B30" s="2032" t="s">
        <v>1830</v>
      </c>
      <c r="C30" s="3098"/>
      <c r="D30" s="3099"/>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100" t="s">
        <v>1831</v>
      </c>
      <c r="B31" s="2121" t="s">
        <v>3052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101"/>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101"/>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1832</v>
      </c>
      <c r="B34" s="2128" t="s">
        <v>3053</v>
      </c>
      <c r="C34" s="2128" t="s">
        <v>3054</v>
      </c>
      <c r="D34" s="2128" t="s">
        <v>3055</v>
      </c>
      <c r="E34" s="2128" t="s">
        <v>3056</v>
      </c>
      <c r="F34" s="2128" t="s">
        <v>3057</v>
      </c>
      <c r="G34" s="2128" t="s">
        <v>3058</v>
      </c>
      <c r="H34" s="2128" t="s">
        <v>3059</v>
      </c>
      <c r="I34" s="2039"/>
      <c r="J34" s="2039"/>
      <c r="K34" s="1793">
        <f>COUNTIF(B34:H34,"——")</f>
        <v>0</v>
      </c>
      <c r="L34" s="2069" t="s">
        <v>1833</v>
      </c>
      <c r="M34" s="2069" t="s">
        <v>1834</v>
      </c>
      <c r="N34" s="2069" t="s">
        <v>1835</v>
      </c>
      <c r="O34" s="2069" t="s">
        <v>1836</v>
      </c>
      <c r="P34" s="2069" t="s">
        <v>1837</v>
      </c>
      <c r="Q34" s="2069" t="s">
        <v>1838</v>
      </c>
      <c r="R34" s="2069" t="s">
        <v>1839</v>
      </c>
      <c r="S34" s="3095" t="s">
        <v>1840</v>
      </c>
      <c r="T34" s="2129" t="str">
        <f>NUMBERSTRING(7-K34,1)&amp;"通"</f>
        <v>七通</v>
      </c>
      <c r="U34" s="2026"/>
      <c r="V34" s="2026"/>
    </row>
    <row r="35" spans="1:22" ht="18" customHeight="1">
      <c r="A35" s="2130"/>
      <c r="B35" s="3102" t="s">
        <v>1841</v>
      </c>
      <c r="C35" s="3102"/>
      <c r="D35" s="3102"/>
      <c r="E35" s="3102"/>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5"/>
      <c r="T35" s="48" t="str">
        <f>IF(T34="一通",L35,IF(T34="二通",M35,IF(T34="三通",N35,IF(T34="四通",O35,IF(T34="五通",P35,IF(T34="六通",Q35,R35))))))</f>
        <v>通路、通电、通讯、通上水、通下水、通热、燃气</v>
      </c>
      <c r="U35" s="2026"/>
      <c r="V35" s="2026"/>
    </row>
    <row r="36" spans="1:22" ht="18" customHeight="1">
      <c r="A36" s="2132"/>
      <c r="B36" s="2131" t="s">
        <v>1842</v>
      </c>
      <c r="C36" s="2131" t="s">
        <v>1843</v>
      </c>
      <c r="D36" s="2131" t="s">
        <v>1844</v>
      </c>
      <c r="E36" s="2131" t="s">
        <v>1845</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1846</v>
      </c>
      <c r="B37" s="2135" t="s">
        <v>526</v>
      </c>
      <c r="C37" s="2135" t="s">
        <v>526</v>
      </c>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1847</v>
      </c>
      <c r="B38" s="2137" t="s">
        <v>3060</v>
      </c>
      <c r="C38" s="2137" t="s">
        <v>3060</v>
      </c>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1848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1849</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28.5">
      <c r="A42" s="2069" t="s">
        <v>1850</v>
      </c>
      <c r="B42" s="1793" t="s">
        <v>1851</v>
      </c>
      <c r="C42" s="1793" t="s">
        <v>1852</v>
      </c>
      <c r="D42" s="1793" t="s">
        <v>1853</v>
      </c>
      <c r="E42" s="1793" t="s">
        <v>1854</v>
      </c>
      <c r="F42" s="1793" t="s">
        <v>1855</v>
      </c>
      <c r="G42" s="1793" t="s">
        <v>1856</v>
      </c>
      <c r="H42" s="1793" t="s">
        <v>1857</v>
      </c>
      <c r="I42" s="1793" t="s">
        <v>1858</v>
      </c>
      <c r="J42" s="2147" t="s">
        <v>1859</v>
      </c>
      <c r="K42" s="2070" t="s">
        <v>1860</v>
      </c>
      <c r="L42" s="2070" t="s">
        <v>1861</v>
      </c>
      <c r="M42" s="2070" t="s">
        <v>1862</v>
      </c>
      <c r="N42" s="1793" t="s">
        <v>1863</v>
      </c>
      <c r="O42" s="1793" t="s">
        <v>1864</v>
      </c>
      <c r="P42" s="1793" t="s">
        <v>1865</v>
      </c>
      <c r="Q42" s="2069" t="s">
        <v>1866</v>
      </c>
      <c r="R42" s="2069" t="s">
        <v>1867</v>
      </c>
      <c r="S42" s="2026"/>
      <c r="T42" s="2026"/>
      <c r="U42" s="2026"/>
      <c r="V42" s="2026"/>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1868</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1869</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1870</v>
      </c>
      <c r="B2" s="11" t="s">
        <v>1871</v>
      </c>
      <c r="C2" s="11" t="s">
        <v>1872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1873</v>
      </c>
      <c r="AZ2" s="1269" t="s">
        <v>1874</v>
      </c>
      <c r="BA2" s="11" t="s">
        <v>1875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ROUND((K14+I13)/3.5,2)</f>
        <v>12092.92</v>
      </c>
      <c r="B3" s="14">
        <f>IF(C3="否",G5-AT5,G5)</f>
        <v>42325.20999999997</v>
      </c>
      <c r="C3" s="2163" t="s">
        <v>1876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1"/>
      <c r="C5" s="1801"/>
      <c r="D5" s="1804"/>
      <c r="E5" s="16" t="s">
        <v>1</v>
      </c>
      <c r="F5" s="16">
        <f>SUM(F13:F587)</f>
        <v>0</v>
      </c>
      <c r="G5" s="16">
        <f>SUM(G13:G587)</f>
        <v>42325.20999999997</v>
      </c>
      <c r="H5" s="16">
        <f t="shared" ref="H5:AT5" si="0">SUM(H13:H656)</f>
        <v>42325.20999999997</v>
      </c>
      <c r="I5" s="16">
        <f t="shared" si="0"/>
        <v>13968.539999999999</v>
      </c>
      <c r="J5" s="16">
        <f t="shared" si="0"/>
        <v>0</v>
      </c>
      <c r="K5" s="16">
        <f t="shared" si="0"/>
        <v>28356.669999999973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1877</v>
      </c>
      <c r="AW5" s="1801"/>
      <c r="AX5" s="1801"/>
      <c r="AY5" s="17" t="s">
        <v>3</v>
      </c>
      <c r="AZ5" s="18">
        <f t="shared" ref="AZ5:BT5" si="1">SUM(AZ13:AZ656)</f>
        <v>42325.20999999997</v>
      </c>
      <c r="BA5" s="18">
        <f t="shared" si="1"/>
        <v>42325.20999999997</v>
      </c>
      <c r="BB5" s="18">
        <f t="shared" si="1"/>
        <v>13968.539999999999</v>
      </c>
      <c r="BC5" s="18">
        <f t="shared" si="1"/>
        <v>28356.669999999973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12092.92</v>
      </c>
      <c r="F6" s="16" t="s">
        <v>1</v>
      </c>
      <c r="G6" s="16" t="s">
        <v>2</v>
      </c>
      <c r="H6" s="20">
        <f>SUMIF(I$12:AB$12,"总值",I6:AB6)</f>
        <v>12092.92</v>
      </c>
      <c r="I6" s="16">
        <f t="shared" ref="I6:AB6" si="2">ROUND($A$3*I5/$B$3,2)</f>
        <v>3991.01</v>
      </c>
      <c r="J6" s="16">
        <f t="shared" si="2"/>
        <v>0</v>
      </c>
      <c r="K6" s="16">
        <f t="shared" si="2"/>
        <v>8101.91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12092.92</v>
      </c>
      <c r="AZ6" s="16" t="s">
        <v>3</v>
      </c>
      <c r="BA6" s="16">
        <f>ROUND($AY$6*BA5/$AZ$5,2)</f>
        <v>12092.92</v>
      </c>
      <c r="BB6" s="16">
        <f>ROUND($AY$6*BB5/$AZ$5,2)</f>
        <v>3991.01</v>
      </c>
      <c r="BC6" s="16">
        <f t="shared" ref="BC6:BH6" si="4">ROUND($AY$6*BC5/$AZ$5,2)</f>
        <v>8101.91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3" t="s">
        <v>1887</v>
      </c>
      <c r="AW7" s="2161" t="s">
        <v>1888</v>
      </c>
      <c r="AX7" s="23"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80" t="s">
        <v>1892</v>
      </c>
      <c r="AD8" s="2183"/>
      <c r="AE8" s="2175"/>
      <c r="AF8" s="1816"/>
      <c r="AG8" s="1816"/>
      <c r="AH8" s="1816"/>
      <c r="AI8" s="1816"/>
      <c r="AJ8" s="1816"/>
      <c r="AK8" s="1816"/>
      <c r="AL8" s="1816"/>
      <c r="AM8" s="1816"/>
      <c r="AN8" s="1816"/>
      <c r="AO8" s="1816"/>
      <c r="AP8" s="1816"/>
      <c r="AQ8" s="1816"/>
      <c r="AR8" s="1816"/>
      <c r="AS8" s="1816"/>
      <c r="AT8" s="1291" t="s">
        <v>1893</v>
      </c>
      <c r="AU8" s="2177" t="s">
        <v>1894</v>
      </c>
      <c r="AV8" s="1291"/>
      <c r="AW8" s="2160"/>
      <c r="AX8" s="1291"/>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1"/>
      <c r="H9" s="2185" t="s">
        <v>1897</v>
      </c>
      <c r="I9" s="2186" t="s">
        <v>3063</v>
      </c>
      <c r="J9" s="980"/>
      <c r="K9" s="2186" t="s">
        <v>3063</v>
      </c>
      <c r="L9" s="980"/>
      <c r="M9" s="2186"/>
      <c r="N9" s="980"/>
      <c r="O9" s="2186"/>
      <c r="P9" s="980"/>
      <c r="Q9" s="2186"/>
      <c r="R9" s="980"/>
      <c r="S9" s="2186"/>
      <c r="T9" s="980"/>
      <c r="U9" s="2186"/>
      <c r="V9" s="980"/>
      <c r="W9" s="2186"/>
      <c r="X9" s="2187"/>
      <c r="Y9" s="2186"/>
      <c r="Z9" s="980"/>
      <c r="AA9" s="2186"/>
      <c r="AB9" s="980"/>
      <c r="AC9" s="2178" t="s">
        <v>1897</v>
      </c>
      <c r="AD9" s="15" t="s">
        <v>1898</v>
      </c>
      <c r="AE9" s="1297"/>
      <c r="AF9" s="15" t="s">
        <v>1899</v>
      </c>
      <c r="AG9" s="1297"/>
      <c r="AH9" s="15" t="s">
        <v>1898</v>
      </c>
      <c r="AI9" s="1297"/>
      <c r="AJ9" s="15" t="s">
        <v>1899</v>
      </c>
      <c r="AK9" s="1297"/>
      <c r="AL9" s="15" t="s">
        <v>1898</v>
      </c>
      <c r="AM9" s="1297"/>
      <c r="AN9" s="15" t="s">
        <v>1899</v>
      </c>
      <c r="AO9" s="1297"/>
      <c r="AP9" s="15" t="s">
        <v>1898</v>
      </c>
      <c r="AQ9" s="1297"/>
      <c r="AR9" s="15" t="s">
        <v>1899</v>
      </c>
      <c r="AS9" s="2188"/>
      <c r="AT9" s="2177"/>
      <c r="AU9" s="2177" t="s">
        <v>1900</v>
      </c>
      <c r="AV9" s="1291"/>
      <c r="AW9" s="2160"/>
      <c r="AX9" s="1291"/>
      <c r="AY9" s="28"/>
      <c r="AZ9" s="28" t="s">
        <v>1890</v>
      </c>
      <c r="BA9" s="2189" t="s">
        <v>1901</v>
      </c>
      <c r="BB9" s="2190"/>
      <c r="BC9" s="1337"/>
      <c r="BD9" s="1337"/>
      <c r="BE9" s="1337"/>
      <c r="BF9" s="1337"/>
      <c r="BG9" s="1337"/>
      <c r="BH9" s="1337"/>
      <c r="BI9" s="1337"/>
      <c r="BJ9" s="1337"/>
      <c r="BK9" s="2191"/>
      <c r="BL9" s="15" t="s">
        <v>1902</v>
      </c>
      <c r="BM9" s="1816"/>
      <c r="BN9" s="2180"/>
      <c r="BO9" s="1816"/>
      <c r="BP9" s="1816"/>
      <c r="BQ9" s="1816"/>
      <c r="BR9" s="1816"/>
      <c r="BS9" s="1816"/>
      <c r="BT9" s="26"/>
    </row>
    <row r="10" spans="1:72" s="2184" customFormat="1" ht="12.75">
      <c r="A10" s="2177"/>
      <c r="B10" s="2177"/>
      <c r="C10" s="2177"/>
      <c r="D10" s="2177"/>
      <c r="E10" s="2177"/>
      <c r="F10" s="2177"/>
      <c r="G10" s="1291"/>
      <c r="H10" s="28"/>
      <c r="I10" s="2186" t="s">
        <v>1377</v>
      </c>
      <c r="J10" s="980"/>
      <c r="K10" s="2192" t="s">
        <v>27</v>
      </c>
      <c r="L10" s="980"/>
      <c r="M10" s="2192"/>
      <c r="N10" s="980"/>
      <c r="O10" s="2192"/>
      <c r="P10" s="980"/>
      <c r="Q10" s="2192"/>
      <c r="R10" s="980"/>
      <c r="S10" s="2192"/>
      <c r="T10" s="980"/>
      <c r="U10" s="2192"/>
      <c r="V10" s="980"/>
      <c r="W10" s="2192"/>
      <c r="X10" s="980"/>
      <c r="Y10" s="2192"/>
      <c r="Z10" s="980"/>
      <c r="AA10" s="2192"/>
      <c r="AB10" s="980"/>
      <c r="AC10" s="1291"/>
      <c r="AD10" s="15" t="s">
        <v>1903</v>
      </c>
      <c r="AE10" s="2193"/>
      <c r="AF10" s="15" t="s">
        <v>1903</v>
      </c>
      <c r="AG10" s="2193"/>
      <c r="AH10" s="15" t="s">
        <v>1904</v>
      </c>
      <c r="AI10" s="2193"/>
      <c r="AJ10" s="15" t="s">
        <v>1904</v>
      </c>
      <c r="AK10" s="2193"/>
      <c r="AL10" s="15" t="s">
        <v>1905</v>
      </c>
      <c r="AM10" s="1297"/>
      <c r="AN10" s="15" t="s">
        <v>1905</v>
      </c>
      <c r="AO10" s="1297"/>
      <c r="AP10" s="15" t="s">
        <v>1906</v>
      </c>
      <c r="AQ10" s="1297"/>
      <c r="AR10" s="15" t="s">
        <v>1906</v>
      </c>
      <c r="AS10" s="1297"/>
      <c r="AT10" s="2177"/>
      <c r="AU10" s="2177"/>
      <c r="AV10" s="1291"/>
      <c r="AW10" s="2160"/>
      <c r="AX10" s="1291"/>
      <c r="AY10" s="28"/>
      <c r="AZ10" s="28"/>
      <c r="BA10" s="2194" t="s">
        <v>1897</v>
      </c>
      <c r="BB10" s="2195" t="str">
        <f>I9</f>
        <v>地上</v>
      </c>
      <c r="BC10" s="29" t="str">
        <f>K9</f>
        <v>地上</v>
      </c>
      <c r="BD10" s="29">
        <f>M9</f>
        <v>0</v>
      </c>
      <c r="BE10" s="29">
        <f>O9</f>
        <v>0</v>
      </c>
      <c r="BF10" s="29">
        <f>Q9</f>
        <v>0</v>
      </c>
      <c r="BG10" s="29">
        <f>S9</f>
        <v>0</v>
      </c>
      <c r="BH10" s="29">
        <f>U9</f>
        <v>0</v>
      </c>
      <c r="BI10" s="29">
        <f>W9</f>
        <v>0</v>
      </c>
      <c r="BJ10" s="29">
        <f>Y9</f>
        <v>0</v>
      </c>
      <c r="BK10" s="29">
        <f>AA9</f>
        <v>0</v>
      </c>
      <c r="BL10" s="25" t="s">
        <v>1897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1"/>
      <c r="H11" s="2194"/>
      <c r="I11" s="2197" t="s">
        <v>3064</v>
      </c>
      <c r="J11" s="2198"/>
      <c r="K11" s="2197" t="s">
        <v>3065</v>
      </c>
      <c r="L11" s="2198"/>
      <c r="M11" s="2197"/>
      <c r="N11" s="2198"/>
      <c r="O11" s="2197"/>
      <c r="P11" s="2198"/>
      <c r="Q11" s="2197"/>
      <c r="R11" s="2198"/>
      <c r="S11" s="2197"/>
      <c r="T11" s="2198"/>
      <c r="U11" s="2197"/>
      <c r="V11" s="2198"/>
      <c r="W11" s="2197"/>
      <c r="X11" s="2198"/>
      <c r="Y11" s="2197"/>
      <c r="Z11" s="2198"/>
      <c r="AA11" s="2197"/>
      <c r="AB11" s="2198"/>
      <c r="AC11" s="1291"/>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1"/>
      <c r="AW11" s="2160"/>
      <c r="AX11" s="1291"/>
      <c r="AY11" s="28"/>
      <c r="AZ11" s="28"/>
      <c r="BA11" s="28"/>
      <c r="BB11" s="2182" t="str">
        <f>I10</f>
        <v>商业</v>
      </c>
      <c r="BC11" s="2182" t="str">
        <f>K10</f>
        <v>办公</v>
      </c>
      <c r="BD11" s="2182">
        <f>M10</f>
        <v>0</v>
      </c>
      <c r="BE11" s="2182">
        <f>O10</f>
        <v>0</v>
      </c>
      <c r="BF11" s="2182">
        <f>Q10</f>
        <v>0</v>
      </c>
      <c r="BG11" s="2182">
        <f>S10</f>
        <v>0</v>
      </c>
      <c r="BH11" s="2182">
        <f>U10</f>
        <v>0</v>
      </c>
      <c r="BI11" s="2182">
        <f>W10</f>
        <v>0</v>
      </c>
      <c r="BJ11" s="2182">
        <f>Y10</f>
        <v>0</v>
      </c>
      <c r="BK11" s="2182">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底商</v>
      </c>
      <c r="BC12" s="2207" t="str">
        <f>K11</f>
        <v>办公楼</v>
      </c>
      <c r="BD12" s="2207">
        <f>M11</f>
        <v>0</v>
      </c>
      <c r="BE12" s="2182">
        <f>O11</f>
        <v>0</v>
      </c>
      <c r="BF12" s="2182">
        <f>Q11</f>
        <v>0</v>
      </c>
      <c r="BG12" s="2182">
        <f>S11</f>
        <v>0</v>
      </c>
      <c r="BH12" s="2182">
        <f>U11</f>
        <v>0</v>
      </c>
      <c r="BI12" s="2182">
        <f>W11</f>
        <v>0</v>
      </c>
      <c r="BJ12" s="2182">
        <f>Y11</f>
        <v>0</v>
      </c>
      <c r="BK12" s="2182">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57" t="s">
        <v>3061</v>
      </c>
      <c r="D13" s="2208" t="s">
        <v>3048</v>
      </c>
      <c r="E13" s="16">
        <f>IF($C$3="是",ROUND($A$3*G13/$B$3,2),ROUND($A$3*(G13-AT13)/$B$3,2))</f>
        <v>3991.01</v>
      </c>
      <c r="F13" s="32"/>
      <c r="G13" s="33">
        <f>H13+AC13+AT13</f>
        <v>13968.539999999999</v>
      </c>
      <c r="H13" s="20">
        <f>SUMIF(I$12:AB$12,"总值",I13:AB13)</f>
        <v>13968.539999999999</v>
      </c>
      <c r="I13" s="2209">
        <f>面积!E382+面积!E383+面积!E384</f>
        <v>13968.539999999999</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商业</v>
      </c>
      <c r="AY13" s="1804">
        <f>ROUND($AY$6*AZ13/$AZ$5,2)</f>
        <v>3991.01</v>
      </c>
      <c r="AZ13" s="16">
        <f>BA13+BL13</f>
        <v>13968.539999999999</v>
      </c>
      <c r="BA13" s="16">
        <f>SUM(BB13:BK13)</f>
        <v>13968.539999999999</v>
      </c>
      <c r="BB13" s="16">
        <f>IF($D13="是",I13-J13,0)</f>
        <v>13968.539999999999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957" t="s">
        <v>3062</v>
      </c>
      <c r="D14" s="2208" t="s">
        <v>3048</v>
      </c>
      <c r="E14" s="16">
        <f>IF($C$3="是",ROUND($A$3*G14/$B$3,2),ROUND($A$3*(G14-AT14)/$B$3,2))</f>
        <v>8101.91</v>
      </c>
      <c r="F14" s="32"/>
      <c r="G14" s="33">
        <f>H14+AC14+AT14</f>
        <v>28356.669999999973</v>
      </c>
      <c r="H14" s="20">
        <f>SUMIF(I$12:AB$12,"总值",I14:AB14)</f>
        <v>28356.669999999973</v>
      </c>
      <c r="I14" s="2209"/>
      <c r="J14" s="2209"/>
      <c r="K14" s="2209">
        <f>面积!E385</f>
        <v>28356.669999999973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办公</v>
      </c>
      <c r="AY14" s="1804">
        <f>ROUND($AY$6*AZ14/$AZ$5,2)</f>
        <v>8101.91</v>
      </c>
      <c r="AZ14" s="16">
        <f>BA14+BL14</f>
        <v>28356.669999999973</v>
      </c>
      <c r="BA14" s="16">
        <f>SUM(BB14:BK14)</f>
        <v>28356.669999999973</v>
      </c>
      <c r="BB14" s="16">
        <f>IF($D14="是",I14-J14,0)</f>
        <v>0</v>
      </c>
      <c r="BC14" s="16">
        <f>IF($D14="是",K14-L14,0)</f>
        <v>28356.669999999973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957"/>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7"/>
  <sheetViews>
    <sheetView topLeftCell="A473" zoomScaleNormal="100" workbookViewId="0">
      <selection activeCell="G507" sqref="G507"/>
    </sheetView>
  </sheetViews>
  <sheetFormatPr defaultRowHeight="13.5"/>
  <cols>
    <col min="2" max="2" width="32.625" customWidth="1"/>
    <col min="3" max="3" width="17.375" customWidth="1"/>
    <col min="4" max="4" width="10.375" style="2985" customWidth="1"/>
    <col min="5" max="6" width="9" style="2985"/>
    <col min="7" max="7" width="11.625" style="2985" customWidth="1"/>
    <col min="8" max="8" width="29.125" customWidth="1"/>
    <col min="9" max="9" width="11" customWidth="1"/>
  </cols>
  <sheetData>
    <row r="1" spans="1:12" ht="14.25">
      <c r="A1" s="3000"/>
      <c r="B1" s="3000"/>
      <c r="C1" s="3000"/>
      <c r="D1" s="3001"/>
      <c r="E1" s="3001"/>
      <c r="F1" s="3001"/>
      <c r="G1" s="3001"/>
      <c r="H1" s="3000"/>
    </row>
    <row r="2" spans="1:12" ht="14.25">
      <c r="A2" s="3001" t="s">
        <v>3789</v>
      </c>
      <c r="B2" s="3001" t="s">
        <v>3794</v>
      </c>
      <c r="C2" s="3002" t="s">
        <v>3790</v>
      </c>
      <c r="D2" s="3002" t="s">
        <v>3138</v>
      </c>
      <c r="E2" s="3002" t="s">
        <v>3139</v>
      </c>
      <c r="F2" s="3002" t="s">
        <v>3142</v>
      </c>
      <c r="G2" s="3002" t="s">
        <v>3140</v>
      </c>
      <c r="H2" s="3002" t="s">
        <v>3792</v>
      </c>
      <c r="I2" s="2986" t="s">
        <v>3138</v>
      </c>
      <c r="J2" s="2986" t="s">
        <v>3139</v>
      </c>
      <c r="K2" s="2986" t="s">
        <v>3142</v>
      </c>
      <c r="L2" s="2986" t="s">
        <v>3140</v>
      </c>
    </row>
    <row r="3" spans="1:12" ht="14.25">
      <c r="A3" s="3001">
        <v>1</v>
      </c>
      <c r="B3" s="3001" t="s">
        <v>3795</v>
      </c>
      <c r="C3" s="3003" t="s">
        <v>3791</v>
      </c>
      <c r="D3" s="3003">
        <v>101</v>
      </c>
      <c r="E3" s="3003">
        <v>582.23</v>
      </c>
      <c r="F3" s="3003">
        <v>1</v>
      </c>
      <c r="G3" s="3003" t="s">
        <v>3141</v>
      </c>
      <c r="H3" s="3001" t="s">
        <v>3793</v>
      </c>
      <c r="I3" s="2986" t="s">
        <v>3165</v>
      </c>
      <c r="J3" s="2987">
        <v>70.760000000000005</v>
      </c>
      <c r="K3" s="2989">
        <v>4</v>
      </c>
      <c r="L3" s="2986" t="s">
        <v>3383</v>
      </c>
    </row>
    <row r="4" spans="1:12" ht="14.25">
      <c r="A4" s="3001">
        <v>2</v>
      </c>
      <c r="B4" s="3001" t="s">
        <v>3795</v>
      </c>
      <c r="C4" s="3003" t="s">
        <v>3791</v>
      </c>
      <c r="D4" s="3003">
        <v>102</v>
      </c>
      <c r="E4" s="3003">
        <v>675.05</v>
      </c>
      <c r="F4" s="3003">
        <v>1</v>
      </c>
      <c r="G4" s="3003" t="s">
        <v>3141</v>
      </c>
      <c r="H4" s="3001" t="s">
        <v>3793</v>
      </c>
      <c r="I4" s="2986" t="s">
        <v>3166</v>
      </c>
      <c r="J4" s="2987">
        <v>71.67</v>
      </c>
      <c r="K4" s="2989">
        <v>4</v>
      </c>
      <c r="L4" s="2986" t="s">
        <v>3383</v>
      </c>
    </row>
    <row r="5" spans="1:12" ht="14.25">
      <c r="A5" s="3001">
        <v>3</v>
      </c>
      <c r="B5" s="3001" t="s">
        <v>3795</v>
      </c>
      <c r="C5" s="3003" t="s">
        <v>3791</v>
      </c>
      <c r="D5" s="3003">
        <v>103</v>
      </c>
      <c r="E5" s="3003">
        <v>56.96</v>
      </c>
      <c r="F5" s="3003">
        <v>1</v>
      </c>
      <c r="G5" s="3003" t="s">
        <v>3141</v>
      </c>
      <c r="H5" s="3001" t="s">
        <v>3793</v>
      </c>
      <c r="I5" s="2986" t="s">
        <v>3167</v>
      </c>
      <c r="J5" s="2987">
        <v>31.85</v>
      </c>
      <c r="K5" s="2989">
        <v>4</v>
      </c>
      <c r="L5" s="2986" t="s">
        <v>3383</v>
      </c>
    </row>
    <row r="6" spans="1:12" ht="14.25">
      <c r="A6" s="3001">
        <v>4</v>
      </c>
      <c r="B6" s="3001" t="s">
        <v>3795</v>
      </c>
      <c r="C6" s="3003" t="s">
        <v>3791</v>
      </c>
      <c r="D6" s="3003">
        <v>104</v>
      </c>
      <c r="E6" s="3003">
        <v>310.97000000000003</v>
      </c>
      <c r="F6" s="3003">
        <v>1</v>
      </c>
      <c r="G6" s="3003" t="s">
        <v>3141</v>
      </c>
      <c r="H6" s="3001" t="s">
        <v>3793</v>
      </c>
      <c r="I6" s="2986" t="s">
        <v>3168</v>
      </c>
      <c r="J6" s="2987">
        <v>31.85</v>
      </c>
      <c r="K6" s="2989">
        <v>4</v>
      </c>
      <c r="L6" s="2986" t="s">
        <v>3383</v>
      </c>
    </row>
    <row r="7" spans="1:12" ht="14.25">
      <c r="A7" s="3001">
        <v>5</v>
      </c>
      <c r="B7" s="3001" t="s">
        <v>3795</v>
      </c>
      <c r="C7" s="3003" t="s">
        <v>3791</v>
      </c>
      <c r="D7" s="3003">
        <v>105</v>
      </c>
      <c r="E7" s="3003">
        <v>241.28</v>
      </c>
      <c r="F7" s="3003">
        <v>1</v>
      </c>
      <c r="G7" s="3003" t="s">
        <v>3141</v>
      </c>
      <c r="H7" s="3001" t="s">
        <v>3793</v>
      </c>
      <c r="I7" s="2986" t="s">
        <v>3169</v>
      </c>
      <c r="J7" s="2987">
        <v>72.38</v>
      </c>
      <c r="K7" s="2989">
        <v>4</v>
      </c>
      <c r="L7" s="2986" t="s">
        <v>3383</v>
      </c>
    </row>
    <row r="8" spans="1:12" ht="14.25">
      <c r="A8" s="3001">
        <v>6</v>
      </c>
      <c r="B8" s="3001" t="s">
        <v>3795</v>
      </c>
      <c r="C8" s="3003" t="s">
        <v>3791</v>
      </c>
      <c r="D8" s="3003">
        <v>106</v>
      </c>
      <c r="E8" s="3003">
        <v>173.13</v>
      </c>
      <c r="F8" s="3003">
        <v>1</v>
      </c>
      <c r="G8" s="3003" t="s">
        <v>3141</v>
      </c>
      <c r="H8" s="3001" t="s">
        <v>3793</v>
      </c>
      <c r="I8" s="2986" t="s">
        <v>3170</v>
      </c>
      <c r="J8" s="2987">
        <v>69.180000000000007</v>
      </c>
      <c r="K8" s="2989">
        <v>4</v>
      </c>
      <c r="L8" s="2986" t="s">
        <v>3383</v>
      </c>
    </row>
    <row r="9" spans="1:12" ht="14.25">
      <c r="A9" s="3001">
        <v>7</v>
      </c>
      <c r="B9" s="3001" t="s">
        <v>3795</v>
      </c>
      <c r="C9" s="3003" t="s">
        <v>3791</v>
      </c>
      <c r="D9" s="3003">
        <v>107</v>
      </c>
      <c r="E9" s="3003">
        <v>311.68</v>
      </c>
      <c r="F9" s="3003">
        <v>1</v>
      </c>
      <c r="G9" s="3003" t="s">
        <v>3141</v>
      </c>
      <c r="H9" s="3001" t="s">
        <v>3793</v>
      </c>
      <c r="I9" s="2986" t="s">
        <v>3171</v>
      </c>
      <c r="J9" s="2987">
        <v>77.430000000000007</v>
      </c>
      <c r="K9" s="2989">
        <v>4</v>
      </c>
      <c r="L9" s="2986" t="s">
        <v>3383</v>
      </c>
    </row>
    <row r="10" spans="1:12" ht="14.25">
      <c r="A10" s="3001">
        <v>8</v>
      </c>
      <c r="B10" s="3001" t="s">
        <v>3795</v>
      </c>
      <c r="C10" s="3003" t="s">
        <v>3791</v>
      </c>
      <c r="D10" s="3003">
        <v>108</v>
      </c>
      <c r="E10" s="3003">
        <v>254.3</v>
      </c>
      <c r="F10" s="3003">
        <v>1</v>
      </c>
      <c r="G10" s="3003" t="s">
        <v>3141</v>
      </c>
      <c r="H10" s="3001" t="s">
        <v>3793</v>
      </c>
      <c r="I10" s="2986" t="s">
        <v>3172</v>
      </c>
      <c r="J10" s="2987">
        <v>27.33</v>
      </c>
      <c r="K10" s="2989">
        <v>4</v>
      </c>
      <c r="L10" s="2986" t="s">
        <v>3383</v>
      </c>
    </row>
    <row r="11" spans="1:12" ht="14.25">
      <c r="A11" s="3001">
        <v>9</v>
      </c>
      <c r="B11" s="3001" t="s">
        <v>3795</v>
      </c>
      <c r="C11" s="3003" t="s">
        <v>3791</v>
      </c>
      <c r="D11" s="3003">
        <v>109</v>
      </c>
      <c r="E11" s="3003">
        <v>437.5</v>
      </c>
      <c r="F11" s="3003">
        <v>1</v>
      </c>
      <c r="G11" s="3003" t="s">
        <v>3141</v>
      </c>
      <c r="H11" s="3001" t="s">
        <v>3793</v>
      </c>
      <c r="I11" s="2986" t="s">
        <v>3173</v>
      </c>
      <c r="J11" s="2987">
        <v>84.44</v>
      </c>
      <c r="K11" s="2989">
        <v>5</v>
      </c>
      <c r="L11" s="2986" t="s">
        <v>3383</v>
      </c>
    </row>
    <row r="12" spans="1:12" ht="14.25">
      <c r="A12" s="3001">
        <v>10</v>
      </c>
      <c r="B12" s="3001" t="s">
        <v>3795</v>
      </c>
      <c r="C12" s="3003" t="s">
        <v>3791</v>
      </c>
      <c r="D12" s="3003">
        <v>110</v>
      </c>
      <c r="E12" s="3003">
        <v>343</v>
      </c>
      <c r="F12" s="3003">
        <v>1</v>
      </c>
      <c r="G12" s="3003" t="s">
        <v>3141</v>
      </c>
      <c r="H12" s="3001" t="s">
        <v>3793</v>
      </c>
      <c r="I12" s="2986" t="s">
        <v>3174</v>
      </c>
      <c r="J12" s="2987">
        <v>71.11</v>
      </c>
      <c r="K12" s="2989">
        <v>5</v>
      </c>
      <c r="L12" s="2986" t="s">
        <v>3383</v>
      </c>
    </row>
    <row r="13" spans="1:12" ht="14.25">
      <c r="A13" s="3001">
        <v>11</v>
      </c>
      <c r="B13" s="3001" t="s">
        <v>3795</v>
      </c>
      <c r="C13" s="3003" t="s">
        <v>3791</v>
      </c>
      <c r="D13" s="3003">
        <v>111</v>
      </c>
      <c r="E13" s="3003">
        <v>216.81</v>
      </c>
      <c r="F13" s="3003">
        <v>1</v>
      </c>
      <c r="G13" s="3003" t="s">
        <v>3141</v>
      </c>
      <c r="H13" s="3001" t="s">
        <v>3793</v>
      </c>
      <c r="I13" s="2986" t="s">
        <v>3175</v>
      </c>
      <c r="J13" s="2987">
        <v>73.02</v>
      </c>
      <c r="K13" s="2989">
        <v>5</v>
      </c>
      <c r="L13" s="2986" t="s">
        <v>3383</v>
      </c>
    </row>
    <row r="14" spans="1:12" ht="14.25">
      <c r="A14" s="3001">
        <v>12</v>
      </c>
      <c r="B14" s="3001" t="s">
        <v>3795</v>
      </c>
      <c r="C14" s="3003" t="s">
        <v>3791</v>
      </c>
      <c r="D14" s="3003">
        <v>112</v>
      </c>
      <c r="E14" s="3003">
        <v>158.56</v>
      </c>
      <c r="F14" s="3003">
        <v>1</v>
      </c>
      <c r="G14" s="3003" t="s">
        <v>3141</v>
      </c>
      <c r="H14" s="3001" t="s">
        <v>3793</v>
      </c>
      <c r="I14" s="2986" t="s">
        <v>3176</v>
      </c>
      <c r="J14" s="2987">
        <v>69</v>
      </c>
      <c r="K14" s="2989">
        <v>5</v>
      </c>
      <c r="L14" s="2986" t="s">
        <v>3383</v>
      </c>
    </row>
    <row r="15" spans="1:12" ht="14.25">
      <c r="A15" s="3001">
        <v>13</v>
      </c>
      <c r="B15" s="3001" t="s">
        <v>3795</v>
      </c>
      <c r="C15" s="3003" t="s">
        <v>3791</v>
      </c>
      <c r="D15" s="3003">
        <v>113</v>
      </c>
      <c r="E15" s="3003">
        <v>182.8</v>
      </c>
      <c r="F15" s="3003">
        <v>1</v>
      </c>
      <c r="G15" s="3003" t="s">
        <v>3141</v>
      </c>
      <c r="H15" s="3001" t="s">
        <v>3793</v>
      </c>
      <c r="I15" s="2986" t="s">
        <v>3177</v>
      </c>
      <c r="J15" s="2987">
        <v>60.05</v>
      </c>
      <c r="K15" s="2989">
        <v>5</v>
      </c>
      <c r="L15" s="2986" t="s">
        <v>3383</v>
      </c>
    </row>
    <row r="16" spans="1:12" ht="14.25">
      <c r="A16" s="3001">
        <v>14</v>
      </c>
      <c r="B16" s="3001" t="s">
        <v>3795</v>
      </c>
      <c r="C16" s="3003" t="s">
        <v>3791</v>
      </c>
      <c r="D16" s="3003">
        <v>114</v>
      </c>
      <c r="E16" s="3003">
        <v>326.14999999999998</v>
      </c>
      <c r="F16" s="3003">
        <v>1</v>
      </c>
      <c r="G16" s="3003" t="s">
        <v>3141</v>
      </c>
      <c r="H16" s="3001" t="s">
        <v>3793</v>
      </c>
      <c r="I16" s="2986" t="s">
        <v>3178</v>
      </c>
      <c r="J16" s="2987">
        <v>60.05</v>
      </c>
      <c r="K16" s="2989">
        <v>5</v>
      </c>
      <c r="L16" s="2986" t="s">
        <v>3383</v>
      </c>
    </row>
    <row r="17" spans="1:12" ht="14.25">
      <c r="A17" s="3001">
        <v>15</v>
      </c>
      <c r="B17" s="3001" t="s">
        <v>3795</v>
      </c>
      <c r="C17" s="3003" t="s">
        <v>3791</v>
      </c>
      <c r="D17" s="3003">
        <v>115</v>
      </c>
      <c r="E17" s="3003">
        <v>46.73</v>
      </c>
      <c r="F17" s="3003">
        <v>1</v>
      </c>
      <c r="G17" s="3003" t="s">
        <v>3141</v>
      </c>
      <c r="H17" s="3001" t="s">
        <v>3793</v>
      </c>
      <c r="I17" s="2986" t="s">
        <v>3179</v>
      </c>
      <c r="J17" s="2987">
        <v>60.05</v>
      </c>
      <c r="K17" s="2989">
        <v>5</v>
      </c>
      <c r="L17" s="2986" t="s">
        <v>3383</v>
      </c>
    </row>
    <row r="18" spans="1:12" ht="14.25">
      <c r="A18" s="3001">
        <v>16</v>
      </c>
      <c r="B18" s="3001" t="s">
        <v>3795</v>
      </c>
      <c r="C18" s="3003" t="s">
        <v>3791</v>
      </c>
      <c r="D18" s="3003">
        <v>203</v>
      </c>
      <c r="E18" s="3003">
        <v>455.53</v>
      </c>
      <c r="F18" s="3003">
        <v>2</v>
      </c>
      <c r="G18" s="3003" t="s">
        <v>3141</v>
      </c>
      <c r="H18" s="3001" t="s">
        <v>3793</v>
      </c>
      <c r="I18" s="2986" t="s">
        <v>3180</v>
      </c>
      <c r="J18" s="2987">
        <v>60.05</v>
      </c>
      <c r="K18" s="2989">
        <v>5</v>
      </c>
      <c r="L18" s="2986" t="s">
        <v>3383</v>
      </c>
    </row>
    <row r="19" spans="1:12" ht="14.25">
      <c r="A19" s="3001">
        <v>17</v>
      </c>
      <c r="B19" s="3001" t="s">
        <v>3795</v>
      </c>
      <c r="C19" s="3003" t="s">
        <v>3791</v>
      </c>
      <c r="D19" s="3003">
        <v>204</v>
      </c>
      <c r="E19" s="3003">
        <v>836.03</v>
      </c>
      <c r="F19" s="3003">
        <v>2</v>
      </c>
      <c r="G19" s="3003" t="s">
        <v>3141</v>
      </c>
      <c r="H19" s="3001" t="s">
        <v>3793</v>
      </c>
      <c r="I19" s="2986" t="s">
        <v>3181</v>
      </c>
      <c r="J19" s="2987">
        <v>76.900000000000006</v>
      </c>
      <c r="K19" s="2989">
        <v>5</v>
      </c>
      <c r="L19" s="2986" t="s">
        <v>3383</v>
      </c>
    </row>
    <row r="20" spans="1:12" ht="14.25">
      <c r="A20" s="3001">
        <v>18</v>
      </c>
      <c r="B20" s="3001" t="s">
        <v>3795</v>
      </c>
      <c r="C20" s="3003" t="s">
        <v>3791</v>
      </c>
      <c r="D20" s="3003">
        <v>205</v>
      </c>
      <c r="E20" s="3003">
        <v>291.98</v>
      </c>
      <c r="F20" s="3003">
        <v>2</v>
      </c>
      <c r="G20" s="3003" t="s">
        <v>3141</v>
      </c>
      <c r="H20" s="3001" t="s">
        <v>3793</v>
      </c>
      <c r="I20" s="2986" t="s">
        <v>3182</v>
      </c>
      <c r="J20" s="2987">
        <v>86.54</v>
      </c>
      <c r="K20" s="2989">
        <v>5</v>
      </c>
      <c r="L20" s="2986" t="s">
        <v>3383</v>
      </c>
    </row>
    <row r="21" spans="1:12" ht="14.25">
      <c r="A21" s="3001">
        <v>19</v>
      </c>
      <c r="B21" s="3001" t="s">
        <v>3795</v>
      </c>
      <c r="C21" s="3003" t="s">
        <v>3791</v>
      </c>
      <c r="D21" s="3003">
        <v>206</v>
      </c>
      <c r="E21" s="3003">
        <v>256.26</v>
      </c>
      <c r="F21" s="3003">
        <v>2</v>
      </c>
      <c r="G21" s="3003" t="s">
        <v>3141</v>
      </c>
      <c r="H21" s="3001" t="s">
        <v>3793</v>
      </c>
      <c r="I21" s="2986" t="s">
        <v>3183</v>
      </c>
      <c r="J21" s="2987">
        <v>75</v>
      </c>
      <c r="K21" s="2989">
        <v>5</v>
      </c>
      <c r="L21" s="2986" t="s">
        <v>3383</v>
      </c>
    </row>
    <row r="22" spans="1:12" ht="14.25">
      <c r="A22" s="3001">
        <v>20</v>
      </c>
      <c r="B22" s="3001" t="s">
        <v>3795</v>
      </c>
      <c r="C22" s="3003" t="s">
        <v>3791</v>
      </c>
      <c r="D22" s="3003">
        <v>207</v>
      </c>
      <c r="E22" s="3003">
        <v>1397.92</v>
      </c>
      <c r="F22" s="3003">
        <v>2</v>
      </c>
      <c r="G22" s="3003" t="s">
        <v>3141</v>
      </c>
      <c r="H22" s="3001" t="s">
        <v>3793</v>
      </c>
      <c r="I22" s="2986" t="s">
        <v>3184</v>
      </c>
      <c r="J22" s="2987">
        <v>95.09</v>
      </c>
      <c r="K22" s="2989">
        <v>5</v>
      </c>
      <c r="L22" s="2986" t="s">
        <v>3383</v>
      </c>
    </row>
    <row r="23" spans="1:12" ht="14.25">
      <c r="A23" s="3001">
        <v>21</v>
      </c>
      <c r="B23" s="3001" t="s">
        <v>3795</v>
      </c>
      <c r="C23" s="3003" t="s">
        <v>3791</v>
      </c>
      <c r="D23" s="3003">
        <v>208</v>
      </c>
      <c r="E23" s="3003">
        <v>780.31</v>
      </c>
      <c r="F23" s="3003">
        <v>2</v>
      </c>
      <c r="G23" s="3003" t="s">
        <v>3141</v>
      </c>
      <c r="H23" s="3001" t="s">
        <v>3793</v>
      </c>
      <c r="I23" s="2986" t="s">
        <v>3185</v>
      </c>
      <c r="J23" s="2987">
        <v>60.99</v>
      </c>
      <c r="K23" s="2989">
        <v>5</v>
      </c>
      <c r="L23" s="2986" t="s">
        <v>3383</v>
      </c>
    </row>
    <row r="24" spans="1:12" ht="14.25">
      <c r="A24" s="3001">
        <v>22</v>
      </c>
      <c r="B24" s="3001" t="s">
        <v>3795</v>
      </c>
      <c r="C24" s="3003" t="s">
        <v>3791</v>
      </c>
      <c r="D24" s="3003">
        <v>209</v>
      </c>
      <c r="E24" s="3003">
        <v>173.5</v>
      </c>
      <c r="F24" s="3003">
        <v>2</v>
      </c>
      <c r="G24" s="3003" t="s">
        <v>3141</v>
      </c>
      <c r="H24" s="3001" t="s">
        <v>3793</v>
      </c>
      <c r="I24" s="2986" t="s">
        <v>3186</v>
      </c>
      <c r="J24" s="2987">
        <v>94.33</v>
      </c>
      <c r="K24" s="2989">
        <v>5</v>
      </c>
      <c r="L24" s="2986" t="s">
        <v>3383</v>
      </c>
    </row>
    <row r="25" spans="1:12" ht="14.25">
      <c r="A25" s="3001">
        <v>23</v>
      </c>
      <c r="B25" s="3001" t="s">
        <v>3795</v>
      </c>
      <c r="C25" s="3003" t="s">
        <v>3791</v>
      </c>
      <c r="D25" s="3003">
        <v>210</v>
      </c>
      <c r="E25" s="3003">
        <v>674.41</v>
      </c>
      <c r="F25" s="3003">
        <v>2</v>
      </c>
      <c r="G25" s="3003" t="s">
        <v>3141</v>
      </c>
      <c r="H25" s="3001" t="s">
        <v>3793</v>
      </c>
      <c r="I25" s="2986" t="s">
        <v>3187</v>
      </c>
      <c r="J25" s="2987">
        <v>105.76</v>
      </c>
      <c r="K25" s="2989">
        <v>5</v>
      </c>
      <c r="L25" s="2986" t="s">
        <v>3383</v>
      </c>
    </row>
    <row r="26" spans="1:12" ht="14.25">
      <c r="A26" s="3001">
        <v>24</v>
      </c>
      <c r="B26" s="3001" t="s">
        <v>3795</v>
      </c>
      <c r="C26" s="3003" t="s">
        <v>3791</v>
      </c>
      <c r="D26" s="3003">
        <v>211</v>
      </c>
      <c r="E26" s="3003">
        <v>123.19</v>
      </c>
      <c r="F26" s="3003">
        <v>2</v>
      </c>
      <c r="G26" s="3003" t="s">
        <v>3141</v>
      </c>
      <c r="H26" s="3001" t="s">
        <v>3793</v>
      </c>
      <c r="I26" s="2986" t="s">
        <v>3188</v>
      </c>
      <c r="J26" s="2987">
        <v>84.44</v>
      </c>
      <c r="K26" s="2989">
        <v>6</v>
      </c>
      <c r="L26" s="2986" t="s">
        <v>3383</v>
      </c>
    </row>
    <row r="27" spans="1:12" ht="14.25">
      <c r="A27" s="3001">
        <v>25</v>
      </c>
      <c r="B27" s="3001" t="s">
        <v>3795</v>
      </c>
      <c r="C27" s="3003" t="s">
        <v>3791</v>
      </c>
      <c r="D27" s="3003">
        <v>301</v>
      </c>
      <c r="E27" s="3003">
        <v>72.98</v>
      </c>
      <c r="F27" s="3003">
        <v>3</v>
      </c>
      <c r="G27" s="3003" t="s">
        <v>3141</v>
      </c>
      <c r="H27" s="3001" t="s">
        <v>3793</v>
      </c>
      <c r="I27" s="2986" t="s">
        <v>3189</v>
      </c>
      <c r="J27" s="2987">
        <v>71.11</v>
      </c>
      <c r="K27" s="2989">
        <v>6</v>
      </c>
      <c r="L27" s="2986" t="s">
        <v>3383</v>
      </c>
    </row>
    <row r="28" spans="1:12" ht="14.25">
      <c r="A28" s="3001">
        <v>26</v>
      </c>
      <c r="B28" s="3001" t="s">
        <v>3795</v>
      </c>
      <c r="C28" s="3003" t="s">
        <v>3791</v>
      </c>
      <c r="D28" s="3003">
        <v>302</v>
      </c>
      <c r="E28" s="3003">
        <v>86.96</v>
      </c>
      <c r="F28" s="3003">
        <v>3</v>
      </c>
      <c r="G28" s="3003" t="s">
        <v>3141</v>
      </c>
      <c r="H28" s="3001" t="s">
        <v>3793</v>
      </c>
      <c r="I28" s="2986" t="s">
        <v>3190</v>
      </c>
      <c r="J28" s="2987">
        <v>73.02</v>
      </c>
      <c r="K28" s="2989">
        <v>6</v>
      </c>
      <c r="L28" s="2986" t="s">
        <v>3383</v>
      </c>
    </row>
    <row r="29" spans="1:12" ht="14.25">
      <c r="A29" s="3001">
        <v>27</v>
      </c>
      <c r="B29" s="3001" t="s">
        <v>3795</v>
      </c>
      <c r="C29" s="3003" t="s">
        <v>3791</v>
      </c>
      <c r="D29" s="3003">
        <v>303</v>
      </c>
      <c r="E29" s="3003">
        <v>86.96</v>
      </c>
      <c r="F29" s="3003">
        <v>3</v>
      </c>
      <c r="G29" s="3003" t="s">
        <v>3141</v>
      </c>
      <c r="H29" s="3001" t="s">
        <v>3793</v>
      </c>
      <c r="I29" s="2986" t="s">
        <v>3191</v>
      </c>
      <c r="J29" s="2987">
        <v>69</v>
      </c>
      <c r="K29" s="2989">
        <v>6</v>
      </c>
      <c r="L29" s="2986" t="s">
        <v>3383</v>
      </c>
    </row>
    <row r="30" spans="1:12" ht="14.25">
      <c r="A30" s="3001">
        <v>28</v>
      </c>
      <c r="B30" s="3001" t="s">
        <v>3795</v>
      </c>
      <c r="C30" s="3003" t="s">
        <v>3791</v>
      </c>
      <c r="D30" s="3003">
        <v>304</v>
      </c>
      <c r="E30" s="3003">
        <v>203.28</v>
      </c>
      <c r="F30" s="3003">
        <v>3</v>
      </c>
      <c r="G30" s="3003" t="s">
        <v>3141</v>
      </c>
      <c r="H30" s="3001" t="s">
        <v>3793</v>
      </c>
      <c r="I30" s="2986" t="s">
        <v>3192</v>
      </c>
      <c r="J30" s="2987">
        <v>60.05</v>
      </c>
      <c r="K30" s="2989">
        <v>6</v>
      </c>
      <c r="L30" s="2986" t="s">
        <v>3383</v>
      </c>
    </row>
    <row r="31" spans="1:12" ht="14.25">
      <c r="A31" s="3001">
        <v>29</v>
      </c>
      <c r="B31" s="3001" t="s">
        <v>3795</v>
      </c>
      <c r="C31" s="3003" t="s">
        <v>3791</v>
      </c>
      <c r="D31" s="3003">
        <v>305</v>
      </c>
      <c r="E31" s="3003">
        <v>222.88</v>
      </c>
      <c r="F31" s="3003">
        <v>3</v>
      </c>
      <c r="G31" s="3003" t="s">
        <v>3141</v>
      </c>
      <c r="H31" s="3001" t="s">
        <v>3793</v>
      </c>
      <c r="I31" s="2986" t="s">
        <v>3193</v>
      </c>
      <c r="J31" s="2987">
        <v>60.05</v>
      </c>
      <c r="K31" s="2989">
        <v>6</v>
      </c>
      <c r="L31" s="2986" t="s">
        <v>3383</v>
      </c>
    </row>
    <row r="32" spans="1:12" ht="14.25">
      <c r="A32" s="3001">
        <v>30</v>
      </c>
      <c r="B32" s="3001" t="s">
        <v>3795</v>
      </c>
      <c r="C32" s="3003" t="s">
        <v>3791</v>
      </c>
      <c r="D32" s="3003">
        <v>306</v>
      </c>
      <c r="E32" s="3003">
        <v>167.07</v>
      </c>
      <c r="F32" s="3003">
        <v>3</v>
      </c>
      <c r="G32" s="3003" t="s">
        <v>3141</v>
      </c>
      <c r="H32" s="3001" t="s">
        <v>3793</v>
      </c>
      <c r="I32" s="2986" t="s">
        <v>3194</v>
      </c>
      <c r="J32" s="2987">
        <v>60.05</v>
      </c>
      <c r="K32" s="2989">
        <v>6</v>
      </c>
      <c r="L32" s="2986" t="s">
        <v>3383</v>
      </c>
    </row>
    <row r="33" spans="1:12" ht="14.25">
      <c r="A33" s="3001">
        <v>31</v>
      </c>
      <c r="B33" s="3001" t="s">
        <v>3795</v>
      </c>
      <c r="C33" s="3003" t="s">
        <v>3791</v>
      </c>
      <c r="D33" s="3003">
        <v>307</v>
      </c>
      <c r="E33" s="3003">
        <v>80.69</v>
      </c>
      <c r="F33" s="3003">
        <v>3</v>
      </c>
      <c r="G33" s="3003" t="s">
        <v>3141</v>
      </c>
      <c r="H33" s="3001" t="s">
        <v>3793</v>
      </c>
      <c r="I33" s="2986" t="s">
        <v>3195</v>
      </c>
      <c r="J33" s="2987">
        <v>60.05</v>
      </c>
      <c r="K33" s="2989">
        <v>6</v>
      </c>
      <c r="L33" s="2986" t="s">
        <v>3383</v>
      </c>
    </row>
    <row r="34" spans="1:12" ht="14.25">
      <c r="A34" s="3001">
        <v>32</v>
      </c>
      <c r="B34" s="3001" t="s">
        <v>3795</v>
      </c>
      <c r="C34" s="3003" t="s">
        <v>3791</v>
      </c>
      <c r="D34" s="3003">
        <v>308</v>
      </c>
      <c r="E34" s="3003">
        <v>168.02</v>
      </c>
      <c r="F34" s="3003">
        <v>3</v>
      </c>
      <c r="G34" s="3003" t="s">
        <v>3141</v>
      </c>
      <c r="H34" s="3001" t="s">
        <v>3793</v>
      </c>
      <c r="I34" s="2986" t="s">
        <v>3196</v>
      </c>
      <c r="J34" s="2987">
        <v>76.900000000000006</v>
      </c>
      <c r="K34" s="2989">
        <v>6</v>
      </c>
      <c r="L34" s="2986" t="s">
        <v>3383</v>
      </c>
    </row>
    <row r="35" spans="1:12" ht="14.25">
      <c r="A35" s="3001">
        <v>33</v>
      </c>
      <c r="B35" s="3001" t="s">
        <v>3795</v>
      </c>
      <c r="C35" s="3003" t="s">
        <v>3791</v>
      </c>
      <c r="D35" s="3003">
        <v>309</v>
      </c>
      <c r="E35" s="3003">
        <v>128.16</v>
      </c>
      <c r="F35" s="3003">
        <v>3</v>
      </c>
      <c r="G35" s="3003" t="s">
        <v>3141</v>
      </c>
      <c r="H35" s="3001" t="s">
        <v>3793</v>
      </c>
      <c r="I35" s="2986" t="s">
        <v>3197</v>
      </c>
      <c r="J35" s="2987">
        <v>86.54</v>
      </c>
      <c r="K35" s="2989">
        <v>6</v>
      </c>
      <c r="L35" s="2986" t="s">
        <v>3383</v>
      </c>
    </row>
    <row r="36" spans="1:12" ht="14.25">
      <c r="A36" s="3001">
        <v>34</v>
      </c>
      <c r="B36" s="3001" t="s">
        <v>3795</v>
      </c>
      <c r="C36" s="3003" t="s">
        <v>3791</v>
      </c>
      <c r="D36" s="3003">
        <v>310</v>
      </c>
      <c r="E36" s="3003">
        <v>127.04</v>
      </c>
      <c r="F36" s="3003">
        <v>3</v>
      </c>
      <c r="G36" s="3003" t="s">
        <v>3141</v>
      </c>
      <c r="H36" s="3001" t="s">
        <v>3793</v>
      </c>
      <c r="I36" s="2986" t="s">
        <v>3198</v>
      </c>
      <c r="J36" s="2987">
        <v>75</v>
      </c>
      <c r="K36" s="2989">
        <v>6</v>
      </c>
      <c r="L36" s="2986" t="s">
        <v>3383</v>
      </c>
    </row>
    <row r="37" spans="1:12" ht="14.25">
      <c r="A37" s="3001">
        <v>35</v>
      </c>
      <c r="B37" s="3001" t="s">
        <v>3795</v>
      </c>
      <c r="C37" s="3003" t="s">
        <v>3791</v>
      </c>
      <c r="D37" s="3003">
        <v>311</v>
      </c>
      <c r="E37" s="3003">
        <v>106.64</v>
      </c>
      <c r="F37" s="3003">
        <v>3</v>
      </c>
      <c r="G37" s="3003" t="s">
        <v>3141</v>
      </c>
      <c r="H37" s="3001" t="s">
        <v>3793</v>
      </c>
      <c r="I37" s="2986" t="s">
        <v>3199</v>
      </c>
      <c r="J37" s="2987">
        <v>95.09</v>
      </c>
      <c r="K37" s="2989">
        <v>6</v>
      </c>
      <c r="L37" s="2986" t="s">
        <v>3383</v>
      </c>
    </row>
    <row r="38" spans="1:12" ht="14.25">
      <c r="A38" s="3001">
        <v>36</v>
      </c>
      <c r="B38" s="3001" t="s">
        <v>3795</v>
      </c>
      <c r="C38" s="3003" t="s">
        <v>3791</v>
      </c>
      <c r="D38" s="3003">
        <v>312</v>
      </c>
      <c r="E38" s="3003">
        <v>178.89</v>
      </c>
      <c r="F38" s="3003">
        <v>3</v>
      </c>
      <c r="G38" s="3003" t="s">
        <v>3141</v>
      </c>
      <c r="H38" s="3001" t="s">
        <v>3793</v>
      </c>
      <c r="I38" s="2986" t="s">
        <v>3200</v>
      </c>
      <c r="J38" s="2987">
        <v>60.99</v>
      </c>
      <c r="K38" s="2989">
        <v>6</v>
      </c>
      <c r="L38" s="2986" t="s">
        <v>3383</v>
      </c>
    </row>
    <row r="39" spans="1:12" ht="14.25">
      <c r="A39" s="3001">
        <v>37</v>
      </c>
      <c r="B39" s="3001" t="s">
        <v>3795</v>
      </c>
      <c r="C39" s="3003" t="s">
        <v>3791</v>
      </c>
      <c r="D39" s="3003">
        <v>313</v>
      </c>
      <c r="E39" s="3003">
        <v>200.51</v>
      </c>
      <c r="F39" s="3003">
        <v>3</v>
      </c>
      <c r="G39" s="3003" t="s">
        <v>3141</v>
      </c>
      <c r="H39" s="3001" t="s">
        <v>3793</v>
      </c>
      <c r="I39" s="2986" t="s">
        <v>3201</v>
      </c>
      <c r="J39" s="2987">
        <v>94.33</v>
      </c>
      <c r="K39" s="2989">
        <v>6</v>
      </c>
      <c r="L39" s="2986" t="s">
        <v>3383</v>
      </c>
    </row>
    <row r="40" spans="1:12" ht="14.25">
      <c r="A40" s="3001">
        <v>38</v>
      </c>
      <c r="B40" s="3001" t="s">
        <v>3795</v>
      </c>
      <c r="C40" s="3003" t="s">
        <v>3791</v>
      </c>
      <c r="D40" s="3003">
        <v>314</v>
      </c>
      <c r="E40" s="3003">
        <v>208.51</v>
      </c>
      <c r="F40" s="3003">
        <v>3</v>
      </c>
      <c r="G40" s="3003" t="s">
        <v>3141</v>
      </c>
      <c r="H40" s="3001" t="s">
        <v>3793</v>
      </c>
      <c r="I40" s="2986" t="s">
        <v>3202</v>
      </c>
      <c r="J40" s="2987">
        <v>105.76</v>
      </c>
      <c r="K40" s="2989">
        <v>6</v>
      </c>
      <c r="L40" s="2986" t="s">
        <v>3383</v>
      </c>
    </row>
    <row r="41" spans="1:12" ht="14.25">
      <c r="A41" s="3001">
        <v>39</v>
      </c>
      <c r="B41" s="3001" t="s">
        <v>3795</v>
      </c>
      <c r="C41" s="3003" t="s">
        <v>3791</v>
      </c>
      <c r="D41" s="3003">
        <v>315</v>
      </c>
      <c r="E41" s="3003">
        <v>204.72</v>
      </c>
      <c r="F41" s="3003">
        <v>3</v>
      </c>
      <c r="G41" s="3003" t="s">
        <v>3141</v>
      </c>
      <c r="H41" s="3001" t="s">
        <v>3793</v>
      </c>
      <c r="I41" s="2986" t="s">
        <v>3203</v>
      </c>
      <c r="J41" s="2987">
        <v>84.44</v>
      </c>
      <c r="K41" s="2989">
        <v>7</v>
      </c>
      <c r="L41" s="2986" t="s">
        <v>3383</v>
      </c>
    </row>
    <row r="42" spans="1:12" ht="14.25">
      <c r="A42" s="3001">
        <v>40</v>
      </c>
      <c r="B42" s="3001" t="s">
        <v>3795</v>
      </c>
      <c r="C42" s="3003" t="s">
        <v>3791</v>
      </c>
      <c r="D42" s="3003">
        <v>316</v>
      </c>
      <c r="E42" s="3003">
        <v>118.77</v>
      </c>
      <c r="F42" s="3003">
        <v>3</v>
      </c>
      <c r="G42" s="3003" t="s">
        <v>3141</v>
      </c>
      <c r="H42" s="3001" t="s">
        <v>3793</v>
      </c>
      <c r="I42" s="2986" t="s">
        <v>3204</v>
      </c>
      <c r="J42" s="2987">
        <v>71.11</v>
      </c>
      <c r="K42" s="2989">
        <v>7</v>
      </c>
      <c r="L42" s="2986" t="s">
        <v>3383</v>
      </c>
    </row>
    <row r="43" spans="1:12" ht="14.25">
      <c r="A43" s="3001">
        <v>41</v>
      </c>
      <c r="B43" s="3001" t="s">
        <v>3795</v>
      </c>
      <c r="C43" s="3003" t="s">
        <v>3791</v>
      </c>
      <c r="D43" s="3003">
        <v>317</v>
      </c>
      <c r="E43" s="3003">
        <v>135.51</v>
      </c>
      <c r="F43" s="3003">
        <v>3</v>
      </c>
      <c r="G43" s="3003" t="s">
        <v>3141</v>
      </c>
      <c r="H43" s="3001" t="s">
        <v>3793</v>
      </c>
      <c r="I43" s="2986" t="s">
        <v>3205</v>
      </c>
      <c r="J43" s="2987">
        <v>73.02</v>
      </c>
      <c r="K43" s="2989">
        <v>7</v>
      </c>
      <c r="L43" s="2986" t="s">
        <v>3383</v>
      </c>
    </row>
    <row r="44" spans="1:12" ht="14.25">
      <c r="A44" s="3001">
        <v>42</v>
      </c>
      <c r="B44" s="3001" t="s">
        <v>3795</v>
      </c>
      <c r="C44" s="3003" t="s">
        <v>3791</v>
      </c>
      <c r="D44" s="3003">
        <v>318</v>
      </c>
      <c r="E44" s="3003">
        <v>148.15</v>
      </c>
      <c r="F44" s="3003">
        <v>3</v>
      </c>
      <c r="G44" s="3003" t="s">
        <v>3141</v>
      </c>
      <c r="H44" s="3001" t="s">
        <v>3793</v>
      </c>
      <c r="I44" s="2986" t="s">
        <v>3206</v>
      </c>
      <c r="J44" s="2987">
        <v>69</v>
      </c>
      <c r="K44" s="2989">
        <v>7</v>
      </c>
      <c r="L44" s="2986" t="s">
        <v>3383</v>
      </c>
    </row>
    <row r="45" spans="1:12" ht="14.25">
      <c r="A45" s="3001">
        <v>43</v>
      </c>
      <c r="B45" s="3001" t="s">
        <v>3795</v>
      </c>
      <c r="C45" s="3003" t="s">
        <v>3791</v>
      </c>
      <c r="D45" s="3003">
        <v>319</v>
      </c>
      <c r="E45" s="3003">
        <v>258.56</v>
      </c>
      <c r="F45" s="3003">
        <v>3</v>
      </c>
      <c r="G45" s="3003" t="s">
        <v>3141</v>
      </c>
      <c r="H45" s="3001" t="s">
        <v>3793</v>
      </c>
      <c r="I45" s="2986" t="s">
        <v>3207</v>
      </c>
      <c r="J45" s="2987">
        <v>60.05</v>
      </c>
      <c r="K45" s="2989">
        <v>7</v>
      </c>
      <c r="L45" s="2986" t="s">
        <v>3383</v>
      </c>
    </row>
    <row r="46" spans="1:12" ht="14.25">
      <c r="A46" s="3001">
        <v>44</v>
      </c>
      <c r="B46" s="3001" t="s">
        <v>3795</v>
      </c>
      <c r="C46" s="3003" t="s">
        <v>3791</v>
      </c>
      <c r="D46" s="3003">
        <v>320</v>
      </c>
      <c r="E46" s="3003">
        <v>105.67</v>
      </c>
      <c r="F46" s="3003">
        <v>3</v>
      </c>
      <c r="G46" s="3003" t="s">
        <v>3141</v>
      </c>
      <c r="H46" s="3001" t="s">
        <v>3793</v>
      </c>
      <c r="I46" s="2986" t="s">
        <v>3208</v>
      </c>
      <c r="J46" s="2987">
        <v>60.05</v>
      </c>
      <c r="K46" s="2989">
        <v>7</v>
      </c>
      <c r="L46" s="2986" t="s">
        <v>3383</v>
      </c>
    </row>
    <row r="47" spans="1:12" ht="14.25">
      <c r="A47" s="3001">
        <v>45</v>
      </c>
      <c r="B47" s="3001" t="s">
        <v>3795</v>
      </c>
      <c r="C47" s="3003" t="s">
        <v>3791</v>
      </c>
      <c r="D47" s="3003">
        <v>321</v>
      </c>
      <c r="E47" s="3003">
        <v>132.22</v>
      </c>
      <c r="F47" s="3003">
        <v>3</v>
      </c>
      <c r="G47" s="3003" t="s">
        <v>3141</v>
      </c>
      <c r="H47" s="3001" t="s">
        <v>3793</v>
      </c>
      <c r="I47" s="2986" t="s">
        <v>3209</v>
      </c>
      <c r="J47" s="2987">
        <v>60.05</v>
      </c>
      <c r="K47" s="2989">
        <v>7</v>
      </c>
      <c r="L47" s="2986" t="s">
        <v>3383</v>
      </c>
    </row>
    <row r="48" spans="1:12" ht="14.25">
      <c r="A48" s="3001">
        <v>46</v>
      </c>
      <c r="B48" s="3001" t="s">
        <v>3795</v>
      </c>
      <c r="C48" s="3003" t="s">
        <v>3791</v>
      </c>
      <c r="D48" s="3003">
        <v>322</v>
      </c>
      <c r="E48" s="3003">
        <v>272.23</v>
      </c>
      <c r="F48" s="3003">
        <v>3</v>
      </c>
      <c r="G48" s="3003" t="s">
        <v>3141</v>
      </c>
      <c r="H48" s="3001" t="s">
        <v>3793</v>
      </c>
      <c r="I48" s="2986" t="s">
        <v>3210</v>
      </c>
      <c r="J48" s="2987">
        <v>60.05</v>
      </c>
      <c r="K48" s="2989">
        <v>7</v>
      </c>
      <c r="L48" s="2986" t="s">
        <v>3383</v>
      </c>
    </row>
    <row r="49" spans="1:12" ht="14.25">
      <c r="A49" s="3001">
        <v>47</v>
      </c>
      <c r="B49" s="3001" t="s">
        <v>3795</v>
      </c>
      <c r="C49" s="3003" t="s">
        <v>3791</v>
      </c>
      <c r="D49" s="3003">
        <v>323</v>
      </c>
      <c r="E49" s="3003">
        <v>187.33</v>
      </c>
      <c r="F49" s="3003">
        <v>3</v>
      </c>
      <c r="G49" s="3003" t="s">
        <v>3141</v>
      </c>
      <c r="H49" s="3001" t="s">
        <v>3793</v>
      </c>
      <c r="I49" s="2986" t="s">
        <v>3211</v>
      </c>
      <c r="J49" s="2987">
        <v>76.900000000000006</v>
      </c>
      <c r="K49" s="2989">
        <v>7</v>
      </c>
      <c r="L49" s="2986" t="s">
        <v>3383</v>
      </c>
    </row>
    <row r="50" spans="1:12" ht="14.25">
      <c r="A50" s="3001">
        <v>48</v>
      </c>
      <c r="B50" s="3001" t="s">
        <v>3795</v>
      </c>
      <c r="C50" s="3003" t="s">
        <v>3791</v>
      </c>
      <c r="D50" s="3003">
        <v>324</v>
      </c>
      <c r="E50" s="3003">
        <v>125.1</v>
      </c>
      <c r="F50" s="3003">
        <v>3</v>
      </c>
      <c r="G50" s="3003" t="s">
        <v>3141</v>
      </c>
      <c r="H50" s="3001" t="s">
        <v>3793</v>
      </c>
      <c r="I50" s="2986" t="s">
        <v>3212</v>
      </c>
      <c r="J50" s="2987">
        <v>86.54</v>
      </c>
      <c r="K50" s="2989">
        <v>7</v>
      </c>
      <c r="L50" s="2986" t="s">
        <v>3383</v>
      </c>
    </row>
    <row r="51" spans="1:12" ht="14.25">
      <c r="A51" s="3001">
        <v>49</v>
      </c>
      <c r="B51" s="3001" t="s">
        <v>3795</v>
      </c>
      <c r="C51" s="3003" t="s">
        <v>3791</v>
      </c>
      <c r="D51" s="3003">
        <v>325</v>
      </c>
      <c r="E51" s="3003">
        <v>234.73</v>
      </c>
      <c r="F51" s="3003">
        <v>3</v>
      </c>
      <c r="G51" s="3003" t="s">
        <v>3141</v>
      </c>
      <c r="H51" s="3001" t="s">
        <v>3793</v>
      </c>
      <c r="I51" s="2986" t="s">
        <v>3213</v>
      </c>
      <c r="J51" s="2987">
        <v>75</v>
      </c>
      <c r="K51" s="2989">
        <v>7</v>
      </c>
      <c r="L51" s="2986" t="s">
        <v>3383</v>
      </c>
    </row>
    <row r="52" spans="1:12" ht="14.25">
      <c r="A52" s="3001">
        <v>50</v>
      </c>
      <c r="B52" s="3001" t="s">
        <v>3795</v>
      </c>
      <c r="C52" s="3003" t="s">
        <v>3791</v>
      </c>
      <c r="D52" s="3003">
        <v>326</v>
      </c>
      <c r="E52" s="3003">
        <v>325.10000000000002</v>
      </c>
      <c r="F52" s="3003">
        <v>3</v>
      </c>
      <c r="G52" s="3003" t="s">
        <v>3141</v>
      </c>
      <c r="H52" s="3001" t="s">
        <v>3793</v>
      </c>
      <c r="I52" s="2986" t="s">
        <v>3214</v>
      </c>
      <c r="J52" s="2987">
        <v>95.09</v>
      </c>
      <c r="K52" s="2989">
        <v>7</v>
      </c>
      <c r="L52" s="2986" t="s">
        <v>3383</v>
      </c>
    </row>
    <row r="53" spans="1:12" ht="14.25">
      <c r="A53" s="3001">
        <v>51</v>
      </c>
      <c r="B53" s="3001" t="s">
        <v>3795</v>
      </c>
      <c r="C53" s="3003" t="s">
        <v>3791</v>
      </c>
      <c r="D53" s="3003">
        <v>327</v>
      </c>
      <c r="E53" s="3003">
        <v>186.62</v>
      </c>
      <c r="F53" s="3003">
        <v>3</v>
      </c>
      <c r="G53" s="3003" t="s">
        <v>3141</v>
      </c>
      <c r="H53" s="3001" t="s">
        <v>3793</v>
      </c>
      <c r="I53" s="2986" t="s">
        <v>3215</v>
      </c>
      <c r="J53" s="2987">
        <v>60.99</v>
      </c>
      <c r="K53" s="2989">
        <v>7</v>
      </c>
      <c r="L53" s="2986" t="s">
        <v>3383</v>
      </c>
    </row>
    <row r="54" spans="1:12" ht="14.25">
      <c r="A54" s="3001">
        <v>52</v>
      </c>
      <c r="B54" s="3001" t="s">
        <v>3795</v>
      </c>
      <c r="C54" s="3003" t="s">
        <v>3791</v>
      </c>
      <c r="D54" s="3003">
        <v>328</v>
      </c>
      <c r="E54" s="3003">
        <v>109.68</v>
      </c>
      <c r="F54" s="3003">
        <v>3</v>
      </c>
      <c r="G54" s="3003" t="s">
        <v>3141</v>
      </c>
      <c r="H54" s="3001" t="s">
        <v>3793</v>
      </c>
      <c r="I54" s="2986" t="s">
        <v>3216</v>
      </c>
      <c r="J54" s="2987">
        <v>94.33</v>
      </c>
      <c r="K54" s="2989">
        <v>7</v>
      </c>
      <c r="L54" s="2986" t="s">
        <v>3383</v>
      </c>
    </row>
    <row r="55" spans="1:12" ht="14.25">
      <c r="A55" s="3001">
        <v>53</v>
      </c>
      <c r="B55" s="3001" t="s">
        <v>3795</v>
      </c>
      <c r="C55" s="3003" t="s">
        <v>3791</v>
      </c>
      <c r="D55" s="3003">
        <v>329</v>
      </c>
      <c r="E55" s="3003">
        <v>79.28</v>
      </c>
      <c r="F55" s="3003">
        <v>3</v>
      </c>
      <c r="G55" s="3003" t="s">
        <v>3141</v>
      </c>
      <c r="H55" s="3001" t="s">
        <v>3793</v>
      </c>
      <c r="I55" s="2986" t="s">
        <v>3217</v>
      </c>
      <c r="J55" s="2987">
        <v>105.76</v>
      </c>
      <c r="K55" s="2989">
        <v>7</v>
      </c>
      <c r="L55" s="2986" t="s">
        <v>3383</v>
      </c>
    </row>
    <row r="56" spans="1:12" ht="14.25">
      <c r="A56" s="3001">
        <v>54</v>
      </c>
      <c r="B56" s="3001" t="s">
        <v>3795</v>
      </c>
      <c r="C56" s="3001" t="s">
        <v>3791</v>
      </c>
      <c r="D56" s="3004" t="s">
        <v>3796</v>
      </c>
      <c r="E56" s="3004">
        <v>106.79</v>
      </c>
      <c r="F56" s="3004">
        <v>4</v>
      </c>
      <c r="G56" s="3004" t="s">
        <v>3383</v>
      </c>
      <c r="H56" s="3001" t="s">
        <v>3793</v>
      </c>
      <c r="I56" s="2986" t="s">
        <v>3218</v>
      </c>
      <c r="J56" s="2987">
        <v>84.44</v>
      </c>
      <c r="K56" s="2989">
        <v>8</v>
      </c>
      <c r="L56" s="2986" t="s">
        <v>3383</v>
      </c>
    </row>
    <row r="57" spans="1:12" ht="14.25">
      <c r="A57" s="3001">
        <v>55</v>
      </c>
      <c r="B57" s="3001" t="s">
        <v>3795</v>
      </c>
      <c r="C57" s="3001" t="s">
        <v>3791</v>
      </c>
      <c r="D57" s="3004" t="s">
        <v>3797</v>
      </c>
      <c r="E57" s="3004">
        <v>105.41</v>
      </c>
      <c r="F57" s="3004">
        <v>4</v>
      </c>
      <c r="G57" s="3004" t="s">
        <v>3383</v>
      </c>
      <c r="H57" s="3001" t="s">
        <v>3793</v>
      </c>
      <c r="I57" s="2986" t="s">
        <v>3219</v>
      </c>
      <c r="J57" s="2987">
        <v>71.11</v>
      </c>
      <c r="K57" s="2989">
        <v>8</v>
      </c>
      <c r="L57" s="2986" t="s">
        <v>3383</v>
      </c>
    </row>
    <row r="58" spans="1:12" ht="14.25">
      <c r="A58" s="3001">
        <v>56</v>
      </c>
      <c r="B58" s="3001" t="s">
        <v>3795</v>
      </c>
      <c r="C58" s="3001" t="s">
        <v>3791</v>
      </c>
      <c r="D58" s="3004" t="s">
        <v>3798</v>
      </c>
      <c r="E58" s="3004">
        <v>49.27</v>
      </c>
      <c r="F58" s="3004">
        <v>4</v>
      </c>
      <c r="G58" s="3004" t="s">
        <v>3383</v>
      </c>
      <c r="H58" s="3001" t="s">
        <v>3793</v>
      </c>
      <c r="I58" s="2986" t="s">
        <v>3220</v>
      </c>
      <c r="J58" s="2987">
        <v>73.02</v>
      </c>
      <c r="K58" s="2989">
        <v>8</v>
      </c>
      <c r="L58" s="2986" t="s">
        <v>3383</v>
      </c>
    </row>
    <row r="59" spans="1:12" ht="14.25">
      <c r="A59" s="3001">
        <v>57</v>
      </c>
      <c r="B59" s="3001" t="s">
        <v>3795</v>
      </c>
      <c r="C59" s="3001" t="s">
        <v>3791</v>
      </c>
      <c r="D59" s="3004" t="s">
        <v>3799</v>
      </c>
      <c r="E59" s="3004">
        <v>105.41</v>
      </c>
      <c r="F59" s="3004">
        <v>4</v>
      </c>
      <c r="G59" s="3004" t="s">
        <v>3383</v>
      </c>
      <c r="H59" s="3001" t="s">
        <v>3793</v>
      </c>
      <c r="I59" s="2986" t="s">
        <v>3221</v>
      </c>
      <c r="J59" s="2987">
        <v>69</v>
      </c>
      <c r="K59" s="2989">
        <v>8</v>
      </c>
      <c r="L59" s="2986" t="s">
        <v>3383</v>
      </c>
    </row>
    <row r="60" spans="1:12" ht="14.25">
      <c r="A60" s="3001">
        <v>58</v>
      </c>
      <c r="B60" s="3001" t="s">
        <v>3795</v>
      </c>
      <c r="C60" s="3001" t="s">
        <v>3791</v>
      </c>
      <c r="D60" s="3004" t="s">
        <v>3800</v>
      </c>
      <c r="E60" s="3004">
        <v>96.37</v>
      </c>
      <c r="F60" s="3004">
        <v>4</v>
      </c>
      <c r="G60" s="3004" t="s">
        <v>3383</v>
      </c>
      <c r="H60" s="3001" t="s">
        <v>3793</v>
      </c>
      <c r="I60" s="2986" t="s">
        <v>3222</v>
      </c>
      <c r="J60" s="2987">
        <v>60.05</v>
      </c>
      <c r="K60" s="2989">
        <v>8</v>
      </c>
      <c r="L60" s="2986" t="s">
        <v>3383</v>
      </c>
    </row>
    <row r="61" spans="1:12" ht="14.25">
      <c r="A61" s="3001">
        <v>59</v>
      </c>
      <c r="B61" s="3001" t="s">
        <v>3795</v>
      </c>
      <c r="C61" s="3001" t="s">
        <v>3791</v>
      </c>
      <c r="D61" s="3004" t="s">
        <v>3801</v>
      </c>
      <c r="E61" s="3004">
        <v>73.66</v>
      </c>
      <c r="F61" s="3004">
        <v>4</v>
      </c>
      <c r="G61" s="3004" t="s">
        <v>3383</v>
      </c>
      <c r="H61" s="3001" t="s">
        <v>3793</v>
      </c>
      <c r="I61" s="2986" t="s">
        <v>3223</v>
      </c>
      <c r="J61" s="2987">
        <v>60.05</v>
      </c>
      <c r="K61" s="2989">
        <v>8</v>
      </c>
      <c r="L61" s="2986" t="s">
        <v>3383</v>
      </c>
    </row>
    <row r="62" spans="1:12" ht="14.25">
      <c r="A62" s="3001">
        <v>60</v>
      </c>
      <c r="B62" s="3001" t="s">
        <v>3795</v>
      </c>
      <c r="C62" s="3001" t="s">
        <v>3791</v>
      </c>
      <c r="D62" s="3004" t="s">
        <v>3802</v>
      </c>
      <c r="E62" s="3004">
        <v>91.12</v>
      </c>
      <c r="F62" s="3004">
        <v>4</v>
      </c>
      <c r="G62" s="3004" t="s">
        <v>3383</v>
      </c>
      <c r="H62" s="3001" t="s">
        <v>3793</v>
      </c>
      <c r="I62" s="2986" t="s">
        <v>3224</v>
      </c>
      <c r="J62" s="2987">
        <v>60.05</v>
      </c>
      <c r="K62" s="2989">
        <v>8</v>
      </c>
      <c r="L62" s="2986" t="s">
        <v>3383</v>
      </c>
    </row>
    <row r="63" spans="1:12" ht="14.25">
      <c r="A63" s="3001">
        <v>61</v>
      </c>
      <c r="B63" s="3001" t="s">
        <v>3795</v>
      </c>
      <c r="C63" s="3001" t="s">
        <v>3791</v>
      </c>
      <c r="D63" s="3004" t="s">
        <v>3803</v>
      </c>
      <c r="E63" s="3004">
        <v>106.21</v>
      </c>
      <c r="F63" s="3004">
        <v>4</v>
      </c>
      <c r="G63" s="3004" t="s">
        <v>3383</v>
      </c>
      <c r="H63" s="3001" t="s">
        <v>3793</v>
      </c>
      <c r="I63" s="2986" t="s">
        <v>3225</v>
      </c>
      <c r="J63" s="2987">
        <v>60.05</v>
      </c>
      <c r="K63" s="2989">
        <v>8</v>
      </c>
      <c r="L63" s="2986" t="s">
        <v>3383</v>
      </c>
    </row>
    <row r="64" spans="1:12" ht="14.25">
      <c r="A64" s="3001">
        <v>62</v>
      </c>
      <c r="B64" s="3001" t="s">
        <v>3795</v>
      </c>
      <c r="C64" s="3001" t="s">
        <v>3791</v>
      </c>
      <c r="D64" s="3004" t="s">
        <v>3804</v>
      </c>
      <c r="E64" s="3004">
        <v>121.12</v>
      </c>
      <c r="F64" s="3004">
        <v>4</v>
      </c>
      <c r="G64" s="3004" t="s">
        <v>3383</v>
      </c>
      <c r="H64" s="3001" t="s">
        <v>3793</v>
      </c>
      <c r="I64" s="2986" t="s">
        <v>3226</v>
      </c>
      <c r="J64" s="2987">
        <v>76.900000000000006</v>
      </c>
      <c r="K64" s="2989">
        <v>8</v>
      </c>
      <c r="L64" s="2986" t="s">
        <v>3383</v>
      </c>
    </row>
    <row r="65" spans="1:12" ht="14.25">
      <c r="A65" s="3001">
        <v>63</v>
      </c>
      <c r="B65" s="3001" t="s">
        <v>3795</v>
      </c>
      <c r="C65" s="3001" t="s">
        <v>3791</v>
      </c>
      <c r="D65" s="3004" t="s">
        <v>3805</v>
      </c>
      <c r="E65" s="3004">
        <v>86.19</v>
      </c>
      <c r="F65" s="3004">
        <v>4</v>
      </c>
      <c r="G65" s="3004" t="s">
        <v>3383</v>
      </c>
      <c r="H65" s="3001" t="s">
        <v>3793</v>
      </c>
      <c r="I65" s="2986" t="s">
        <v>3227</v>
      </c>
      <c r="J65" s="2987">
        <v>86.54</v>
      </c>
      <c r="K65" s="2989">
        <v>8</v>
      </c>
      <c r="L65" s="2986" t="s">
        <v>3383</v>
      </c>
    </row>
    <row r="66" spans="1:12" ht="14.25">
      <c r="A66" s="3001">
        <v>64</v>
      </c>
      <c r="B66" s="3001" t="s">
        <v>3795</v>
      </c>
      <c r="C66" s="3001" t="s">
        <v>3791</v>
      </c>
      <c r="D66" s="3004" t="s">
        <v>3806</v>
      </c>
      <c r="E66" s="3004">
        <v>148.59</v>
      </c>
      <c r="F66" s="3004">
        <v>4</v>
      </c>
      <c r="G66" s="3004" t="s">
        <v>3383</v>
      </c>
      <c r="H66" s="3001" t="s">
        <v>3793</v>
      </c>
      <c r="I66" s="2986" t="s">
        <v>3228</v>
      </c>
      <c r="J66" s="2987">
        <v>75</v>
      </c>
      <c r="K66" s="2989">
        <v>8</v>
      </c>
      <c r="L66" s="2986" t="s">
        <v>3383</v>
      </c>
    </row>
    <row r="67" spans="1:12" ht="14.25">
      <c r="A67" s="3001">
        <v>65</v>
      </c>
      <c r="B67" s="3001" t="s">
        <v>3795</v>
      </c>
      <c r="C67" s="3001" t="s">
        <v>3791</v>
      </c>
      <c r="D67" s="3004" t="s">
        <v>3807</v>
      </c>
      <c r="E67" s="3004">
        <v>57.15</v>
      </c>
      <c r="F67" s="3004">
        <v>4</v>
      </c>
      <c r="G67" s="3004" t="s">
        <v>3383</v>
      </c>
      <c r="H67" s="3001" t="s">
        <v>3793</v>
      </c>
      <c r="I67" s="2986" t="s">
        <v>3229</v>
      </c>
      <c r="J67" s="2987">
        <v>95.09</v>
      </c>
      <c r="K67" s="2989">
        <v>8</v>
      </c>
      <c r="L67" s="2986" t="s">
        <v>3383</v>
      </c>
    </row>
    <row r="68" spans="1:12" ht="14.25">
      <c r="A68" s="3001">
        <v>66</v>
      </c>
      <c r="B68" s="3001" t="s">
        <v>3795</v>
      </c>
      <c r="C68" s="3001" t="s">
        <v>3791</v>
      </c>
      <c r="D68" s="3004" t="s">
        <v>3808</v>
      </c>
      <c r="E68" s="3004">
        <v>58.52</v>
      </c>
      <c r="F68" s="3004">
        <v>4</v>
      </c>
      <c r="G68" s="3004" t="s">
        <v>3383</v>
      </c>
      <c r="H68" s="3001" t="s">
        <v>3793</v>
      </c>
      <c r="I68" s="2986" t="s">
        <v>3230</v>
      </c>
      <c r="J68" s="2987">
        <v>60.99</v>
      </c>
      <c r="K68" s="2989">
        <v>8</v>
      </c>
      <c r="L68" s="2986" t="s">
        <v>3383</v>
      </c>
    </row>
    <row r="69" spans="1:12" ht="14.25">
      <c r="A69" s="3001">
        <v>67</v>
      </c>
      <c r="B69" s="3001" t="s">
        <v>3795</v>
      </c>
      <c r="C69" s="3001" t="s">
        <v>3791</v>
      </c>
      <c r="D69" s="3004" t="s">
        <v>3809</v>
      </c>
      <c r="E69" s="3004">
        <v>139.69</v>
      </c>
      <c r="F69" s="3004">
        <v>4</v>
      </c>
      <c r="G69" s="3004" t="s">
        <v>3383</v>
      </c>
      <c r="H69" s="3001" t="s">
        <v>3793</v>
      </c>
      <c r="I69" s="2986" t="s">
        <v>3231</v>
      </c>
      <c r="J69" s="2987">
        <v>94.33</v>
      </c>
      <c r="K69" s="2989">
        <v>8</v>
      </c>
      <c r="L69" s="2986" t="s">
        <v>3383</v>
      </c>
    </row>
    <row r="70" spans="1:12" ht="14.25">
      <c r="A70" s="3001">
        <v>68</v>
      </c>
      <c r="B70" s="3001" t="s">
        <v>3795</v>
      </c>
      <c r="C70" s="3001" t="s">
        <v>3791</v>
      </c>
      <c r="D70" s="3004" t="s">
        <v>3810</v>
      </c>
      <c r="E70" s="3004">
        <v>91.55</v>
      </c>
      <c r="F70" s="3004">
        <v>4</v>
      </c>
      <c r="G70" s="3004" t="s">
        <v>3383</v>
      </c>
      <c r="H70" s="3001" t="s">
        <v>3793</v>
      </c>
      <c r="I70" s="2986" t="s">
        <v>3232</v>
      </c>
      <c r="J70" s="2987">
        <v>105.76</v>
      </c>
      <c r="K70" s="2989">
        <v>8</v>
      </c>
      <c r="L70" s="2986" t="s">
        <v>3383</v>
      </c>
    </row>
    <row r="71" spans="1:12" ht="14.25">
      <c r="A71" s="3001">
        <v>69</v>
      </c>
      <c r="B71" s="3001" t="s">
        <v>3795</v>
      </c>
      <c r="C71" s="3001" t="s">
        <v>3791</v>
      </c>
      <c r="D71" s="3004" t="s">
        <v>3143</v>
      </c>
      <c r="E71" s="3004">
        <v>94.09</v>
      </c>
      <c r="F71" s="3004">
        <v>5</v>
      </c>
      <c r="G71" s="3004" t="s">
        <v>3383</v>
      </c>
      <c r="H71" s="3001" t="s">
        <v>3793</v>
      </c>
      <c r="I71" s="2986" t="s">
        <v>3233</v>
      </c>
      <c r="J71" s="2987">
        <v>84.44</v>
      </c>
      <c r="K71" s="2989">
        <v>9</v>
      </c>
      <c r="L71" s="2986" t="s">
        <v>3383</v>
      </c>
    </row>
    <row r="72" spans="1:12" ht="14.25">
      <c r="A72" s="3001">
        <v>70</v>
      </c>
      <c r="B72" s="3001" t="s">
        <v>3795</v>
      </c>
      <c r="C72" s="3001" t="s">
        <v>3791</v>
      </c>
      <c r="D72" s="3004" t="s">
        <v>3144</v>
      </c>
      <c r="E72" s="3004">
        <v>76.27</v>
      </c>
      <c r="F72" s="3004">
        <v>5</v>
      </c>
      <c r="G72" s="3004" t="s">
        <v>3383</v>
      </c>
      <c r="H72" s="3001" t="s">
        <v>3793</v>
      </c>
      <c r="I72" s="2986" t="s">
        <v>3234</v>
      </c>
      <c r="J72" s="2987">
        <v>71.11</v>
      </c>
      <c r="K72" s="2989">
        <v>9</v>
      </c>
      <c r="L72" s="2986" t="s">
        <v>3383</v>
      </c>
    </row>
    <row r="73" spans="1:12" ht="14.25">
      <c r="A73" s="3001">
        <v>71</v>
      </c>
      <c r="B73" s="3001" t="s">
        <v>3795</v>
      </c>
      <c r="C73" s="3001" t="s">
        <v>3791</v>
      </c>
      <c r="D73" s="3004" t="s">
        <v>3145</v>
      </c>
      <c r="E73" s="3004">
        <v>75.760000000000005</v>
      </c>
      <c r="F73" s="3004">
        <v>5</v>
      </c>
      <c r="G73" s="3004" t="s">
        <v>3383</v>
      </c>
      <c r="H73" s="3001" t="s">
        <v>3793</v>
      </c>
      <c r="I73" s="2986" t="s">
        <v>3235</v>
      </c>
      <c r="J73" s="2987">
        <v>73.02</v>
      </c>
      <c r="K73" s="2989">
        <v>9</v>
      </c>
      <c r="L73" s="2986" t="s">
        <v>3383</v>
      </c>
    </row>
    <row r="74" spans="1:12" ht="14.25">
      <c r="A74" s="3001">
        <v>72</v>
      </c>
      <c r="B74" s="3001" t="s">
        <v>3795</v>
      </c>
      <c r="C74" s="3001" t="s">
        <v>3791</v>
      </c>
      <c r="D74" s="3004" t="s">
        <v>3146</v>
      </c>
      <c r="E74" s="3004">
        <v>89.95</v>
      </c>
      <c r="F74" s="3004">
        <v>5</v>
      </c>
      <c r="G74" s="3004" t="s">
        <v>3383</v>
      </c>
      <c r="H74" s="3001" t="s">
        <v>3793</v>
      </c>
      <c r="I74" s="2986" t="s">
        <v>3236</v>
      </c>
      <c r="J74" s="2987">
        <v>69</v>
      </c>
      <c r="K74" s="2989">
        <v>9</v>
      </c>
      <c r="L74" s="2986" t="s">
        <v>3383</v>
      </c>
    </row>
    <row r="75" spans="1:12" ht="14.25">
      <c r="A75" s="3001">
        <v>73</v>
      </c>
      <c r="B75" s="3001" t="s">
        <v>3795</v>
      </c>
      <c r="C75" s="3001" t="s">
        <v>3791</v>
      </c>
      <c r="D75" s="3004" t="s">
        <v>3147</v>
      </c>
      <c r="E75" s="3004">
        <v>99.07</v>
      </c>
      <c r="F75" s="3004">
        <v>5</v>
      </c>
      <c r="G75" s="3004" t="s">
        <v>3383</v>
      </c>
      <c r="H75" s="3001" t="s">
        <v>3793</v>
      </c>
      <c r="I75" s="2986" t="s">
        <v>3237</v>
      </c>
      <c r="J75" s="2987">
        <v>60.05</v>
      </c>
      <c r="K75" s="2989">
        <v>9</v>
      </c>
      <c r="L75" s="2986" t="s">
        <v>3383</v>
      </c>
    </row>
    <row r="76" spans="1:12" ht="14.25">
      <c r="A76" s="3001">
        <v>74</v>
      </c>
      <c r="B76" s="3001" t="s">
        <v>3795</v>
      </c>
      <c r="C76" s="3001" t="s">
        <v>3791</v>
      </c>
      <c r="D76" s="3004" t="s">
        <v>3148</v>
      </c>
      <c r="E76" s="3004">
        <v>72.89</v>
      </c>
      <c r="F76" s="3004">
        <v>5</v>
      </c>
      <c r="G76" s="3004" t="s">
        <v>3383</v>
      </c>
      <c r="H76" s="3001" t="s">
        <v>3793</v>
      </c>
      <c r="I76" s="2986" t="s">
        <v>3238</v>
      </c>
      <c r="J76" s="2987">
        <v>60.05</v>
      </c>
      <c r="K76" s="2989">
        <v>9</v>
      </c>
      <c r="L76" s="2986" t="s">
        <v>3383</v>
      </c>
    </row>
    <row r="77" spans="1:12" ht="14.25">
      <c r="A77" s="3001">
        <v>75</v>
      </c>
      <c r="B77" s="3001" t="s">
        <v>3795</v>
      </c>
      <c r="C77" s="3001" t="s">
        <v>3791</v>
      </c>
      <c r="D77" s="3004" t="s">
        <v>3149</v>
      </c>
      <c r="E77" s="3004">
        <v>81.849999999999994</v>
      </c>
      <c r="F77" s="3004">
        <v>5</v>
      </c>
      <c r="G77" s="3004" t="s">
        <v>3383</v>
      </c>
      <c r="H77" s="3001" t="s">
        <v>3793</v>
      </c>
      <c r="I77" s="2986" t="s">
        <v>3239</v>
      </c>
      <c r="J77" s="2987">
        <v>60.05</v>
      </c>
      <c r="K77" s="2989">
        <v>9</v>
      </c>
      <c r="L77" s="2986" t="s">
        <v>3383</v>
      </c>
    </row>
    <row r="78" spans="1:12" ht="14.25">
      <c r="A78" s="3001">
        <v>76</v>
      </c>
      <c r="B78" s="3001" t="s">
        <v>3795</v>
      </c>
      <c r="C78" s="3001" t="s">
        <v>3791</v>
      </c>
      <c r="D78" s="3004" t="s">
        <v>3150</v>
      </c>
      <c r="E78" s="3004">
        <v>68.75</v>
      </c>
      <c r="F78" s="3004">
        <v>5</v>
      </c>
      <c r="G78" s="3004" t="s">
        <v>3383</v>
      </c>
      <c r="H78" s="3001" t="s">
        <v>3793</v>
      </c>
      <c r="I78" s="2986" t="s">
        <v>3240</v>
      </c>
      <c r="J78" s="2987">
        <v>60.05</v>
      </c>
      <c r="K78" s="2989">
        <v>9</v>
      </c>
      <c r="L78" s="2986" t="s">
        <v>3383</v>
      </c>
    </row>
    <row r="79" spans="1:12" ht="14.25">
      <c r="A79" s="3001">
        <v>77</v>
      </c>
      <c r="B79" s="3001" t="s">
        <v>3795</v>
      </c>
      <c r="C79" s="3001" t="s">
        <v>3791</v>
      </c>
      <c r="D79" s="3004" t="s">
        <v>3151</v>
      </c>
      <c r="E79" s="3004">
        <v>69.97</v>
      </c>
      <c r="F79" s="3004">
        <v>5</v>
      </c>
      <c r="G79" s="3004" t="s">
        <v>3383</v>
      </c>
      <c r="H79" s="3001" t="s">
        <v>3793</v>
      </c>
      <c r="I79" s="2986" t="s">
        <v>3241</v>
      </c>
      <c r="J79" s="2987">
        <v>76.900000000000006</v>
      </c>
      <c r="K79" s="2989">
        <v>9</v>
      </c>
      <c r="L79" s="2986" t="s">
        <v>3383</v>
      </c>
    </row>
    <row r="80" spans="1:12" ht="14.25">
      <c r="A80" s="3001">
        <v>78</v>
      </c>
      <c r="B80" s="3001" t="s">
        <v>3795</v>
      </c>
      <c r="C80" s="3001" t="s">
        <v>3791</v>
      </c>
      <c r="D80" s="3004" t="s">
        <v>3152</v>
      </c>
      <c r="E80" s="3004">
        <v>107.5</v>
      </c>
      <c r="F80" s="3004">
        <v>5</v>
      </c>
      <c r="G80" s="3004" t="s">
        <v>3383</v>
      </c>
      <c r="H80" s="3001" t="s">
        <v>3793</v>
      </c>
      <c r="I80" s="2986" t="s">
        <v>3242</v>
      </c>
      <c r="J80" s="2987">
        <v>86.54</v>
      </c>
      <c r="K80" s="2989">
        <v>9</v>
      </c>
      <c r="L80" s="2986" t="s">
        <v>3383</v>
      </c>
    </row>
    <row r="81" spans="1:12" ht="14.25">
      <c r="A81" s="3001">
        <v>79</v>
      </c>
      <c r="B81" s="3001" t="s">
        <v>3795</v>
      </c>
      <c r="C81" s="3001" t="s">
        <v>3791</v>
      </c>
      <c r="D81" s="3004" t="s">
        <v>3153</v>
      </c>
      <c r="E81" s="3004">
        <v>73.87</v>
      </c>
      <c r="F81" s="3004">
        <v>5</v>
      </c>
      <c r="G81" s="3004" t="s">
        <v>3383</v>
      </c>
      <c r="H81" s="3001" t="s">
        <v>3793</v>
      </c>
      <c r="I81" s="2986" t="s">
        <v>3243</v>
      </c>
      <c r="J81" s="2987">
        <v>75</v>
      </c>
      <c r="K81" s="2989">
        <v>9</v>
      </c>
      <c r="L81" s="2986" t="s">
        <v>3383</v>
      </c>
    </row>
    <row r="82" spans="1:12" ht="14.25">
      <c r="A82" s="3001">
        <v>80</v>
      </c>
      <c r="B82" s="3001" t="s">
        <v>3795</v>
      </c>
      <c r="C82" s="3001" t="s">
        <v>3791</v>
      </c>
      <c r="D82" s="3004" t="s">
        <v>3154</v>
      </c>
      <c r="E82" s="3004">
        <v>115.57</v>
      </c>
      <c r="F82" s="3004">
        <v>5</v>
      </c>
      <c r="G82" s="3004" t="s">
        <v>3383</v>
      </c>
      <c r="H82" s="3001" t="s">
        <v>3793</v>
      </c>
      <c r="I82" s="2986" t="s">
        <v>3244</v>
      </c>
      <c r="J82" s="2987">
        <v>95.09</v>
      </c>
      <c r="K82" s="2989">
        <v>9</v>
      </c>
      <c r="L82" s="2986" t="s">
        <v>3383</v>
      </c>
    </row>
    <row r="83" spans="1:12" ht="14.25">
      <c r="A83" s="3001">
        <v>81</v>
      </c>
      <c r="B83" s="3001" t="s">
        <v>3795</v>
      </c>
      <c r="C83" s="3001" t="s">
        <v>3791</v>
      </c>
      <c r="D83" s="3004" t="s">
        <v>3155</v>
      </c>
      <c r="E83" s="3004">
        <v>83.27</v>
      </c>
      <c r="F83" s="3004">
        <v>5</v>
      </c>
      <c r="G83" s="3004" t="s">
        <v>3383</v>
      </c>
      <c r="H83" s="3001" t="s">
        <v>3793</v>
      </c>
      <c r="I83" s="2986" t="s">
        <v>3245</v>
      </c>
      <c r="J83" s="2987">
        <v>60.99</v>
      </c>
      <c r="K83" s="2989">
        <v>9</v>
      </c>
      <c r="L83" s="2986" t="s">
        <v>3383</v>
      </c>
    </row>
    <row r="84" spans="1:12" ht="14.25">
      <c r="A84" s="3001">
        <v>82</v>
      </c>
      <c r="B84" s="3001" t="s">
        <v>3795</v>
      </c>
      <c r="C84" s="3001" t="s">
        <v>3791</v>
      </c>
      <c r="D84" s="3004" t="s">
        <v>3156</v>
      </c>
      <c r="E84" s="3004">
        <v>83.27</v>
      </c>
      <c r="F84" s="3004">
        <v>5</v>
      </c>
      <c r="G84" s="3004" t="s">
        <v>3383</v>
      </c>
      <c r="H84" s="3001" t="s">
        <v>3793</v>
      </c>
      <c r="I84" s="2986" t="s">
        <v>3246</v>
      </c>
      <c r="J84" s="2987">
        <v>94.33</v>
      </c>
      <c r="K84" s="2989">
        <v>9</v>
      </c>
      <c r="L84" s="2986" t="s">
        <v>3383</v>
      </c>
    </row>
    <row r="85" spans="1:12" ht="14.25">
      <c r="A85" s="3001">
        <v>83</v>
      </c>
      <c r="B85" s="3001" t="s">
        <v>3795</v>
      </c>
      <c r="C85" s="3001" t="s">
        <v>3791</v>
      </c>
      <c r="D85" s="3004" t="s">
        <v>3157</v>
      </c>
      <c r="E85" s="3004">
        <v>115.96</v>
      </c>
      <c r="F85" s="3004">
        <v>5</v>
      </c>
      <c r="G85" s="3004" t="s">
        <v>3383</v>
      </c>
      <c r="H85" s="3001" t="s">
        <v>3793</v>
      </c>
      <c r="I85" s="2986" t="s">
        <v>3247</v>
      </c>
      <c r="J85" s="2987">
        <v>105.76</v>
      </c>
      <c r="K85" s="2989">
        <v>9</v>
      </c>
      <c r="L85" s="2986" t="s">
        <v>3383</v>
      </c>
    </row>
    <row r="86" spans="1:12" ht="14.25">
      <c r="A86" s="3001">
        <v>84</v>
      </c>
      <c r="B86" s="3001" t="s">
        <v>3795</v>
      </c>
      <c r="C86" s="3001" t="s">
        <v>3791</v>
      </c>
      <c r="D86" s="3004" t="s">
        <v>3158</v>
      </c>
      <c r="E86" s="3004">
        <v>87.71</v>
      </c>
      <c r="F86" s="3004">
        <v>5</v>
      </c>
      <c r="G86" s="3004" t="s">
        <v>3383</v>
      </c>
      <c r="H86" s="3001" t="s">
        <v>3793</v>
      </c>
      <c r="I86" s="2986" t="s">
        <v>3248</v>
      </c>
      <c r="J86" s="2987">
        <v>84.44</v>
      </c>
      <c r="K86" s="2989">
        <v>10</v>
      </c>
      <c r="L86" s="2986" t="s">
        <v>3383</v>
      </c>
    </row>
    <row r="87" spans="1:12" ht="14.25">
      <c r="A87" s="3001">
        <v>85</v>
      </c>
      <c r="B87" s="3001" t="s">
        <v>3795</v>
      </c>
      <c r="C87" s="3001" t="s">
        <v>3791</v>
      </c>
      <c r="D87" s="3004" t="s">
        <v>3159</v>
      </c>
      <c r="E87" s="3004">
        <v>126.15</v>
      </c>
      <c r="F87" s="3004">
        <v>5</v>
      </c>
      <c r="G87" s="3004" t="s">
        <v>3383</v>
      </c>
      <c r="H87" s="3001" t="s">
        <v>3793</v>
      </c>
      <c r="I87" s="2986" t="s">
        <v>3249</v>
      </c>
      <c r="J87" s="2987">
        <v>71.11</v>
      </c>
      <c r="K87" s="2989">
        <v>10</v>
      </c>
      <c r="L87" s="2986" t="s">
        <v>3383</v>
      </c>
    </row>
    <row r="88" spans="1:12" ht="14.25">
      <c r="A88" s="3001">
        <v>86</v>
      </c>
      <c r="B88" s="3001" t="s">
        <v>3795</v>
      </c>
      <c r="C88" s="3001" t="s">
        <v>3791</v>
      </c>
      <c r="D88" s="3004" t="s">
        <v>3160</v>
      </c>
      <c r="E88" s="3004">
        <v>91.67</v>
      </c>
      <c r="F88" s="3004">
        <v>5</v>
      </c>
      <c r="G88" s="3004" t="s">
        <v>3383</v>
      </c>
      <c r="H88" s="3001" t="s">
        <v>3793</v>
      </c>
      <c r="I88" s="2986" t="s">
        <v>3250</v>
      </c>
      <c r="J88" s="2987">
        <v>73.02</v>
      </c>
      <c r="K88" s="2989">
        <v>10</v>
      </c>
      <c r="L88" s="2986" t="s">
        <v>3383</v>
      </c>
    </row>
    <row r="89" spans="1:12" ht="14.25">
      <c r="A89" s="3001">
        <v>87</v>
      </c>
      <c r="B89" s="3001" t="s">
        <v>3795</v>
      </c>
      <c r="C89" s="3001" t="s">
        <v>3791</v>
      </c>
      <c r="D89" s="3004" t="s">
        <v>3161</v>
      </c>
      <c r="E89" s="3004">
        <v>76.2</v>
      </c>
      <c r="F89" s="3004">
        <v>5</v>
      </c>
      <c r="G89" s="3004" t="s">
        <v>3383</v>
      </c>
      <c r="H89" s="3001" t="s">
        <v>3793</v>
      </c>
      <c r="I89" s="2986" t="s">
        <v>3251</v>
      </c>
      <c r="J89" s="2987">
        <v>69</v>
      </c>
      <c r="K89" s="2989">
        <v>10</v>
      </c>
      <c r="L89" s="2986" t="s">
        <v>3383</v>
      </c>
    </row>
    <row r="90" spans="1:12" ht="14.25">
      <c r="A90" s="3001">
        <v>88</v>
      </c>
      <c r="B90" s="3001" t="s">
        <v>3795</v>
      </c>
      <c r="C90" s="3001" t="s">
        <v>3791</v>
      </c>
      <c r="D90" s="3004" t="s">
        <v>3162</v>
      </c>
      <c r="E90" s="3004">
        <v>95.36</v>
      </c>
      <c r="F90" s="3004">
        <v>5</v>
      </c>
      <c r="G90" s="3004" t="s">
        <v>3383</v>
      </c>
      <c r="H90" s="3001" t="s">
        <v>3793</v>
      </c>
      <c r="I90" s="2986" t="s">
        <v>3252</v>
      </c>
      <c r="J90" s="2987">
        <v>60.05</v>
      </c>
      <c r="K90" s="2989">
        <v>10</v>
      </c>
      <c r="L90" s="2986" t="s">
        <v>3383</v>
      </c>
    </row>
    <row r="91" spans="1:12" ht="14.25">
      <c r="A91" s="3001">
        <v>89</v>
      </c>
      <c r="B91" s="3001" t="s">
        <v>3795</v>
      </c>
      <c r="C91" s="3001" t="s">
        <v>3791</v>
      </c>
      <c r="D91" s="3004" t="s">
        <v>3163</v>
      </c>
      <c r="E91" s="3004">
        <v>68.849999999999994</v>
      </c>
      <c r="F91" s="3004">
        <v>5</v>
      </c>
      <c r="G91" s="3004" t="s">
        <v>3383</v>
      </c>
      <c r="H91" s="3001" t="s">
        <v>3793</v>
      </c>
      <c r="I91" s="2986" t="s">
        <v>3253</v>
      </c>
      <c r="J91" s="2987">
        <v>60.05</v>
      </c>
      <c r="K91" s="2989">
        <v>10</v>
      </c>
      <c r="L91" s="2986" t="s">
        <v>3383</v>
      </c>
    </row>
    <row r="92" spans="1:12" ht="14.25">
      <c r="A92" s="3001">
        <v>90</v>
      </c>
      <c r="B92" s="3001" t="s">
        <v>3795</v>
      </c>
      <c r="C92" s="3001" t="s">
        <v>3791</v>
      </c>
      <c r="D92" s="3004" t="s">
        <v>3164</v>
      </c>
      <c r="E92" s="3004">
        <v>68.849999999999994</v>
      </c>
      <c r="F92" s="3004">
        <v>5</v>
      </c>
      <c r="G92" s="3004" t="s">
        <v>3383</v>
      </c>
      <c r="H92" s="3001" t="s">
        <v>3793</v>
      </c>
      <c r="I92" s="2986" t="s">
        <v>3254</v>
      </c>
      <c r="J92" s="2987">
        <v>60.05</v>
      </c>
      <c r="K92" s="2989">
        <v>10</v>
      </c>
      <c r="L92" s="2986" t="s">
        <v>3383</v>
      </c>
    </row>
    <row r="93" spans="1:12" ht="14.25">
      <c r="A93" s="3001">
        <v>91</v>
      </c>
      <c r="B93" s="3001" t="s">
        <v>3795</v>
      </c>
      <c r="C93" s="3001" t="s">
        <v>3791</v>
      </c>
      <c r="D93" s="3004" t="s">
        <v>3811</v>
      </c>
      <c r="E93" s="3004">
        <v>94.09</v>
      </c>
      <c r="F93" s="3004">
        <v>6</v>
      </c>
      <c r="G93" s="3004" t="s">
        <v>3383</v>
      </c>
      <c r="H93" s="3001" t="s">
        <v>3793</v>
      </c>
      <c r="I93" s="2986" t="s">
        <v>3255</v>
      </c>
      <c r="J93" s="2987">
        <v>60.05</v>
      </c>
      <c r="K93" s="2989">
        <v>10</v>
      </c>
      <c r="L93" s="2986" t="s">
        <v>3383</v>
      </c>
    </row>
    <row r="94" spans="1:12" ht="14.25">
      <c r="A94" s="3001">
        <v>92</v>
      </c>
      <c r="B94" s="3001" t="s">
        <v>3795</v>
      </c>
      <c r="C94" s="3001" t="s">
        <v>3791</v>
      </c>
      <c r="D94" s="3004" t="s">
        <v>3812</v>
      </c>
      <c r="E94" s="3004">
        <v>76.27</v>
      </c>
      <c r="F94" s="3004">
        <v>6</v>
      </c>
      <c r="G94" s="3004" t="s">
        <v>3383</v>
      </c>
      <c r="H94" s="3001" t="s">
        <v>3793</v>
      </c>
      <c r="I94" s="2986" t="s">
        <v>3256</v>
      </c>
      <c r="J94" s="2987">
        <v>76.900000000000006</v>
      </c>
      <c r="K94" s="2989">
        <v>10</v>
      </c>
      <c r="L94" s="2986" t="s">
        <v>3383</v>
      </c>
    </row>
    <row r="95" spans="1:12" ht="14.25">
      <c r="A95" s="3001">
        <v>93</v>
      </c>
      <c r="B95" s="3001" t="s">
        <v>3795</v>
      </c>
      <c r="C95" s="3001" t="s">
        <v>3791</v>
      </c>
      <c r="D95" s="3004" t="s">
        <v>3813</v>
      </c>
      <c r="E95" s="3004">
        <v>75.760000000000005</v>
      </c>
      <c r="F95" s="3004">
        <v>6</v>
      </c>
      <c r="G95" s="3004" t="s">
        <v>3383</v>
      </c>
      <c r="H95" s="3001" t="s">
        <v>3793</v>
      </c>
      <c r="I95" s="2986" t="s">
        <v>3257</v>
      </c>
      <c r="J95" s="2987">
        <v>86.54</v>
      </c>
      <c r="K95" s="2989">
        <v>10</v>
      </c>
      <c r="L95" s="2986" t="s">
        <v>3383</v>
      </c>
    </row>
    <row r="96" spans="1:12" ht="14.25">
      <c r="A96" s="3001">
        <v>94</v>
      </c>
      <c r="B96" s="3001" t="s">
        <v>3795</v>
      </c>
      <c r="C96" s="3001" t="s">
        <v>3791</v>
      </c>
      <c r="D96" s="3004" t="s">
        <v>3814</v>
      </c>
      <c r="E96" s="3004">
        <v>89.95</v>
      </c>
      <c r="F96" s="3004">
        <v>6</v>
      </c>
      <c r="G96" s="3004" t="s">
        <v>3383</v>
      </c>
      <c r="H96" s="3001" t="s">
        <v>3793</v>
      </c>
      <c r="I96" s="2986" t="s">
        <v>3258</v>
      </c>
      <c r="J96" s="2987">
        <v>75</v>
      </c>
      <c r="K96" s="2989">
        <v>10</v>
      </c>
      <c r="L96" s="2986" t="s">
        <v>3383</v>
      </c>
    </row>
    <row r="97" spans="1:12" ht="14.25">
      <c r="A97" s="3001">
        <v>95</v>
      </c>
      <c r="B97" s="3001" t="s">
        <v>3795</v>
      </c>
      <c r="C97" s="3001" t="s">
        <v>3791</v>
      </c>
      <c r="D97" s="3004" t="s">
        <v>3815</v>
      </c>
      <c r="E97" s="3004">
        <v>99.07</v>
      </c>
      <c r="F97" s="3004">
        <v>6</v>
      </c>
      <c r="G97" s="3004" t="s">
        <v>3383</v>
      </c>
      <c r="H97" s="3001" t="s">
        <v>3793</v>
      </c>
      <c r="I97" s="2986" t="s">
        <v>3259</v>
      </c>
      <c r="J97" s="2987">
        <v>95.09</v>
      </c>
      <c r="K97" s="2989">
        <v>10</v>
      </c>
      <c r="L97" s="2986" t="s">
        <v>3383</v>
      </c>
    </row>
    <row r="98" spans="1:12" ht="14.25">
      <c r="A98" s="3001">
        <v>96</v>
      </c>
      <c r="B98" s="3001" t="s">
        <v>3795</v>
      </c>
      <c r="C98" s="3001" t="s">
        <v>3791</v>
      </c>
      <c r="D98" s="3004" t="s">
        <v>3816</v>
      </c>
      <c r="E98" s="3004">
        <v>72.89</v>
      </c>
      <c r="F98" s="3004">
        <v>6</v>
      </c>
      <c r="G98" s="3004" t="s">
        <v>3383</v>
      </c>
      <c r="H98" s="3001" t="s">
        <v>3793</v>
      </c>
      <c r="I98" s="2986" t="s">
        <v>3260</v>
      </c>
      <c r="J98" s="2987">
        <v>60.99</v>
      </c>
      <c r="K98" s="2989">
        <v>10</v>
      </c>
      <c r="L98" s="2986" t="s">
        <v>3383</v>
      </c>
    </row>
    <row r="99" spans="1:12" ht="14.25">
      <c r="A99" s="3001">
        <v>97</v>
      </c>
      <c r="B99" s="3001" t="s">
        <v>3795</v>
      </c>
      <c r="C99" s="3001" t="s">
        <v>3791</v>
      </c>
      <c r="D99" s="3004" t="s">
        <v>3817</v>
      </c>
      <c r="E99" s="3004">
        <v>81.849999999999994</v>
      </c>
      <c r="F99" s="3004">
        <v>6</v>
      </c>
      <c r="G99" s="3004" t="s">
        <v>3383</v>
      </c>
      <c r="H99" s="3001" t="s">
        <v>3793</v>
      </c>
      <c r="I99" s="2986" t="s">
        <v>3261</v>
      </c>
      <c r="J99" s="2987">
        <v>94.33</v>
      </c>
      <c r="K99" s="2989">
        <v>10</v>
      </c>
      <c r="L99" s="2986" t="s">
        <v>3383</v>
      </c>
    </row>
    <row r="100" spans="1:12" ht="14.25">
      <c r="A100" s="3001">
        <v>98</v>
      </c>
      <c r="B100" s="3001" t="s">
        <v>3795</v>
      </c>
      <c r="C100" s="3001" t="s">
        <v>3791</v>
      </c>
      <c r="D100" s="3004" t="s">
        <v>3818</v>
      </c>
      <c r="E100" s="3004">
        <v>68.75</v>
      </c>
      <c r="F100" s="3004">
        <v>6</v>
      </c>
      <c r="G100" s="3004" t="s">
        <v>3383</v>
      </c>
      <c r="H100" s="3001" t="s">
        <v>3793</v>
      </c>
      <c r="I100" s="2986" t="s">
        <v>3262</v>
      </c>
      <c r="J100" s="2987">
        <v>105.76</v>
      </c>
      <c r="K100" s="2989">
        <v>10</v>
      </c>
      <c r="L100" s="2986" t="s">
        <v>3383</v>
      </c>
    </row>
    <row r="101" spans="1:12" ht="14.25">
      <c r="A101" s="3001">
        <v>99</v>
      </c>
      <c r="B101" s="3001" t="s">
        <v>3795</v>
      </c>
      <c r="C101" s="3001" t="s">
        <v>3791</v>
      </c>
      <c r="D101" s="3004" t="s">
        <v>3819</v>
      </c>
      <c r="E101" s="3004">
        <v>69.97</v>
      </c>
      <c r="F101" s="3004">
        <v>6</v>
      </c>
      <c r="G101" s="3004" t="s">
        <v>3383</v>
      </c>
      <c r="H101" s="3001" t="s">
        <v>3793</v>
      </c>
      <c r="I101" s="2986" t="s">
        <v>3263</v>
      </c>
      <c r="J101" s="2987">
        <v>84.44</v>
      </c>
      <c r="K101" s="2989">
        <v>11</v>
      </c>
      <c r="L101" s="2986" t="s">
        <v>3383</v>
      </c>
    </row>
    <row r="102" spans="1:12" ht="14.25">
      <c r="A102" s="3001">
        <v>100</v>
      </c>
      <c r="B102" s="3001" t="s">
        <v>3795</v>
      </c>
      <c r="C102" s="3001" t="s">
        <v>3791</v>
      </c>
      <c r="D102" s="3004" t="s">
        <v>3820</v>
      </c>
      <c r="E102" s="3004">
        <v>107.5</v>
      </c>
      <c r="F102" s="3004">
        <v>6</v>
      </c>
      <c r="G102" s="3004" t="s">
        <v>3383</v>
      </c>
      <c r="H102" s="3001" t="s">
        <v>3793</v>
      </c>
      <c r="I102" s="2986" t="s">
        <v>3264</v>
      </c>
      <c r="J102" s="2987">
        <v>71.11</v>
      </c>
      <c r="K102" s="2989">
        <v>11</v>
      </c>
      <c r="L102" s="2986" t="s">
        <v>3383</v>
      </c>
    </row>
    <row r="103" spans="1:12" ht="14.25">
      <c r="A103" s="3001">
        <v>101</v>
      </c>
      <c r="B103" s="3001" t="s">
        <v>3795</v>
      </c>
      <c r="C103" s="3001" t="s">
        <v>3791</v>
      </c>
      <c r="D103" s="3004" t="s">
        <v>3821</v>
      </c>
      <c r="E103" s="3004">
        <v>73.87</v>
      </c>
      <c r="F103" s="3004">
        <v>6</v>
      </c>
      <c r="G103" s="3004" t="s">
        <v>3383</v>
      </c>
      <c r="H103" s="3001" t="s">
        <v>3793</v>
      </c>
      <c r="I103" s="2986" t="s">
        <v>3265</v>
      </c>
      <c r="J103" s="2987">
        <v>73.02</v>
      </c>
      <c r="K103" s="2989">
        <v>11</v>
      </c>
      <c r="L103" s="2986" t="s">
        <v>3383</v>
      </c>
    </row>
    <row r="104" spans="1:12" ht="14.25">
      <c r="A104" s="3001">
        <v>102</v>
      </c>
      <c r="B104" s="3001" t="s">
        <v>3795</v>
      </c>
      <c r="C104" s="3001" t="s">
        <v>3791</v>
      </c>
      <c r="D104" s="3004" t="s">
        <v>3822</v>
      </c>
      <c r="E104" s="3004">
        <v>115.57</v>
      </c>
      <c r="F104" s="3004">
        <v>6</v>
      </c>
      <c r="G104" s="3004" t="s">
        <v>3383</v>
      </c>
      <c r="H104" s="3001" t="s">
        <v>3793</v>
      </c>
      <c r="I104" s="2986" t="s">
        <v>3266</v>
      </c>
      <c r="J104" s="2987">
        <v>69</v>
      </c>
      <c r="K104" s="2989">
        <v>11</v>
      </c>
      <c r="L104" s="2986" t="s">
        <v>3383</v>
      </c>
    </row>
    <row r="105" spans="1:12" ht="14.25">
      <c r="A105" s="3001">
        <v>103</v>
      </c>
      <c r="B105" s="3001" t="s">
        <v>3795</v>
      </c>
      <c r="C105" s="3001" t="s">
        <v>3791</v>
      </c>
      <c r="D105" s="3004" t="s">
        <v>3823</v>
      </c>
      <c r="E105" s="3004">
        <v>83.27</v>
      </c>
      <c r="F105" s="3004">
        <v>6</v>
      </c>
      <c r="G105" s="3004" t="s">
        <v>3383</v>
      </c>
      <c r="H105" s="3001" t="s">
        <v>3793</v>
      </c>
      <c r="I105" s="2986" t="s">
        <v>3267</v>
      </c>
      <c r="J105" s="2987">
        <v>60.05</v>
      </c>
      <c r="K105" s="2989">
        <v>11</v>
      </c>
      <c r="L105" s="2986" t="s">
        <v>3383</v>
      </c>
    </row>
    <row r="106" spans="1:12" ht="14.25">
      <c r="A106" s="3001">
        <v>104</v>
      </c>
      <c r="B106" s="3001" t="s">
        <v>3795</v>
      </c>
      <c r="C106" s="3001" t="s">
        <v>3791</v>
      </c>
      <c r="D106" s="3004" t="s">
        <v>3824</v>
      </c>
      <c r="E106" s="3004">
        <v>83.27</v>
      </c>
      <c r="F106" s="3004">
        <v>6</v>
      </c>
      <c r="G106" s="3004" t="s">
        <v>3383</v>
      </c>
      <c r="H106" s="3001" t="s">
        <v>3793</v>
      </c>
      <c r="I106" s="2986" t="s">
        <v>3268</v>
      </c>
      <c r="J106" s="2987">
        <v>60.05</v>
      </c>
      <c r="K106" s="2989">
        <v>11</v>
      </c>
      <c r="L106" s="2986" t="s">
        <v>3383</v>
      </c>
    </row>
    <row r="107" spans="1:12" ht="14.25">
      <c r="A107" s="3001">
        <v>105</v>
      </c>
      <c r="B107" s="3001" t="s">
        <v>3795</v>
      </c>
      <c r="C107" s="3001" t="s">
        <v>3791</v>
      </c>
      <c r="D107" s="3004" t="s">
        <v>3825</v>
      </c>
      <c r="E107" s="3004">
        <v>115.96</v>
      </c>
      <c r="F107" s="3004">
        <v>6</v>
      </c>
      <c r="G107" s="3004" t="s">
        <v>3383</v>
      </c>
      <c r="H107" s="3001" t="s">
        <v>3793</v>
      </c>
      <c r="I107" s="2986" t="s">
        <v>3269</v>
      </c>
      <c r="J107" s="2987">
        <v>60.05</v>
      </c>
      <c r="K107" s="2989">
        <v>11</v>
      </c>
      <c r="L107" s="2986" t="s">
        <v>3383</v>
      </c>
    </row>
    <row r="108" spans="1:12" ht="14.25">
      <c r="A108" s="3001">
        <v>106</v>
      </c>
      <c r="B108" s="3001" t="s">
        <v>3795</v>
      </c>
      <c r="C108" s="3001" t="s">
        <v>3791</v>
      </c>
      <c r="D108" s="3004" t="s">
        <v>3826</v>
      </c>
      <c r="E108" s="3004">
        <v>87.71</v>
      </c>
      <c r="F108" s="3004">
        <v>6</v>
      </c>
      <c r="G108" s="3004" t="s">
        <v>3383</v>
      </c>
      <c r="H108" s="3001" t="s">
        <v>3793</v>
      </c>
      <c r="I108" s="2986" t="s">
        <v>3270</v>
      </c>
      <c r="J108" s="2987">
        <v>60.05</v>
      </c>
      <c r="K108" s="2989">
        <v>11</v>
      </c>
      <c r="L108" s="2986" t="s">
        <v>3383</v>
      </c>
    </row>
    <row r="109" spans="1:12" ht="14.25">
      <c r="A109" s="3001">
        <v>107</v>
      </c>
      <c r="B109" s="3001" t="s">
        <v>3795</v>
      </c>
      <c r="C109" s="3001" t="s">
        <v>3791</v>
      </c>
      <c r="D109" s="3004" t="s">
        <v>3827</v>
      </c>
      <c r="E109" s="3004">
        <v>126.15</v>
      </c>
      <c r="F109" s="3004">
        <v>6</v>
      </c>
      <c r="G109" s="3004" t="s">
        <v>3383</v>
      </c>
      <c r="H109" s="3001" t="s">
        <v>3793</v>
      </c>
      <c r="I109" s="2986" t="s">
        <v>3271</v>
      </c>
      <c r="J109" s="2987">
        <v>76.900000000000006</v>
      </c>
      <c r="K109" s="2989">
        <v>11</v>
      </c>
      <c r="L109" s="2986" t="s">
        <v>3383</v>
      </c>
    </row>
    <row r="110" spans="1:12" ht="14.25">
      <c r="A110" s="3001">
        <v>108</v>
      </c>
      <c r="B110" s="3001" t="s">
        <v>3795</v>
      </c>
      <c r="C110" s="3001" t="s">
        <v>3791</v>
      </c>
      <c r="D110" s="3004" t="s">
        <v>3828</v>
      </c>
      <c r="E110" s="3004">
        <v>91.67</v>
      </c>
      <c r="F110" s="3004">
        <v>6</v>
      </c>
      <c r="G110" s="3004" t="s">
        <v>3383</v>
      </c>
      <c r="H110" s="3001" t="s">
        <v>3793</v>
      </c>
      <c r="I110" s="2986" t="s">
        <v>3272</v>
      </c>
      <c r="J110" s="2987">
        <v>86.54</v>
      </c>
      <c r="K110" s="2989">
        <v>11</v>
      </c>
      <c r="L110" s="2986" t="s">
        <v>3383</v>
      </c>
    </row>
    <row r="111" spans="1:12" ht="14.25">
      <c r="A111" s="3001">
        <v>109</v>
      </c>
      <c r="B111" s="3001" t="s">
        <v>3795</v>
      </c>
      <c r="C111" s="3001" t="s">
        <v>3791</v>
      </c>
      <c r="D111" s="3004" t="s">
        <v>3829</v>
      </c>
      <c r="E111" s="3004">
        <v>76.2</v>
      </c>
      <c r="F111" s="3004">
        <v>6</v>
      </c>
      <c r="G111" s="3004" t="s">
        <v>3383</v>
      </c>
      <c r="H111" s="3001" t="s">
        <v>3793</v>
      </c>
      <c r="I111" s="2986" t="s">
        <v>3273</v>
      </c>
      <c r="J111" s="2987">
        <v>75</v>
      </c>
      <c r="K111" s="2989">
        <v>11</v>
      </c>
      <c r="L111" s="2986" t="s">
        <v>3383</v>
      </c>
    </row>
    <row r="112" spans="1:12" ht="14.25">
      <c r="A112" s="3001">
        <v>110</v>
      </c>
      <c r="B112" s="3001" t="s">
        <v>3795</v>
      </c>
      <c r="C112" s="3001" t="s">
        <v>3791</v>
      </c>
      <c r="D112" s="3004" t="s">
        <v>3830</v>
      </c>
      <c r="E112" s="3004">
        <v>95.36</v>
      </c>
      <c r="F112" s="3004">
        <v>6</v>
      </c>
      <c r="G112" s="3004" t="s">
        <v>3383</v>
      </c>
      <c r="H112" s="3001" t="s">
        <v>3793</v>
      </c>
      <c r="I112" s="2986" t="s">
        <v>3274</v>
      </c>
      <c r="J112" s="2987">
        <v>95.09</v>
      </c>
      <c r="K112" s="2989">
        <v>11</v>
      </c>
      <c r="L112" s="2986" t="s">
        <v>3383</v>
      </c>
    </row>
    <row r="113" spans="1:12" ht="14.25">
      <c r="A113" s="3001">
        <v>111</v>
      </c>
      <c r="B113" s="3001" t="s">
        <v>3795</v>
      </c>
      <c r="C113" s="3001" t="s">
        <v>3791</v>
      </c>
      <c r="D113" s="3004" t="s">
        <v>3831</v>
      </c>
      <c r="E113" s="3004">
        <v>68.849999999999994</v>
      </c>
      <c r="F113" s="3004">
        <v>6</v>
      </c>
      <c r="G113" s="3004" t="s">
        <v>3383</v>
      </c>
      <c r="H113" s="3001" t="s">
        <v>3793</v>
      </c>
      <c r="I113" s="2986" t="s">
        <v>3275</v>
      </c>
      <c r="J113" s="2987">
        <v>60.99</v>
      </c>
      <c r="K113" s="2989">
        <v>11</v>
      </c>
      <c r="L113" s="2986" t="s">
        <v>3383</v>
      </c>
    </row>
    <row r="114" spans="1:12" ht="14.25">
      <c r="A114" s="3001">
        <v>112</v>
      </c>
      <c r="B114" s="3001" t="s">
        <v>3795</v>
      </c>
      <c r="C114" s="3001" t="s">
        <v>3791</v>
      </c>
      <c r="D114" s="3004" t="s">
        <v>3832</v>
      </c>
      <c r="E114" s="3004">
        <v>68.849999999999994</v>
      </c>
      <c r="F114" s="3004">
        <v>6</v>
      </c>
      <c r="G114" s="3004" t="s">
        <v>3383</v>
      </c>
      <c r="H114" s="3001" t="s">
        <v>3793</v>
      </c>
      <c r="I114" s="2986" t="s">
        <v>3276</v>
      </c>
      <c r="J114" s="2987">
        <v>94.33</v>
      </c>
      <c r="K114" s="2989">
        <v>11</v>
      </c>
      <c r="L114" s="2986" t="s">
        <v>3383</v>
      </c>
    </row>
    <row r="115" spans="1:12" ht="14.25">
      <c r="A115" s="3001">
        <v>113</v>
      </c>
      <c r="B115" s="3001" t="s">
        <v>3795</v>
      </c>
      <c r="C115" s="3001" t="s">
        <v>3791</v>
      </c>
      <c r="D115" s="3004" t="s">
        <v>3833</v>
      </c>
      <c r="E115" s="3004">
        <v>94.09</v>
      </c>
      <c r="F115" s="3004">
        <v>7</v>
      </c>
      <c r="G115" s="3004" t="s">
        <v>3383</v>
      </c>
      <c r="H115" s="3001" t="s">
        <v>3793</v>
      </c>
      <c r="I115" s="2986" t="s">
        <v>3277</v>
      </c>
      <c r="J115" s="2987">
        <v>105.76</v>
      </c>
      <c r="K115" s="2989">
        <v>11</v>
      </c>
      <c r="L115" s="2986" t="s">
        <v>3383</v>
      </c>
    </row>
    <row r="116" spans="1:12" ht="14.25">
      <c r="A116" s="3001">
        <v>114</v>
      </c>
      <c r="B116" s="3001" t="s">
        <v>3795</v>
      </c>
      <c r="C116" s="3001" t="s">
        <v>3791</v>
      </c>
      <c r="D116" s="3004" t="s">
        <v>3834</v>
      </c>
      <c r="E116" s="3004">
        <v>76.27</v>
      </c>
      <c r="F116" s="3004">
        <v>7</v>
      </c>
      <c r="G116" s="3004" t="s">
        <v>3383</v>
      </c>
      <c r="H116" s="3001" t="s">
        <v>3793</v>
      </c>
      <c r="I116" s="2986" t="s">
        <v>3278</v>
      </c>
      <c r="J116" s="2987">
        <v>84.44</v>
      </c>
      <c r="K116" s="2989">
        <v>12</v>
      </c>
      <c r="L116" s="2986" t="s">
        <v>3383</v>
      </c>
    </row>
    <row r="117" spans="1:12" ht="14.25">
      <c r="A117" s="3001">
        <v>115</v>
      </c>
      <c r="B117" s="3001" t="s">
        <v>3795</v>
      </c>
      <c r="C117" s="3001" t="s">
        <v>3791</v>
      </c>
      <c r="D117" s="3004" t="s">
        <v>3835</v>
      </c>
      <c r="E117" s="3004">
        <v>75.760000000000005</v>
      </c>
      <c r="F117" s="3004">
        <v>7</v>
      </c>
      <c r="G117" s="3004" t="s">
        <v>3383</v>
      </c>
      <c r="H117" s="3001" t="s">
        <v>3793</v>
      </c>
      <c r="I117" s="2986" t="s">
        <v>3279</v>
      </c>
      <c r="J117" s="2987">
        <v>71.11</v>
      </c>
      <c r="K117" s="2989">
        <v>12</v>
      </c>
      <c r="L117" s="2986" t="s">
        <v>3383</v>
      </c>
    </row>
    <row r="118" spans="1:12" ht="14.25">
      <c r="A118" s="3001">
        <v>116</v>
      </c>
      <c r="B118" s="3001" t="s">
        <v>3795</v>
      </c>
      <c r="C118" s="3001" t="s">
        <v>3791</v>
      </c>
      <c r="D118" s="3004" t="s">
        <v>3836</v>
      </c>
      <c r="E118" s="3004">
        <v>89.95</v>
      </c>
      <c r="F118" s="3004">
        <v>7</v>
      </c>
      <c r="G118" s="3004" t="s">
        <v>3383</v>
      </c>
      <c r="H118" s="3001" t="s">
        <v>3793</v>
      </c>
      <c r="I118" s="2986" t="s">
        <v>3280</v>
      </c>
      <c r="J118" s="2987">
        <v>73.02</v>
      </c>
      <c r="K118" s="2989">
        <v>12</v>
      </c>
      <c r="L118" s="2986" t="s">
        <v>3383</v>
      </c>
    </row>
    <row r="119" spans="1:12" ht="14.25">
      <c r="A119" s="3001">
        <v>117</v>
      </c>
      <c r="B119" s="3001" t="s">
        <v>3795</v>
      </c>
      <c r="C119" s="3001" t="s">
        <v>3791</v>
      </c>
      <c r="D119" s="3004" t="s">
        <v>3837</v>
      </c>
      <c r="E119" s="3004">
        <v>99.07</v>
      </c>
      <c r="F119" s="3004">
        <v>7</v>
      </c>
      <c r="G119" s="3004" t="s">
        <v>3383</v>
      </c>
      <c r="H119" s="3001" t="s">
        <v>3793</v>
      </c>
      <c r="I119" s="2986" t="s">
        <v>3281</v>
      </c>
      <c r="J119" s="2987">
        <v>69</v>
      </c>
      <c r="K119" s="2989">
        <v>12</v>
      </c>
      <c r="L119" s="2986" t="s">
        <v>3383</v>
      </c>
    </row>
    <row r="120" spans="1:12" ht="14.25">
      <c r="A120" s="3001">
        <v>118</v>
      </c>
      <c r="B120" s="3001" t="s">
        <v>3795</v>
      </c>
      <c r="C120" s="3001" t="s">
        <v>3791</v>
      </c>
      <c r="D120" s="3004" t="s">
        <v>3838</v>
      </c>
      <c r="E120" s="3004">
        <v>72.89</v>
      </c>
      <c r="F120" s="3004">
        <v>7</v>
      </c>
      <c r="G120" s="3004" t="s">
        <v>3383</v>
      </c>
      <c r="H120" s="3001" t="s">
        <v>3793</v>
      </c>
      <c r="I120" s="2986" t="s">
        <v>3282</v>
      </c>
      <c r="J120" s="2987">
        <v>60.05</v>
      </c>
      <c r="K120" s="2989">
        <v>12</v>
      </c>
      <c r="L120" s="2986" t="s">
        <v>3383</v>
      </c>
    </row>
    <row r="121" spans="1:12" ht="14.25">
      <c r="A121" s="3001">
        <v>119</v>
      </c>
      <c r="B121" s="3001" t="s">
        <v>3795</v>
      </c>
      <c r="C121" s="3001" t="s">
        <v>3791</v>
      </c>
      <c r="D121" s="3004" t="s">
        <v>3839</v>
      </c>
      <c r="E121" s="3004">
        <v>81.849999999999994</v>
      </c>
      <c r="F121" s="3004">
        <v>7</v>
      </c>
      <c r="G121" s="3004" t="s">
        <v>3383</v>
      </c>
      <c r="H121" s="3001" t="s">
        <v>3793</v>
      </c>
      <c r="I121" s="2986" t="s">
        <v>3283</v>
      </c>
      <c r="J121" s="2987">
        <v>60.05</v>
      </c>
      <c r="K121" s="2989">
        <v>12</v>
      </c>
      <c r="L121" s="2986" t="s">
        <v>3383</v>
      </c>
    </row>
    <row r="122" spans="1:12" ht="14.25">
      <c r="A122" s="3001">
        <v>120</v>
      </c>
      <c r="B122" s="3001" t="s">
        <v>3795</v>
      </c>
      <c r="C122" s="3001" t="s">
        <v>3791</v>
      </c>
      <c r="D122" s="3004" t="s">
        <v>3840</v>
      </c>
      <c r="E122" s="3004">
        <v>68.75</v>
      </c>
      <c r="F122" s="3004">
        <v>7</v>
      </c>
      <c r="G122" s="3004" t="s">
        <v>3383</v>
      </c>
      <c r="H122" s="3001" t="s">
        <v>3793</v>
      </c>
      <c r="I122" s="2986" t="s">
        <v>3284</v>
      </c>
      <c r="J122" s="2987">
        <v>60.05</v>
      </c>
      <c r="K122" s="2989">
        <v>12</v>
      </c>
      <c r="L122" s="2986" t="s">
        <v>3383</v>
      </c>
    </row>
    <row r="123" spans="1:12" ht="14.25">
      <c r="A123" s="3001">
        <v>121</v>
      </c>
      <c r="B123" s="3001" t="s">
        <v>3795</v>
      </c>
      <c r="C123" s="3001" t="s">
        <v>3791</v>
      </c>
      <c r="D123" s="3004" t="s">
        <v>3841</v>
      </c>
      <c r="E123" s="3004">
        <v>69.97</v>
      </c>
      <c r="F123" s="3004">
        <v>7</v>
      </c>
      <c r="G123" s="3004" t="s">
        <v>3383</v>
      </c>
      <c r="H123" s="3001" t="s">
        <v>3793</v>
      </c>
      <c r="I123" s="2986" t="s">
        <v>3285</v>
      </c>
      <c r="J123" s="2987">
        <v>60.05</v>
      </c>
      <c r="K123" s="2989">
        <v>12</v>
      </c>
      <c r="L123" s="2986" t="s">
        <v>3383</v>
      </c>
    </row>
    <row r="124" spans="1:12" ht="14.25">
      <c r="A124" s="3001">
        <v>122</v>
      </c>
      <c r="B124" s="3001" t="s">
        <v>3795</v>
      </c>
      <c r="C124" s="3001" t="s">
        <v>3791</v>
      </c>
      <c r="D124" s="3004" t="s">
        <v>3842</v>
      </c>
      <c r="E124" s="3004">
        <v>107.5</v>
      </c>
      <c r="F124" s="3004">
        <v>7</v>
      </c>
      <c r="G124" s="3004" t="s">
        <v>3383</v>
      </c>
      <c r="H124" s="3001" t="s">
        <v>3793</v>
      </c>
      <c r="I124" s="2986" t="s">
        <v>3286</v>
      </c>
      <c r="J124" s="2987">
        <v>76.900000000000006</v>
      </c>
      <c r="K124" s="2989">
        <v>12</v>
      </c>
      <c r="L124" s="2986" t="s">
        <v>3383</v>
      </c>
    </row>
    <row r="125" spans="1:12" ht="14.25">
      <c r="A125" s="3001">
        <v>123</v>
      </c>
      <c r="B125" s="3001" t="s">
        <v>3795</v>
      </c>
      <c r="C125" s="3001" t="s">
        <v>3791</v>
      </c>
      <c r="D125" s="3004" t="s">
        <v>3843</v>
      </c>
      <c r="E125" s="3004">
        <v>73.87</v>
      </c>
      <c r="F125" s="3004">
        <v>7</v>
      </c>
      <c r="G125" s="3004" t="s">
        <v>3383</v>
      </c>
      <c r="H125" s="3001" t="s">
        <v>3793</v>
      </c>
      <c r="I125" s="2986" t="s">
        <v>3287</v>
      </c>
      <c r="J125" s="2987">
        <v>86.54</v>
      </c>
      <c r="K125" s="2989">
        <v>12</v>
      </c>
      <c r="L125" s="2986" t="s">
        <v>3383</v>
      </c>
    </row>
    <row r="126" spans="1:12" ht="14.25">
      <c r="A126" s="3001">
        <v>124</v>
      </c>
      <c r="B126" s="3001" t="s">
        <v>3795</v>
      </c>
      <c r="C126" s="3001" t="s">
        <v>3791</v>
      </c>
      <c r="D126" s="3004" t="s">
        <v>3844</v>
      </c>
      <c r="E126" s="3004">
        <v>115.57</v>
      </c>
      <c r="F126" s="3004">
        <v>7</v>
      </c>
      <c r="G126" s="3004" t="s">
        <v>3383</v>
      </c>
      <c r="H126" s="3001" t="s">
        <v>3793</v>
      </c>
      <c r="I126" s="2986" t="s">
        <v>3288</v>
      </c>
      <c r="J126" s="2987">
        <v>75</v>
      </c>
      <c r="K126" s="2989">
        <v>12</v>
      </c>
      <c r="L126" s="2986" t="s">
        <v>3383</v>
      </c>
    </row>
    <row r="127" spans="1:12" ht="14.25">
      <c r="A127" s="3001">
        <v>125</v>
      </c>
      <c r="B127" s="3001" t="s">
        <v>3795</v>
      </c>
      <c r="C127" s="3001" t="s">
        <v>3791</v>
      </c>
      <c r="D127" s="3004" t="s">
        <v>3845</v>
      </c>
      <c r="E127" s="3004">
        <v>83.27</v>
      </c>
      <c r="F127" s="3004">
        <v>7</v>
      </c>
      <c r="G127" s="3004" t="s">
        <v>3383</v>
      </c>
      <c r="H127" s="3001" t="s">
        <v>3793</v>
      </c>
      <c r="I127" s="2986" t="s">
        <v>3289</v>
      </c>
      <c r="J127" s="2987">
        <v>95.09</v>
      </c>
      <c r="K127" s="2989">
        <v>12</v>
      </c>
      <c r="L127" s="2986" t="s">
        <v>3383</v>
      </c>
    </row>
    <row r="128" spans="1:12" ht="14.25">
      <c r="A128" s="3001">
        <v>126</v>
      </c>
      <c r="B128" s="3001" t="s">
        <v>3795</v>
      </c>
      <c r="C128" s="3001" t="s">
        <v>3791</v>
      </c>
      <c r="D128" s="3004" t="s">
        <v>3846</v>
      </c>
      <c r="E128" s="3004">
        <v>83.27</v>
      </c>
      <c r="F128" s="3004">
        <v>7</v>
      </c>
      <c r="G128" s="3004" t="s">
        <v>3383</v>
      </c>
      <c r="H128" s="3001" t="s">
        <v>3793</v>
      </c>
      <c r="I128" s="2986" t="s">
        <v>3290</v>
      </c>
      <c r="J128" s="2987">
        <v>60.99</v>
      </c>
      <c r="K128" s="2989">
        <v>12</v>
      </c>
      <c r="L128" s="2986" t="s">
        <v>3383</v>
      </c>
    </row>
    <row r="129" spans="1:12" ht="14.25">
      <c r="A129" s="3001">
        <v>127</v>
      </c>
      <c r="B129" s="3001" t="s">
        <v>3795</v>
      </c>
      <c r="C129" s="3001" t="s">
        <v>3791</v>
      </c>
      <c r="D129" s="3004" t="s">
        <v>3847</v>
      </c>
      <c r="E129" s="3004">
        <v>115.96</v>
      </c>
      <c r="F129" s="3004">
        <v>7</v>
      </c>
      <c r="G129" s="3004" t="s">
        <v>3383</v>
      </c>
      <c r="H129" s="3001" t="s">
        <v>3793</v>
      </c>
      <c r="I129" s="2986" t="s">
        <v>3291</v>
      </c>
      <c r="J129" s="2987">
        <v>94.33</v>
      </c>
      <c r="K129" s="2989">
        <v>12</v>
      </c>
      <c r="L129" s="2986" t="s">
        <v>3383</v>
      </c>
    </row>
    <row r="130" spans="1:12" ht="14.25">
      <c r="A130" s="3001">
        <v>128</v>
      </c>
      <c r="B130" s="3001" t="s">
        <v>3795</v>
      </c>
      <c r="C130" s="3001" t="s">
        <v>3791</v>
      </c>
      <c r="D130" s="3004" t="s">
        <v>3848</v>
      </c>
      <c r="E130" s="3004">
        <v>87.71</v>
      </c>
      <c r="F130" s="3004">
        <v>7</v>
      </c>
      <c r="G130" s="3004" t="s">
        <v>3383</v>
      </c>
      <c r="H130" s="3001" t="s">
        <v>3793</v>
      </c>
      <c r="I130" s="2986" t="s">
        <v>3292</v>
      </c>
      <c r="J130" s="2987">
        <v>105.76</v>
      </c>
      <c r="K130" s="2989">
        <v>12</v>
      </c>
      <c r="L130" s="2986" t="s">
        <v>3383</v>
      </c>
    </row>
    <row r="131" spans="1:12" ht="14.25">
      <c r="A131" s="3001">
        <v>129</v>
      </c>
      <c r="B131" s="3001" t="s">
        <v>3795</v>
      </c>
      <c r="C131" s="3001" t="s">
        <v>3791</v>
      </c>
      <c r="D131" s="3004" t="s">
        <v>3849</v>
      </c>
      <c r="E131" s="3004">
        <v>126.15</v>
      </c>
      <c r="F131" s="3004">
        <v>7</v>
      </c>
      <c r="G131" s="3004" t="s">
        <v>3383</v>
      </c>
      <c r="H131" s="3001" t="s">
        <v>3793</v>
      </c>
      <c r="I131" s="2986" t="s">
        <v>3293</v>
      </c>
      <c r="J131" s="2987">
        <v>84.44</v>
      </c>
      <c r="K131" s="2989">
        <v>13</v>
      </c>
      <c r="L131" s="2986" t="s">
        <v>3383</v>
      </c>
    </row>
    <row r="132" spans="1:12" ht="14.25">
      <c r="A132" s="3001">
        <v>130</v>
      </c>
      <c r="B132" s="3001" t="s">
        <v>3795</v>
      </c>
      <c r="C132" s="3001" t="s">
        <v>3791</v>
      </c>
      <c r="D132" s="3004" t="s">
        <v>3850</v>
      </c>
      <c r="E132" s="3004">
        <v>91.67</v>
      </c>
      <c r="F132" s="3004">
        <v>7</v>
      </c>
      <c r="G132" s="3004" t="s">
        <v>3383</v>
      </c>
      <c r="H132" s="3001" t="s">
        <v>3793</v>
      </c>
      <c r="I132" s="2986" t="s">
        <v>3294</v>
      </c>
      <c r="J132" s="2987">
        <v>71.11</v>
      </c>
      <c r="K132" s="2989">
        <v>13</v>
      </c>
      <c r="L132" s="2986" t="s">
        <v>3383</v>
      </c>
    </row>
    <row r="133" spans="1:12" ht="14.25">
      <c r="A133" s="3001">
        <v>131</v>
      </c>
      <c r="B133" s="3001" t="s">
        <v>3795</v>
      </c>
      <c r="C133" s="3001" t="s">
        <v>3791</v>
      </c>
      <c r="D133" s="3004" t="s">
        <v>3851</v>
      </c>
      <c r="E133" s="3004">
        <v>76.2</v>
      </c>
      <c r="F133" s="3004">
        <v>7</v>
      </c>
      <c r="G133" s="3004" t="s">
        <v>3383</v>
      </c>
      <c r="H133" s="3001" t="s">
        <v>3793</v>
      </c>
      <c r="I133" s="2986" t="s">
        <v>3295</v>
      </c>
      <c r="J133" s="2987">
        <v>73.02</v>
      </c>
      <c r="K133" s="2989">
        <v>13</v>
      </c>
      <c r="L133" s="2986" t="s">
        <v>3383</v>
      </c>
    </row>
    <row r="134" spans="1:12" ht="14.25">
      <c r="A134" s="3001">
        <v>132</v>
      </c>
      <c r="B134" s="3001" t="s">
        <v>3795</v>
      </c>
      <c r="C134" s="3001" t="s">
        <v>3791</v>
      </c>
      <c r="D134" s="3004" t="s">
        <v>3852</v>
      </c>
      <c r="E134" s="3004">
        <v>95.36</v>
      </c>
      <c r="F134" s="3004">
        <v>7</v>
      </c>
      <c r="G134" s="3004" t="s">
        <v>3383</v>
      </c>
      <c r="H134" s="3001" t="s">
        <v>3793</v>
      </c>
      <c r="I134" s="2986" t="s">
        <v>3296</v>
      </c>
      <c r="J134" s="2987">
        <v>69</v>
      </c>
      <c r="K134" s="2989">
        <v>13</v>
      </c>
      <c r="L134" s="2986" t="s">
        <v>3383</v>
      </c>
    </row>
    <row r="135" spans="1:12" ht="14.25">
      <c r="A135" s="3001">
        <v>133</v>
      </c>
      <c r="B135" s="3001" t="s">
        <v>3795</v>
      </c>
      <c r="C135" s="3001" t="s">
        <v>3791</v>
      </c>
      <c r="D135" s="3004" t="s">
        <v>3853</v>
      </c>
      <c r="E135" s="3004">
        <v>68.849999999999994</v>
      </c>
      <c r="F135" s="3004">
        <v>7</v>
      </c>
      <c r="G135" s="3004" t="s">
        <v>3383</v>
      </c>
      <c r="H135" s="3001" t="s">
        <v>3793</v>
      </c>
      <c r="I135" s="2986" t="s">
        <v>3297</v>
      </c>
      <c r="J135" s="2987">
        <v>60.05</v>
      </c>
      <c r="K135" s="2989">
        <v>13</v>
      </c>
      <c r="L135" s="2986" t="s">
        <v>3383</v>
      </c>
    </row>
    <row r="136" spans="1:12" ht="14.25">
      <c r="A136" s="3001">
        <v>134</v>
      </c>
      <c r="B136" s="3001" t="s">
        <v>3795</v>
      </c>
      <c r="C136" s="3001" t="s">
        <v>3791</v>
      </c>
      <c r="D136" s="3004" t="s">
        <v>3854</v>
      </c>
      <c r="E136" s="3004">
        <v>68.849999999999994</v>
      </c>
      <c r="F136" s="3004">
        <v>7</v>
      </c>
      <c r="G136" s="3004" t="s">
        <v>3383</v>
      </c>
      <c r="H136" s="3001" t="s">
        <v>3793</v>
      </c>
      <c r="I136" s="2986" t="s">
        <v>3298</v>
      </c>
      <c r="J136" s="2987">
        <v>60.05</v>
      </c>
      <c r="K136" s="2989">
        <v>13</v>
      </c>
      <c r="L136" s="2986" t="s">
        <v>3383</v>
      </c>
    </row>
    <row r="137" spans="1:12" ht="14.25">
      <c r="A137" s="3001">
        <v>135</v>
      </c>
      <c r="B137" s="3001" t="s">
        <v>3795</v>
      </c>
      <c r="C137" s="3001" t="s">
        <v>3791</v>
      </c>
      <c r="D137" s="3004" t="s">
        <v>3855</v>
      </c>
      <c r="E137" s="3004">
        <v>94.09</v>
      </c>
      <c r="F137" s="3004">
        <v>8</v>
      </c>
      <c r="G137" s="3004" t="s">
        <v>3383</v>
      </c>
      <c r="H137" s="3001" t="s">
        <v>3793</v>
      </c>
      <c r="I137" s="2986" t="s">
        <v>3299</v>
      </c>
      <c r="J137" s="2987">
        <v>60.05</v>
      </c>
      <c r="K137" s="2989">
        <v>13</v>
      </c>
      <c r="L137" s="2986" t="s">
        <v>3383</v>
      </c>
    </row>
    <row r="138" spans="1:12" ht="14.25">
      <c r="A138" s="3001">
        <v>136</v>
      </c>
      <c r="B138" s="3001" t="s">
        <v>3795</v>
      </c>
      <c r="C138" s="3001" t="s">
        <v>3791</v>
      </c>
      <c r="D138" s="3004" t="s">
        <v>3856</v>
      </c>
      <c r="E138" s="3004">
        <v>76.27</v>
      </c>
      <c r="F138" s="3004">
        <v>8</v>
      </c>
      <c r="G138" s="3004" t="s">
        <v>3383</v>
      </c>
      <c r="H138" s="3001" t="s">
        <v>3793</v>
      </c>
      <c r="I138" s="2986" t="s">
        <v>3300</v>
      </c>
      <c r="J138" s="2987">
        <v>60.05</v>
      </c>
      <c r="K138" s="2989">
        <v>13</v>
      </c>
      <c r="L138" s="2986" t="s">
        <v>3383</v>
      </c>
    </row>
    <row r="139" spans="1:12" ht="14.25">
      <c r="A139" s="3001">
        <v>137</v>
      </c>
      <c r="B139" s="3001" t="s">
        <v>3795</v>
      </c>
      <c r="C139" s="3001" t="s">
        <v>3791</v>
      </c>
      <c r="D139" s="3004" t="s">
        <v>3857</v>
      </c>
      <c r="E139" s="3004">
        <v>75.760000000000005</v>
      </c>
      <c r="F139" s="3004">
        <v>8</v>
      </c>
      <c r="G139" s="3004" t="s">
        <v>3383</v>
      </c>
      <c r="H139" s="3001" t="s">
        <v>3793</v>
      </c>
      <c r="I139" s="2986" t="s">
        <v>3301</v>
      </c>
      <c r="J139" s="2987">
        <v>76.900000000000006</v>
      </c>
      <c r="K139" s="2989">
        <v>13</v>
      </c>
      <c r="L139" s="2986" t="s">
        <v>3383</v>
      </c>
    </row>
    <row r="140" spans="1:12" ht="14.25">
      <c r="A140" s="3001">
        <v>138</v>
      </c>
      <c r="B140" s="3001" t="s">
        <v>3795</v>
      </c>
      <c r="C140" s="3001" t="s">
        <v>3791</v>
      </c>
      <c r="D140" s="3004" t="s">
        <v>3858</v>
      </c>
      <c r="E140" s="3004">
        <v>89.95</v>
      </c>
      <c r="F140" s="3004">
        <v>8</v>
      </c>
      <c r="G140" s="3004" t="s">
        <v>3383</v>
      </c>
      <c r="H140" s="3001" t="s">
        <v>3793</v>
      </c>
      <c r="I140" s="2986" t="s">
        <v>3302</v>
      </c>
      <c r="J140" s="2987">
        <v>86.54</v>
      </c>
      <c r="K140" s="2989">
        <v>13</v>
      </c>
      <c r="L140" s="2986" t="s">
        <v>3383</v>
      </c>
    </row>
    <row r="141" spans="1:12" ht="14.25">
      <c r="A141" s="3001">
        <v>139</v>
      </c>
      <c r="B141" s="3001" t="s">
        <v>3795</v>
      </c>
      <c r="C141" s="3001" t="s">
        <v>3791</v>
      </c>
      <c r="D141" s="3004" t="s">
        <v>3859</v>
      </c>
      <c r="E141" s="3004">
        <v>99.07</v>
      </c>
      <c r="F141" s="3004">
        <v>8</v>
      </c>
      <c r="G141" s="3004" t="s">
        <v>3383</v>
      </c>
      <c r="H141" s="3001" t="s">
        <v>3793</v>
      </c>
      <c r="I141" s="2986" t="s">
        <v>3303</v>
      </c>
      <c r="J141" s="2987">
        <v>75</v>
      </c>
      <c r="K141" s="2989">
        <v>13</v>
      </c>
      <c r="L141" s="2986" t="s">
        <v>3383</v>
      </c>
    </row>
    <row r="142" spans="1:12" ht="14.25">
      <c r="A142" s="3001">
        <v>140</v>
      </c>
      <c r="B142" s="3001" t="s">
        <v>3795</v>
      </c>
      <c r="C142" s="3001" t="s">
        <v>3791</v>
      </c>
      <c r="D142" s="3004" t="s">
        <v>3860</v>
      </c>
      <c r="E142" s="3004">
        <v>72.89</v>
      </c>
      <c r="F142" s="3004">
        <v>8</v>
      </c>
      <c r="G142" s="3004" t="s">
        <v>3383</v>
      </c>
      <c r="H142" s="3001" t="s">
        <v>3793</v>
      </c>
      <c r="I142" s="2986" t="s">
        <v>3304</v>
      </c>
      <c r="J142" s="2987">
        <v>95.09</v>
      </c>
      <c r="K142" s="2989">
        <v>13</v>
      </c>
      <c r="L142" s="2986" t="s">
        <v>3383</v>
      </c>
    </row>
    <row r="143" spans="1:12" ht="14.25">
      <c r="A143" s="3001">
        <v>141</v>
      </c>
      <c r="B143" s="3001" t="s">
        <v>3795</v>
      </c>
      <c r="C143" s="3001" t="s">
        <v>3791</v>
      </c>
      <c r="D143" s="3004" t="s">
        <v>3861</v>
      </c>
      <c r="E143" s="3004">
        <v>81.849999999999994</v>
      </c>
      <c r="F143" s="3004">
        <v>8</v>
      </c>
      <c r="G143" s="3004" t="s">
        <v>3383</v>
      </c>
      <c r="H143" s="3001" t="s">
        <v>3793</v>
      </c>
      <c r="I143" s="2986" t="s">
        <v>3305</v>
      </c>
      <c r="J143" s="2987">
        <v>61.13</v>
      </c>
      <c r="K143" s="2989">
        <v>13</v>
      </c>
      <c r="L143" s="2986" t="s">
        <v>3383</v>
      </c>
    </row>
    <row r="144" spans="1:12" ht="14.25">
      <c r="A144" s="3001">
        <v>142</v>
      </c>
      <c r="B144" s="3001" t="s">
        <v>3795</v>
      </c>
      <c r="C144" s="3001" t="s">
        <v>3791</v>
      </c>
      <c r="D144" s="3004" t="s">
        <v>3862</v>
      </c>
      <c r="E144" s="3004">
        <v>68.75</v>
      </c>
      <c r="F144" s="3004">
        <v>8</v>
      </c>
      <c r="G144" s="3004" t="s">
        <v>3383</v>
      </c>
      <c r="H144" s="3001" t="s">
        <v>3793</v>
      </c>
      <c r="I144" s="2986" t="s">
        <v>3306</v>
      </c>
      <c r="J144" s="2987">
        <v>94.01</v>
      </c>
      <c r="K144" s="2989">
        <v>13</v>
      </c>
      <c r="L144" s="2986" t="s">
        <v>3383</v>
      </c>
    </row>
    <row r="145" spans="1:12" ht="14.25">
      <c r="A145" s="3001">
        <v>143</v>
      </c>
      <c r="B145" s="3001" t="s">
        <v>3795</v>
      </c>
      <c r="C145" s="3001" t="s">
        <v>3791</v>
      </c>
      <c r="D145" s="3004" t="s">
        <v>3863</v>
      </c>
      <c r="E145" s="3004">
        <v>69.97</v>
      </c>
      <c r="F145" s="3004">
        <v>8</v>
      </c>
      <c r="G145" s="3004" t="s">
        <v>3383</v>
      </c>
      <c r="H145" s="3001" t="s">
        <v>3793</v>
      </c>
      <c r="I145" s="2986" t="s">
        <v>3307</v>
      </c>
      <c r="J145" s="2987">
        <v>105.89</v>
      </c>
      <c r="K145" s="2989">
        <v>13</v>
      </c>
      <c r="L145" s="2986" t="s">
        <v>3383</v>
      </c>
    </row>
    <row r="146" spans="1:12" ht="14.25">
      <c r="A146" s="3001">
        <v>144</v>
      </c>
      <c r="B146" s="3001" t="s">
        <v>3795</v>
      </c>
      <c r="C146" s="3001" t="s">
        <v>3791</v>
      </c>
      <c r="D146" s="3004" t="s">
        <v>3864</v>
      </c>
      <c r="E146" s="3004">
        <v>107.5</v>
      </c>
      <c r="F146" s="3004">
        <v>8</v>
      </c>
      <c r="G146" s="3004" t="s">
        <v>3383</v>
      </c>
      <c r="H146" s="3001" t="s">
        <v>3793</v>
      </c>
      <c r="I146" s="2986" t="s">
        <v>3308</v>
      </c>
      <c r="J146" s="2987">
        <v>84.44</v>
      </c>
      <c r="K146" s="2989">
        <v>14</v>
      </c>
      <c r="L146" s="2986" t="s">
        <v>3383</v>
      </c>
    </row>
    <row r="147" spans="1:12" ht="14.25">
      <c r="A147" s="3001">
        <v>145</v>
      </c>
      <c r="B147" s="3001" t="s">
        <v>3795</v>
      </c>
      <c r="C147" s="3001" t="s">
        <v>3791</v>
      </c>
      <c r="D147" s="3004" t="s">
        <v>3865</v>
      </c>
      <c r="E147" s="3004">
        <v>73.87</v>
      </c>
      <c r="F147" s="3004">
        <v>8</v>
      </c>
      <c r="G147" s="3004" t="s">
        <v>3383</v>
      </c>
      <c r="H147" s="3001" t="s">
        <v>3793</v>
      </c>
      <c r="I147" s="2986" t="s">
        <v>3309</v>
      </c>
      <c r="J147" s="2987">
        <v>71.11</v>
      </c>
      <c r="K147" s="2989">
        <v>14</v>
      </c>
      <c r="L147" s="2986" t="s">
        <v>3383</v>
      </c>
    </row>
    <row r="148" spans="1:12" ht="14.25">
      <c r="A148" s="3001">
        <v>146</v>
      </c>
      <c r="B148" s="3001" t="s">
        <v>3795</v>
      </c>
      <c r="C148" s="3001" t="s">
        <v>3791</v>
      </c>
      <c r="D148" s="3004" t="s">
        <v>3866</v>
      </c>
      <c r="E148" s="3004">
        <v>115.57</v>
      </c>
      <c r="F148" s="3004">
        <v>8</v>
      </c>
      <c r="G148" s="3004" t="s">
        <v>3383</v>
      </c>
      <c r="H148" s="3001" t="s">
        <v>3793</v>
      </c>
      <c r="I148" s="2986" t="s">
        <v>3310</v>
      </c>
      <c r="J148" s="2987">
        <v>73.02</v>
      </c>
      <c r="K148" s="2989">
        <v>14</v>
      </c>
      <c r="L148" s="2986" t="s">
        <v>3383</v>
      </c>
    </row>
    <row r="149" spans="1:12" ht="14.25">
      <c r="A149" s="3001">
        <v>147</v>
      </c>
      <c r="B149" s="3001" t="s">
        <v>3795</v>
      </c>
      <c r="C149" s="3001" t="s">
        <v>3791</v>
      </c>
      <c r="D149" s="3004" t="s">
        <v>3867</v>
      </c>
      <c r="E149" s="3004">
        <v>83.27</v>
      </c>
      <c r="F149" s="3004">
        <v>8</v>
      </c>
      <c r="G149" s="3004" t="s">
        <v>3383</v>
      </c>
      <c r="H149" s="3001" t="s">
        <v>3793</v>
      </c>
      <c r="I149" s="2986" t="s">
        <v>3311</v>
      </c>
      <c r="J149" s="2987">
        <v>69</v>
      </c>
      <c r="K149" s="2989">
        <v>14</v>
      </c>
      <c r="L149" s="2986" t="s">
        <v>3383</v>
      </c>
    </row>
    <row r="150" spans="1:12" ht="14.25">
      <c r="A150" s="3001">
        <v>148</v>
      </c>
      <c r="B150" s="3001" t="s">
        <v>3795</v>
      </c>
      <c r="C150" s="3001" t="s">
        <v>3791</v>
      </c>
      <c r="D150" s="3004" t="s">
        <v>3868</v>
      </c>
      <c r="E150" s="3004">
        <v>83.27</v>
      </c>
      <c r="F150" s="3004">
        <v>8</v>
      </c>
      <c r="G150" s="3004" t="s">
        <v>3383</v>
      </c>
      <c r="H150" s="3001" t="s">
        <v>3793</v>
      </c>
      <c r="I150" s="2986" t="s">
        <v>3312</v>
      </c>
      <c r="J150" s="2987">
        <v>60.05</v>
      </c>
      <c r="K150" s="2989">
        <v>14</v>
      </c>
      <c r="L150" s="2986" t="s">
        <v>3383</v>
      </c>
    </row>
    <row r="151" spans="1:12" ht="14.25">
      <c r="A151" s="3001">
        <v>149</v>
      </c>
      <c r="B151" s="3001" t="s">
        <v>3795</v>
      </c>
      <c r="C151" s="3001" t="s">
        <v>3791</v>
      </c>
      <c r="D151" s="3004" t="s">
        <v>3869</v>
      </c>
      <c r="E151" s="3004">
        <v>115.96</v>
      </c>
      <c r="F151" s="3004">
        <v>8</v>
      </c>
      <c r="G151" s="3004" t="s">
        <v>3383</v>
      </c>
      <c r="H151" s="3001" t="s">
        <v>3793</v>
      </c>
      <c r="I151" s="2986" t="s">
        <v>3313</v>
      </c>
      <c r="J151" s="2987">
        <v>60.05</v>
      </c>
      <c r="K151" s="2989">
        <v>14</v>
      </c>
      <c r="L151" s="2986" t="s">
        <v>3383</v>
      </c>
    </row>
    <row r="152" spans="1:12" ht="14.25">
      <c r="A152" s="3001">
        <v>150</v>
      </c>
      <c r="B152" s="3001" t="s">
        <v>3795</v>
      </c>
      <c r="C152" s="3001" t="s">
        <v>3791</v>
      </c>
      <c r="D152" s="3004" t="s">
        <v>3870</v>
      </c>
      <c r="E152" s="3004">
        <v>87.71</v>
      </c>
      <c r="F152" s="3004">
        <v>8</v>
      </c>
      <c r="G152" s="3004" t="s">
        <v>3383</v>
      </c>
      <c r="H152" s="3001" t="s">
        <v>3793</v>
      </c>
      <c r="I152" s="2986" t="s">
        <v>3314</v>
      </c>
      <c r="J152" s="2987">
        <v>60.05</v>
      </c>
      <c r="K152" s="2989">
        <v>14</v>
      </c>
      <c r="L152" s="2986" t="s">
        <v>3383</v>
      </c>
    </row>
    <row r="153" spans="1:12" ht="14.25">
      <c r="A153" s="3001">
        <v>151</v>
      </c>
      <c r="B153" s="3001" t="s">
        <v>3795</v>
      </c>
      <c r="C153" s="3001" t="s">
        <v>3791</v>
      </c>
      <c r="D153" s="3004" t="s">
        <v>3871</v>
      </c>
      <c r="E153" s="3004">
        <v>126.15</v>
      </c>
      <c r="F153" s="3004">
        <v>8</v>
      </c>
      <c r="G153" s="3004" t="s">
        <v>3383</v>
      </c>
      <c r="H153" s="3001" t="s">
        <v>3793</v>
      </c>
      <c r="I153" s="2986" t="s">
        <v>3315</v>
      </c>
      <c r="J153" s="2987">
        <v>60.05</v>
      </c>
      <c r="K153" s="2989">
        <v>14</v>
      </c>
      <c r="L153" s="2986" t="s">
        <v>3383</v>
      </c>
    </row>
    <row r="154" spans="1:12" ht="14.25">
      <c r="A154" s="3001">
        <v>152</v>
      </c>
      <c r="B154" s="3001" t="s">
        <v>3795</v>
      </c>
      <c r="C154" s="3001" t="s">
        <v>3791</v>
      </c>
      <c r="D154" s="3004" t="s">
        <v>3872</v>
      </c>
      <c r="E154" s="3004">
        <v>91.67</v>
      </c>
      <c r="F154" s="3004">
        <v>8</v>
      </c>
      <c r="G154" s="3004" t="s">
        <v>3383</v>
      </c>
      <c r="H154" s="3001" t="s">
        <v>3793</v>
      </c>
      <c r="I154" s="2986" t="s">
        <v>3316</v>
      </c>
      <c r="J154" s="2987">
        <v>76.900000000000006</v>
      </c>
      <c r="K154" s="2989">
        <v>14</v>
      </c>
      <c r="L154" s="2986" t="s">
        <v>3383</v>
      </c>
    </row>
    <row r="155" spans="1:12" ht="14.25">
      <c r="A155" s="3001">
        <v>153</v>
      </c>
      <c r="B155" s="3001" t="s">
        <v>3795</v>
      </c>
      <c r="C155" s="3001" t="s">
        <v>3791</v>
      </c>
      <c r="D155" s="3004" t="s">
        <v>3873</v>
      </c>
      <c r="E155" s="3004">
        <v>76.2</v>
      </c>
      <c r="F155" s="3004">
        <v>8</v>
      </c>
      <c r="G155" s="3004" t="s">
        <v>3383</v>
      </c>
      <c r="H155" s="3001" t="s">
        <v>3793</v>
      </c>
      <c r="I155" s="2986" t="s">
        <v>3317</v>
      </c>
      <c r="J155" s="2987">
        <v>86.54</v>
      </c>
      <c r="K155" s="2989">
        <v>14</v>
      </c>
      <c r="L155" s="2986" t="s">
        <v>3383</v>
      </c>
    </row>
    <row r="156" spans="1:12" ht="14.25">
      <c r="A156" s="3001">
        <v>154</v>
      </c>
      <c r="B156" s="3001" t="s">
        <v>3795</v>
      </c>
      <c r="C156" s="3001" t="s">
        <v>3791</v>
      </c>
      <c r="D156" s="3004" t="s">
        <v>3874</v>
      </c>
      <c r="E156" s="3004">
        <v>95.36</v>
      </c>
      <c r="F156" s="3004">
        <v>8</v>
      </c>
      <c r="G156" s="3004" t="s">
        <v>3383</v>
      </c>
      <c r="H156" s="3001" t="s">
        <v>3793</v>
      </c>
      <c r="I156" s="2986" t="s">
        <v>3318</v>
      </c>
      <c r="J156" s="2987">
        <v>75</v>
      </c>
      <c r="K156" s="2989">
        <v>14</v>
      </c>
      <c r="L156" s="2986" t="s">
        <v>3383</v>
      </c>
    </row>
    <row r="157" spans="1:12" ht="14.25">
      <c r="A157" s="3001">
        <v>155</v>
      </c>
      <c r="B157" s="3001" t="s">
        <v>3795</v>
      </c>
      <c r="C157" s="3001" t="s">
        <v>3791</v>
      </c>
      <c r="D157" s="3004" t="s">
        <v>3875</v>
      </c>
      <c r="E157" s="3004">
        <v>68.849999999999994</v>
      </c>
      <c r="F157" s="3004">
        <v>8</v>
      </c>
      <c r="G157" s="3004" t="s">
        <v>3383</v>
      </c>
      <c r="H157" s="3001" t="s">
        <v>3793</v>
      </c>
      <c r="I157" s="2986" t="s">
        <v>3319</v>
      </c>
      <c r="J157" s="2987">
        <v>95.09</v>
      </c>
      <c r="K157" s="2989">
        <v>14</v>
      </c>
      <c r="L157" s="2986" t="s">
        <v>3383</v>
      </c>
    </row>
    <row r="158" spans="1:12" ht="14.25">
      <c r="A158" s="3001">
        <v>156</v>
      </c>
      <c r="B158" s="3001" t="s">
        <v>3795</v>
      </c>
      <c r="C158" s="3001" t="s">
        <v>3791</v>
      </c>
      <c r="D158" s="3004" t="s">
        <v>3876</v>
      </c>
      <c r="E158" s="3004">
        <v>68.849999999999994</v>
      </c>
      <c r="F158" s="3004">
        <v>8</v>
      </c>
      <c r="G158" s="3004" t="s">
        <v>3383</v>
      </c>
      <c r="H158" s="3001" t="s">
        <v>3793</v>
      </c>
      <c r="I158" s="2986" t="s">
        <v>3320</v>
      </c>
      <c r="J158" s="2987">
        <v>61.13</v>
      </c>
      <c r="K158" s="2989">
        <v>14</v>
      </c>
      <c r="L158" s="2986" t="s">
        <v>3383</v>
      </c>
    </row>
    <row r="159" spans="1:12" ht="14.25">
      <c r="A159" s="3001">
        <v>157</v>
      </c>
      <c r="B159" s="3001" t="s">
        <v>3795</v>
      </c>
      <c r="C159" s="3001" t="s">
        <v>3791</v>
      </c>
      <c r="D159" s="3004" t="s">
        <v>3877</v>
      </c>
      <c r="E159" s="3004">
        <v>94.09</v>
      </c>
      <c r="F159" s="3004">
        <v>9</v>
      </c>
      <c r="G159" s="3004" t="s">
        <v>3383</v>
      </c>
      <c r="H159" s="3001" t="s">
        <v>3793</v>
      </c>
      <c r="I159" s="2986" t="s">
        <v>3321</v>
      </c>
      <c r="J159" s="2987">
        <v>94.01</v>
      </c>
      <c r="K159" s="2989">
        <v>14</v>
      </c>
      <c r="L159" s="2986" t="s">
        <v>3383</v>
      </c>
    </row>
    <row r="160" spans="1:12" ht="14.25">
      <c r="A160" s="3001">
        <v>158</v>
      </c>
      <c r="B160" s="3001" t="s">
        <v>3795</v>
      </c>
      <c r="C160" s="3001" t="s">
        <v>3791</v>
      </c>
      <c r="D160" s="3004" t="s">
        <v>3878</v>
      </c>
      <c r="E160" s="3004">
        <v>76.27</v>
      </c>
      <c r="F160" s="3004">
        <v>9</v>
      </c>
      <c r="G160" s="3004" t="s">
        <v>3383</v>
      </c>
      <c r="H160" s="3001" t="s">
        <v>3793</v>
      </c>
      <c r="I160" s="2986" t="s">
        <v>3322</v>
      </c>
      <c r="J160" s="2987">
        <v>105.89</v>
      </c>
      <c r="K160" s="2989">
        <v>14</v>
      </c>
      <c r="L160" s="2986" t="s">
        <v>3383</v>
      </c>
    </row>
    <row r="161" spans="1:12" ht="14.25">
      <c r="A161" s="3001">
        <v>159</v>
      </c>
      <c r="B161" s="3001" t="s">
        <v>3795</v>
      </c>
      <c r="C161" s="3001" t="s">
        <v>3791</v>
      </c>
      <c r="D161" s="3004" t="s">
        <v>3879</v>
      </c>
      <c r="E161" s="3004">
        <v>75.760000000000005</v>
      </c>
      <c r="F161" s="3004">
        <v>9</v>
      </c>
      <c r="G161" s="3004" t="s">
        <v>3383</v>
      </c>
      <c r="H161" s="3001" t="s">
        <v>3793</v>
      </c>
      <c r="I161" s="2986" t="s">
        <v>3323</v>
      </c>
      <c r="J161" s="2987">
        <v>84.44</v>
      </c>
      <c r="K161" s="2989">
        <v>15</v>
      </c>
      <c r="L161" s="2986" t="s">
        <v>3383</v>
      </c>
    </row>
    <row r="162" spans="1:12" ht="14.25">
      <c r="A162" s="3001">
        <v>160</v>
      </c>
      <c r="B162" s="3001" t="s">
        <v>3795</v>
      </c>
      <c r="C162" s="3001" t="s">
        <v>3791</v>
      </c>
      <c r="D162" s="3004" t="s">
        <v>3880</v>
      </c>
      <c r="E162" s="3004">
        <v>89.95</v>
      </c>
      <c r="F162" s="3004">
        <v>9</v>
      </c>
      <c r="G162" s="3004" t="s">
        <v>3383</v>
      </c>
      <c r="H162" s="3001" t="s">
        <v>3793</v>
      </c>
      <c r="I162" s="2986" t="s">
        <v>3324</v>
      </c>
      <c r="J162" s="2987">
        <v>71.11</v>
      </c>
      <c r="K162" s="2989">
        <v>15</v>
      </c>
      <c r="L162" s="2986" t="s">
        <v>3383</v>
      </c>
    </row>
    <row r="163" spans="1:12" ht="14.25">
      <c r="A163" s="3001">
        <v>161</v>
      </c>
      <c r="B163" s="3001" t="s">
        <v>3795</v>
      </c>
      <c r="C163" s="3001" t="s">
        <v>3791</v>
      </c>
      <c r="D163" s="3004" t="s">
        <v>3881</v>
      </c>
      <c r="E163" s="3004">
        <v>99.07</v>
      </c>
      <c r="F163" s="3004">
        <v>9</v>
      </c>
      <c r="G163" s="3004" t="s">
        <v>3383</v>
      </c>
      <c r="H163" s="3001" t="s">
        <v>3793</v>
      </c>
      <c r="I163" s="2986" t="s">
        <v>3325</v>
      </c>
      <c r="J163" s="2987">
        <v>73.02</v>
      </c>
      <c r="K163" s="2989">
        <v>15</v>
      </c>
      <c r="L163" s="2986" t="s">
        <v>3383</v>
      </c>
    </row>
    <row r="164" spans="1:12" ht="14.25">
      <c r="A164" s="3001">
        <v>162</v>
      </c>
      <c r="B164" s="3001" t="s">
        <v>3795</v>
      </c>
      <c r="C164" s="3001" t="s">
        <v>3791</v>
      </c>
      <c r="D164" s="3004" t="s">
        <v>3882</v>
      </c>
      <c r="E164" s="3004">
        <v>72.89</v>
      </c>
      <c r="F164" s="3004">
        <v>9</v>
      </c>
      <c r="G164" s="3004" t="s">
        <v>3383</v>
      </c>
      <c r="H164" s="3001" t="s">
        <v>3793</v>
      </c>
      <c r="I164" s="2986" t="s">
        <v>3326</v>
      </c>
      <c r="J164" s="2987">
        <v>69</v>
      </c>
      <c r="K164" s="2989">
        <v>15</v>
      </c>
      <c r="L164" s="2986" t="s">
        <v>3383</v>
      </c>
    </row>
    <row r="165" spans="1:12" ht="14.25">
      <c r="A165" s="3001">
        <v>163</v>
      </c>
      <c r="B165" s="3001" t="s">
        <v>3795</v>
      </c>
      <c r="C165" s="3001" t="s">
        <v>3791</v>
      </c>
      <c r="D165" s="3004" t="s">
        <v>3883</v>
      </c>
      <c r="E165" s="3004">
        <v>81.849999999999994</v>
      </c>
      <c r="F165" s="3004">
        <v>9</v>
      </c>
      <c r="G165" s="3004" t="s">
        <v>3383</v>
      </c>
      <c r="H165" s="3001" t="s">
        <v>3793</v>
      </c>
      <c r="I165" s="2986" t="s">
        <v>3327</v>
      </c>
      <c r="J165" s="2987">
        <v>60.05</v>
      </c>
      <c r="K165" s="2989">
        <v>15</v>
      </c>
      <c r="L165" s="2986" t="s">
        <v>3383</v>
      </c>
    </row>
    <row r="166" spans="1:12" ht="14.25">
      <c r="A166" s="3001">
        <v>164</v>
      </c>
      <c r="B166" s="3001" t="s">
        <v>3795</v>
      </c>
      <c r="C166" s="3001" t="s">
        <v>3791</v>
      </c>
      <c r="D166" s="3004" t="s">
        <v>3884</v>
      </c>
      <c r="E166" s="3004">
        <v>68.75</v>
      </c>
      <c r="F166" s="3004">
        <v>9</v>
      </c>
      <c r="G166" s="3004" t="s">
        <v>3383</v>
      </c>
      <c r="H166" s="3001" t="s">
        <v>3793</v>
      </c>
      <c r="I166" s="2986" t="s">
        <v>3328</v>
      </c>
      <c r="J166" s="2987">
        <v>60.05</v>
      </c>
      <c r="K166" s="2989">
        <v>15</v>
      </c>
      <c r="L166" s="2986" t="s">
        <v>3383</v>
      </c>
    </row>
    <row r="167" spans="1:12" ht="14.25">
      <c r="A167" s="3001">
        <v>165</v>
      </c>
      <c r="B167" s="3001" t="s">
        <v>3795</v>
      </c>
      <c r="C167" s="3001" t="s">
        <v>3791</v>
      </c>
      <c r="D167" s="3004" t="s">
        <v>3885</v>
      </c>
      <c r="E167" s="3004">
        <v>69.97</v>
      </c>
      <c r="F167" s="3004">
        <v>9</v>
      </c>
      <c r="G167" s="3004" t="s">
        <v>3383</v>
      </c>
      <c r="H167" s="3001" t="s">
        <v>3793</v>
      </c>
      <c r="I167" s="2986" t="s">
        <v>3329</v>
      </c>
      <c r="J167" s="2987">
        <v>60.05</v>
      </c>
      <c r="K167" s="2989">
        <v>15</v>
      </c>
      <c r="L167" s="2986" t="s">
        <v>3383</v>
      </c>
    </row>
    <row r="168" spans="1:12" ht="14.25">
      <c r="A168" s="3001">
        <v>166</v>
      </c>
      <c r="B168" s="3001" t="s">
        <v>3795</v>
      </c>
      <c r="C168" s="3001" t="s">
        <v>3791</v>
      </c>
      <c r="D168" s="3004" t="s">
        <v>3886</v>
      </c>
      <c r="E168" s="3004">
        <v>107.5</v>
      </c>
      <c r="F168" s="3004">
        <v>9</v>
      </c>
      <c r="G168" s="3004" t="s">
        <v>3383</v>
      </c>
      <c r="H168" s="3001" t="s">
        <v>3793</v>
      </c>
      <c r="I168" s="2986" t="s">
        <v>3330</v>
      </c>
      <c r="J168" s="2987">
        <v>60.05</v>
      </c>
      <c r="K168" s="2989">
        <v>15</v>
      </c>
      <c r="L168" s="2986" t="s">
        <v>3383</v>
      </c>
    </row>
    <row r="169" spans="1:12" ht="14.25">
      <c r="A169" s="3001">
        <v>167</v>
      </c>
      <c r="B169" s="3001" t="s">
        <v>3795</v>
      </c>
      <c r="C169" s="3001" t="s">
        <v>3791</v>
      </c>
      <c r="D169" s="3004" t="s">
        <v>3887</v>
      </c>
      <c r="E169" s="3004">
        <v>73.87</v>
      </c>
      <c r="F169" s="3004">
        <v>9</v>
      </c>
      <c r="G169" s="3004" t="s">
        <v>3383</v>
      </c>
      <c r="H169" s="3001" t="s">
        <v>3793</v>
      </c>
      <c r="I169" s="2986" t="s">
        <v>3331</v>
      </c>
      <c r="J169" s="2987">
        <v>76.900000000000006</v>
      </c>
      <c r="K169" s="2989">
        <v>15</v>
      </c>
      <c r="L169" s="2986" t="s">
        <v>3383</v>
      </c>
    </row>
    <row r="170" spans="1:12" ht="14.25">
      <c r="A170" s="3001">
        <v>168</v>
      </c>
      <c r="B170" s="3001" t="s">
        <v>3795</v>
      </c>
      <c r="C170" s="3001" t="s">
        <v>3791</v>
      </c>
      <c r="D170" s="3004" t="s">
        <v>3888</v>
      </c>
      <c r="E170" s="3004">
        <v>115.57</v>
      </c>
      <c r="F170" s="3004">
        <v>9</v>
      </c>
      <c r="G170" s="3004" t="s">
        <v>3383</v>
      </c>
      <c r="H170" s="3001" t="s">
        <v>3793</v>
      </c>
      <c r="I170" s="2986" t="s">
        <v>3332</v>
      </c>
      <c r="J170" s="2987">
        <v>86.54</v>
      </c>
      <c r="K170" s="2989">
        <v>15</v>
      </c>
      <c r="L170" s="2986" t="s">
        <v>3383</v>
      </c>
    </row>
    <row r="171" spans="1:12" ht="14.25">
      <c r="A171" s="3001">
        <v>169</v>
      </c>
      <c r="B171" s="3001" t="s">
        <v>3795</v>
      </c>
      <c r="C171" s="3001" t="s">
        <v>3791</v>
      </c>
      <c r="D171" s="3004" t="s">
        <v>3889</v>
      </c>
      <c r="E171" s="3004">
        <v>83.27</v>
      </c>
      <c r="F171" s="3004">
        <v>9</v>
      </c>
      <c r="G171" s="3004" t="s">
        <v>3383</v>
      </c>
      <c r="H171" s="3001" t="s">
        <v>3793</v>
      </c>
      <c r="I171" s="2986" t="s">
        <v>3333</v>
      </c>
      <c r="J171" s="2987">
        <v>75</v>
      </c>
      <c r="K171" s="2989">
        <v>15</v>
      </c>
      <c r="L171" s="2986" t="s">
        <v>3383</v>
      </c>
    </row>
    <row r="172" spans="1:12" ht="14.25">
      <c r="A172" s="3001">
        <v>170</v>
      </c>
      <c r="B172" s="3001" t="s">
        <v>3795</v>
      </c>
      <c r="C172" s="3001" t="s">
        <v>3791</v>
      </c>
      <c r="D172" s="3004" t="s">
        <v>3890</v>
      </c>
      <c r="E172" s="3004">
        <v>83.27</v>
      </c>
      <c r="F172" s="3004">
        <v>9</v>
      </c>
      <c r="G172" s="3004" t="s">
        <v>3383</v>
      </c>
      <c r="H172" s="3001" t="s">
        <v>3793</v>
      </c>
      <c r="I172" s="2986" t="s">
        <v>3334</v>
      </c>
      <c r="J172" s="2987">
        <v>95.09</v>
      </c>
      <c r="K172" s="2989">
        <v>15</v>
      </c>
      <c r="L172" s="2986" t="s">
        <v>3383</v>
      </c>
    </row>
    <row r="173" spans="1:12" ht="14.25">
      <c r="A173" s="3001">
        <v>171</v>
      </c>
      <c r="B173" s="3001" t="s">
        <v>3795</v>
      </c>
      <c r="C173" s="3001" t="s">
        <v>3791</v>
      </c>
      <c r="D173" s="3004" t="s">
        <v>3891</v>
      </c>
      <c r="E173" s="3004">
        <v>115.96</v>
      </c>
      <c r="F173" s="3004">
        <v>9</v>
      </c>
      <c r="G173" s="3004" t="s">
        <v>3383</v>
      </c>
      <c r="H173" s="3001" t="s">
        <v>3793</v>
      </c>
      <c r="I173" s="2986" t="s">
        <v>3335</v>
      </c>
      <c r="J173" s="2987">
        <v>61.13</v>
      </c>
      <c r="K173" s="2989">
        <v>15</v>
      </c>
      <c r="L173" s="2986" t="s">
        <v>3383</v>
      </c>
    </row>
    <row r="174" spans="1:12" ht="14.25">
      <c r="A174" s="3001">
        <v>172</v>
      </c>
      <c r="B174" s="3001" t="s">
        <v>3795</v>
      </c>
      <c r="C174" s="3001" t="s">
        <v>3791</v>
      </c>
      <c r="D174" s="3004" t="s">
        <v>3892</v>
      </c>
      <c r="E174" s="3004">
        <v>87.71</v>
      </c>
      <c r="F174" s="3004">
        <v>9</v>
      </c>
      <c r="G174" s="3004" t="s">
        <v>3383</v>
      </c>
      <c r="H174" s="3001" t="s">
        <v>3793</v>
      </c>
      <c r="I174" s="2986" t="s">
        <v>3336</v>
      </c>
      <c r="J174" s="2987">
        <v>94.01</v>
      </c>
      <c r="K174" s="2989">
        <v>15</v>
      </c>
      <c r="L174" s="2986" t="s">
        <v>3383</v>
      </c>
    </row>
    <row r="175" spans="1:12" ht="14.25">
      <c r="A175" s="3001">
        <v>173</v>
      </c>
      <c r="B175" s="3001" t="s">
        <v>3795</v>
      </c>
      <c r="C175" s="3001" t="s">
        <v>3791</v>
      </c>
      <c r="D175" s="3004" t="s">
        <v>3893</v>
      </c>
      <c r="E175" s="3004">
        <v>126.15</v>
      </c>
      <c r="F175" s="3004">
        <v>9</v>
      </c>
      <c r="G175" s="3004" t="s">
        <v>3383</v>
      </c>
      <c r="H175" s="3001" t="s">
        <v>3793</v>
      </c>
      <c r="I175" s="2986" t="s">
        <v>3337</v>
      </c>
      <c r="J175" s="2987">
        <v>105.89</v>
      </c>
      <c r="K175" s="2989">
        <v>15</v>
      </c>
      <c r="L175" s="2986" t="s">
        <v>3383</v>
      </c>
    </row>
    <row r="176" spans="1:12" ht="14.25">
      <c r="A176" s="3001">
        <v>174</v>
      </c>
      <c r="B176" s="3001" t="s">
        <v>3795</v>
      </c>
      <c r="C176" s="3001" t="s">
        <v>3791</v>
      </c>
      <c r="D176" s="3004" t="s">
        <v>3894</v>
      </c>
      <c r="E176" s="3004">
        <v>91.67</v>
      </c>
      <c r="F176" s="3004">
        <v>9</v>
      </c>
      <c r="G176" s="3004" t="s">
        <v>3383</v>
      </c>
      <c r="H176" s="3001" t="s">
        <v>3793</v>
      </c>
      <c r="I176" s="2986" t="s">
        <v>3338</v>
      </c>
      <c r="J176" s="2987">
        <v>84.44</v>
      </c>
      <c r="K176" s="2989">
        <v>16</v>
      </c>
      <c r="L176" s="2986" t="s">
        <v>3383</v>
      </c>
    </row>
    <row r="177" spans="1:12" ht="14.25">
      <c r="A177" s="3001">
        <v>175</v>
      </c>
      <c r="B177" s="3001" t="s">
        <v>3795</v>
      </c>
      <c r="C177" s="3001" t="s">
        <v>3791</v>
      </c>
      <c r="D177" s="3004" t="s">
        <v>3895</v>
      </c>
      <c r="E177" s="3004">
        <v>76.2</v>
      </c>
      <c r="F177" s="3004">
        <v>9</v>
      </c>
      <c r="G177" s="3004" t="s">
        <v>3383</v>
      </c>
      <c r="H177" s="3001" t="s">
        <v>3793</v>
      </c>
      <c r="I177" s="2986" t="s">
        <v>3339</v>
      </c>
      <c r="J177" s="2987">
        <v>71.11</v>
      </c>
      <c r="K177" s="2989">
        <v>16</v>
      </c>
      <c r="L177" s="2986" t="s">
        <v>3383</v>
      </c>
    </row>
    <row r="178" spans="1:12" ht="14.25">
      <c r="A178" s="3001">
        <v>176</v>
      </c>
      <c r="B178" s="3001" t="s">
        <v>3795</v>
      </c>
      <c r="C178" s="3001" t="s">
        <v>3791</v>
      </c>
      <c r="D178" s="3004" t="s">
        <v>3896</v>
      </c>
      <c r="E178" s="3004">
        <v>95.36</v>
      </c>
      <c r="F178" s="3004">
        <v>9</v>
      </c>
      <c r="G178" s="3004" t="s">
        <v>3383</v>
      </c>
      <c r="H178" s="3001" t="s">
        <v>3793</v>
      </c>
      <c r="I178" s="2986" t="s">
        <v>3340</v>
      </c>
      <c r="J178" s="2987">
        <v>73.02</v>
      </c>
      <c r="K178" s="2989">
        <v>16</v>
      </c>
      <c r="L178" s="2986" t="s">
        <v>3383</v>
      </c>
    </row>
    <row r="179" spans="1:12" ht="14.25">
      <c r="A179" s="3001">
        <v>177</v>
      </c>
      <c r="B179" s="3001" t="s">
        <v>3795</v>
      </c>
      <c r="C179" s="3001" t="s">
        <v>3791</v>
      </c>
      <c r="D179" s="3004" t="s">
        <v>3897</v>
      </c>
      <c r="E179" s="3004">
        <v>68.849999999999994</v>
      </c>
      <c r="F179" s="3004">
        <v>9</v>
      </c>
      <c r="G179" s="3004" t="s">
        <v>3383</v>
      </c>
      <c r="H179" s="3001" t="s">
        <v>3793</v>
      </c>
      <c r="I179" s="2986" t="s">
        <v>3341</v>
      </c>
      <c r="J179" s="2987">
        <v>69</v>
      </c>
      <c r="K179" s="2989">
        <v>16</v>
      </c>
      <c r="L179" s="2986" t="s">
        <v>3383</v>
      </c>
    </row>
    <row r="180" spans="1:12" ht="14.25">
      <c r="A180" s="3001">
        <v>178</v>
      </c>
      <c r="B180" s="3001" t="s">
        <v>3795</v>
      </c>
      <c r="C180" s="3001" t="s">
        <v>3791</v>
      </c>
      <c r="D180" s="3004" t="s">
        <v>3898</v>
      </c>
      <c r="E180" s="3004">
        <v>68.849999999999994</v>
      </c>
      <c r="F180" s="3004">
        <v>9</v>
      </c>
      <c r="G180" s="3004" t="s">
        <v>3383</v>
      </c>
      <c r="H180" s="3001" t="s">
        <v>3793</v>
      </c>
      <c r="I180" s="2986" t="s">
        <v>3342</v>
      </c>
      <c r="J180" s="2987">
        <v>60.05</v>
      </c>
      <c r="K180" s="2989">
        <v>16</v>
      </c>
      <c r="L180" s="2986" t="s">
        <v>3383</v>
      </c>
    </row>
    <row r="181" spans="1:12" ht="14.25">
      <c r="A181" s="3001">
        <v>179</v>
      </c>
      <c r="B181" s="3001" t="s">
        <v>3795</v>
      </c>
      <c r="C181" s="3001" t="s">
        <v>3791</v>
      </c>
      <c r="D181" s="3004" t="s">
        <v>3899</v>
      </c>
      <c r="E181" s="3004">
        <v>94.09</v>
      </c>
      <c r="F181" s="3004">
        <v>10</v>
      </c>
      <c r="G181" s="3004" t="s">
        <v>3383</v>
      </c>
      <c r="H181" s="3001" t="s">
        <v>3793</v>
      </c>
      <c r="I181" s="2986" t="s">
        <v>3343</v>
      </c>
      <c r="J181" s="2987">
        <v>60.05</v>
      </c>
      <c r="K181" s="2989">
        <v>16</v>
      </c>
      <c r="L181" s="2986" t="s">
        <v>3383</v>
      </c>
    </row>
    <row r="182" spans="1:12" ht="14.25">
      <c r="A182" s="3001">
        <v>180</v>
      </c>
      <c r="B182" s="3001" t="s">
        <v>3795</v>
      </c>
      <c r="C182" s="3001" t="s">
        <v>3791</v>
      </c>
      <c r="D182" s="3004" t="s">
        <v>3900</v>
      </c>
      <c r="E182" s="3004">
        <v>76.27</v>
      </c>
      <c r="F182" s="3004">
        <v>10</v>
      </c>
      <c r="G182" s="3004" t="s">
        <v>3383</v>
      </c>
      <c r="H182" s="3001" t="s">
        <v>3793</v>
      </c>
      <c r="I182" s="2986" t="s">
        <v>3344</v>
      </c>
      <c r="J182" s="2987">
        <v>60.05</v>
      </c>
      <c r="K182" s="2989">
        <v>16</v>
      </c>
      <c r="L182" s="2986" t="s">
        <v>3383</v>
      </c>
    </row>
    <row r="183" spans="1:12" ht="14.25">
      <c r="A183" s="3001">
        <v>181</v>
      </c>
      <c r="B183" s="3001" t="s">
        <v>3795</v>
      </c>
      <c r="C183" s="3001" t="s">
        <v>3791</v>
      </c>
      <c r="D183" s="3004" t="s">
        <v>3901</v>
      </c>
      <c r="E183" s="3004">
        <v>75.760000000000005</v>
      </c>
      <c r="F183" s="3004">
        <v>10</v>
      </c>
      <c r="G183" s="3004" t="s">
        <v>3383</v>
      </c>
      <c r="H183" s="3001" t="s">
        <v>3793</v>
      </c>
      <c r="I183" s="2986" t="s">
        <v>3345</v>
      </c>
      <c r="J183" s="2987">
        <v>60.05</v>
      </c>
      <c r="K183" s="2989">
        <v>16</v>
      </c>
      <c r="L183" s="2986" t="s">
        <v>3383</v>
      </c>
    </row>
    <row r="184" spans="1:12" ht="14.25">
      <c r="A184" s="3001">
        <v>182</v>
      </c>
      <c r="B184" s="3001" t="s">
        <v>3795</v>
      </c>
      <c r="C184" s="3001" t="s">
        <v>3791</v>
      </c>
      <c r="D184" s="3004" t="s">
        <v>3902</v>
      </c>
      <c r="E184" s="3004">
        <v>89.95</v>
      </c>
      <c r="F184" s="3004">
        <v>10</v>
      </c>
      <c r="G184" s="3004" t="s">
        <v>3383</v>
      </c>
      <c r="H184" s="3001" t="s">
        <v>3793</v>
      </c>
      <c r="I184" s="2986" t="s">
        <v>3346</v>
      </c>
      <c r="J184" s="2987">
        <v>76.900000000000006</v>
      </c>
      <c r="K184" s="2989">
        <v>16</v>
      </c>
      <c r="L184" s="2986" t="s">
        <v>3383</v>
      </c>
    </row>
    <row r="185" spans="1:12" ht="14.25">
      <c r="A185" s="3001">
        <v>183</v>
      </c>
      <c r="B185" s="3001" t="s">
        <v>3795</v>
      </c>
      <c r="C185" s="3001" t="s">
        <v>3791</v>
      </c>
      <c r="D185" s="3004" t="s">
        <v>3903</v>
      </c>
      <c r="E185" s="3004">
        <v>99.07</v>
      </c>
      <c r="F185" s="3004">
        <v>10</v>
      </c>
      <c r="G185" s="3004" t="s">
        <v>3383</v>
      </c>
      <c r="H185" s="3001" t="s">
        <v>3793</v>
      </c>
      <c r="I185" s="2986" t="s">
        <v>3347</v>
      </c>
      <c r="J185" s="2987">
        <v>86.54</v>
      </c>
      <c r="K185" s="2989">
        <v>16</v>
      </c>
      <c r="L185" s="2986" t="s">
        <v>3383</v>
      </c>
    </row>
    <row r="186" spans="1:12" ht="14.25">
      <c r="A186" s="3001">
        <v>184</v>
      </c>
      <c r="B186" s="3001" t="s">
        <v>3795</v>
      </c>
      <c r="C186" s="3001" t="s">
        <v>3791</v>
      </c>
      <c r="D186" s="3004" t="s">
        <v>3904</v>
      </c>
      <c r="E186" s="3004">
        <v>72.89</v>
      </c>
      <c r="F186" s="3004">
        <v>10</v>
      </c>
      <c r="G186" s="3004" t="s">
        <v>3383</v>
      </c>
      <c r="H186" s="3001" t="s">
        <v>3793</v>
      </c>
      <c r="I186" s="2986" t="s">
        <v>3348</v>
      </c>
      <c r="J186" s="2987">
        <v>75</v>
      </c>
      <c r="K186" s="2989">
        <v>16</v>
      </c>
      <c r="L186" s="2986" t="s">
        <v>3383</v>
      </c>
    </row>
    <row r="187" spans="1:12" ht="14.25">
      <c r="A187" s="3001">
        <v>185</v>
      </c>
      <c r="B187" s="3001" t="s">
        <v>3795</v>
      </c>
      <c r="C187" s="3001" t="s">
        <v>3791</v>
      </c>
      <c r="D187" s="3004" t="s">
        <v>3905</v>
      </c>
      <c r="E187" s="3004">
        <v>81.849999999999994</v>
      </c>
      <c r="F187" s="3004">
        <v>10</v>
      </c>
      <c r="G187" s="3004" t="s">
        <v>3383</v>
      </c>
      <c r="H187" s="3001" t="s">
        <v>3793</v>
      </c>
      <c r="I187" s="2986" t="s">
        <v>3349</v>
      </c>
      <c r="J187" s="2987">
        <v>95.09</v>
      </c>
      <c r="K187" s="2989">
        <v>16</v>
      </c>
      <c r="L187" s="2986" t="s">
        <v>3383</v>
      </c>
    </row>
    <row r="188" spans="1:12" ht="14.25">
      <c r="A188" s="3001">
        <v>186</v>
      </c>
      <c r="B188" s="3001" t="s">
        <v>3795</v>
      </c>
      <c r="C188" s="3001" t="s">
        <v>3791</v>
      </c>
      <c r="D188" s="3004" t="s">
        <v>3906</v>
      </c>
      <c r="E188" s="3004">
        <v>68.75</v>
      </c>
      <c r="F188" s="3004">
        <v>10</v>
      </c>
      <c r="G188" s="3004" t="s">
        <v>3383</v>
      </c>
      <c r="H188" s="3001" t="s">
        <v>3793</v>
      </c>
      <c r="I188" s="2986" t="s">
        <v>3350</v>
      </c>
      <c r="J188" s="2987">
        <v>61.13</v>
      </c>
      <c r="K188" s="2989">
        <v>16</v>
      </c>
      <c r="L188" s="2986" t="s">
        <v>3383</v>
      </c>
    </row>
    <row r="189" spans="1:12" ht="14.25">
      <c r="A189" s="3001">
        <v>187</v>
      </c>
      <c r="B189" s="3001" t="s">
        <v>3795</v>
      </c>
      <c r="C189" s="3001" t="s">
        <v>3791</v>
      </c>
      <c r="D189" s="3004" t="s">
        <v>3907</v>
      </c>
      <c r="E189" s="3004">
        <v>69.97</v>
      </c>
      <c r="F189" s="3004">
        <v>10</v>
      </c>
      <c r="G189" s="3004" t="s">
        <v>3383</v>
      </c>
      <c r="H189" s="3001" t="s">
        <v>3793</v>
      </c>
      <c r="I189" s="2986" t="s">
        <v>3351</v>
      </c>
      <c r="J189" s="2987">
        <v>94.01</v>
      </c>
      <c r="K189" s="2989">
        <v>16</v>
      </c>
      <c r="L189" s="2986" t="s">
        <v>3383</v>
      </c>
    </row>
    <row r="190" spans="1:12" ht="14.25">
      <c r="A190" s="3001">
        <v>188</v>
      </c>
      <c r="B190" s="3001" t="s">
        <v>3795</v>
      </c>
      <c r="C190" s="3001" t="s">
        <v>3791</v>
      </c>
      <c r="D190" s="3004" t="s">
        <v>3908</v>
      </c>
      <c r="E190" s="3004">
        <v>107.5</v>
      </c>
      <c r="F190" s="3004">
        <v>10</v>
      </c>
      <c r="G190" s="3004" t="s">
        <v>3383</v>
      </c>
      <c r="H190" s="3001" t="s">
        <v>3793</v>
      </c>
      <c r="I190" s="2986" t="s">
        <v>3352</v>
      </c>
      <c r="J190" s="2987">
        <v>105.89</v>
      </c>
      <c r="K190" s="2989">
        <v>16</v>
      </c>
      <c r="L190" s="2986" t="s">
        <v>3383</v>
      </c>
    </row>
    <row r="191" spans="1:12" ht="14.25">
      <c r="A191" s="3001">
        <v>189</v>
      </c>
      <c r="B191" s="3001" t="s">
        <v>3795</v>
      </c>
      <c r="C191" s="3001" t="s">
        <v>3791</v>
      </c>
      <c r="D191" s="3004" t="s">
        <v>3909</v>
      </c>
      <c r="E191" s="3004">
        <v>73.87</v>
      </c>
      <c r="F191" s="3004">
        <v>10</v>
      </c>
      <c r="G191" s="3004" t="s">
        <v>3383</v>
      </c>
      <c r="H191" s="3001" t="s">
        <v>3793</v>
      </c>
      <c r="I191" s="2986" t="s">
        <v>3353</v>
      </c>
      <c r="J191" s="2987">
        <v>84.44</v>
      </c>
      <c r="K191" s="2989">
        <v>17</v>
      </c>
      <c r="L191" s="2986" t="s">
        <v>3383</v>
      </c>
    </row>
    <row r="192" spans="1:12" ht="14.25">
      <c r="A192" s="3001">
        <v>190</v>
      </c>
      <c r="B192" s="3001" t="s">
        <v>3795</v>
      </c>
      <c r="C192" s="3001" t="s">
        <v>3791</v>
      </c>
      <c r="D192" s="3004" t="s">
        <v>3910</v>
      </c>
      <c r="E192" s="3004">
        <v>115.57</v>
      </c>
      <c r="F192" s="3004">
        <v>10</v>
      </c>
      <c r="G192" s="3004" t="s">
        <v>3383</v>
      </c>
      <c r="H192" s="3001" t="s">
        <v>3793</v>
      </c>
      <c r="I192" s="2986" t="s">
        <v>3354</v>
      </c>
      <c r="J192" s="2987">
        <v>71.11</v>
      </c>
      <c r="K192" s="2989">
        <v>17</v>
      </c>
      <c r="L192" s="2986" t="s">
        <v>3383</v>
      </c>
    </row>
    <row r="193" spans="1:12" ht="14.25">
      <c r="A193" s="3001">
        <v>191</v>
      </c>
      <c r="B193" s="3001" t="s">
        <v>3795</v>
      </c>
      <c r="C193" s="3001" t="s">
        <v>3791</v>
      </c>
      <c r="D193" s="3004" t="s">
        <v>3911</v>
      </c>
      <c r="E193" s="3004">
        <v>83.27</v>
      </c>
      <c r="F193" s="3004">
        <v>10</v>
      </c>
      <c r="G193" s="3004" t="s">
        <v>3383</v>
      </c>
      <c r="H193" s="3001" t="s">
        <v>3793</v>
      </c>
      <c r="I193" s="2986" t="s">
        <v>3355</v>
      </c>
      <c r="J193" s="2987">
        <v>73.02</v>
      </c>
      <c r="K193" s="2989">
        <v>17</v>
      </c>
      <c r="L193" s="2986" t="s">
        <v>3383</v>
      </c>
    </row>
    <row r="194" spans="1:12" ht="14.25">
      <c r="A194" s="3001">
        <v>192</v>
      </c>
      <c r="B194" s="3001" t="s">
        <v>3795</v>
      </c>
      <c r="C194" s="3001" t="s">
        <v>3791</v>
      </c>
      <c r="D194" s="3004" t="s">
        <v>3912</v>
      </c>
      <c r="E194" s="3004">
        <v>83.27</v>
      </c>
      <c r="F194" s="3004">
        <v>10</v>
      </c>
      <c r="G194" s="3004" t="s">
        <v>3383</v>
      </c>
      <c r="H194" s="3001" t="s">
        <v>3793</v>
      </c>
      <c r="I194" s="2986" t="s">
        <v>3356</v>
      </c>
      <c r="J194" s="2987">
        <v>69</v>
      </c>
      <c r="K194" s="2989">
        <v>17</v>
      </c>
      <c r="L194" s="2986" t="s">
        <v>3383</v>
      </c>
    </row>
    <row r="195" spans="1:12" ht="14.25">
      <c r="A195" s="3001">
        <v>193</v>
      </c>
      <c r="B195" s="3001" t="s">
        <v>3795</v>
      </c>
      <c r="C195" s="3001" t="s">
        <v>3791</v>
      </c>
      <c r="D195" s="3004" t="s">
        <v>3913</v>
      </c>
      <c r="E195" s="3004">
        <v>115.96</v>
      </c>
      <c r="F195" s="3004">
        <v>10</v>
      </c>
      <c r="G195" s="3004" t="s">
        <v>3383</v>
      </c>
      <c r="H195" s="3001" t="s">
        <v>3793</v>
      </c>
      <c r="I195" s="2986" t="s">
        <v>3357</v>
      </c>
      <c r="J195" s="2987">
        <v>60.05</v>
      </c>
      <c r="K195" s="2989">
        <v>17</v>
      </c>
      <c r="L195" s="2986" t="s">
        <v>3383</v>
      </c>
    </row>
    <row r="196" spans="1:12" ht="14.25">
      <c r="A196" s="3001">
        <v>194</v>
      </c>
      <c r="B196" s="3001" t="s">
        <v>3795</v>
      </c>
      <c r="C196" s="3001" t="s">
        <v>3791</v>
      </c>
      <c r="D196" s="3004" t="s">
        <v>3914</v>
      </c>
      <c r="E196" s="3004">
        <v>87.71</v>
      </c>
      <c r="F196" s="3004">
        <v>10</v>
      </c>
      <c r="G196" s="3004" t="s">
        <v>3383</v>
      </c>
      <c r="H196" s="3001" t="s">
        <v>3793</v>
      </c>
      <c r="I196" s="2986" t="s">
        <v>3358</v>
      </c>
      <c r="J196" s="2987">
        <v>60.05</v>
      </c>
      <c r="K196" s="2989">
        <v>17</v>
      </c>
      <c r="L196" s="2986" t="s">
        <v>3383</v>
      </c>
    </row>
    <row r="197" spans="1:12" ht="14.25">
      <c r="A197" s="3001">
        <v>195</v>
      </c>
      <c r="B197" s="3001" t="s">
        <v>3795</v>
      </c>
      <c r="C197" s="3001" t="s">
        <v>3791</v>
      </c>
      <c r="D197" s="3004" t="s">
        <v>3915</v>
      </c>
      <c r="E197" s="3004">
        <v>126.15</v>
      </c>
      <c r="F197" s="3004">
        <v>10</v>
      </c>
      <c r="G197" s="3004" t="s">
        <v>3383</v>
      </c>
      <c r="H197" s="3001" t="s">
        <v>3793</v>
      </c>
      <c r="I197" s="2986" t="s">
        <v>3359</v>
      </c>
      <c r="J197" s="2987">
        <v>60.05</v>
      </c>
      <c r="K197" s="2989">
        <v>17</v>
      </c>
      <c r="L197" s="2986" t="s">
        <v>3383</v>
      </c>
    </row>
    <row r="198" spans="1:12" ht="14.25">
      <c r="A198" s="3001">
        <v>196</v>
      </c>
      <c r="B198" s="3001" t="s">
        <v>3795</v>
      </c>
      <c r="C198" s="3001" t="s">
        <v>3791</v>
      </c>
      <c r="D198" s="3004" t="s">
        <v>3916</v>
      </c>
      <c r="E198" s="3004">
        <v>91.67</v>
      </c>
      <c r="F198" s="3004">
        <v>10</v>
      </c>
      <c r="G198" s="3004" t="s">
        <v>3383</v>
      </c>
      <c r="H198" s="3001" t="s">
        <v>3793</v>
      </c>
      <c r="I198" s="2986" t="s">
        <v>3360</v>
      </c>
      <c r="J198" s="2987">
        <v>60.05</v>
      </c>
      <c r="K198" s="2989">
        <v>17</v>
      </c>
      <c r="L198" s="2986" t="s">
        <v>3383</v>
      </c>
    </row>
    <row r="199" spans="1:12" ht="14.25">
      <c r="A199" s="3001">
        <v>197</v>
      </c>
      <c r="B199" s="3001" t="s">
        <v>3795</v>
      </c>
      <c r="C199" s="3001" t="s">
        <v>3791</v>
      </c>
      <c r="D199" s="3004" t="s">
        <v>3917</v>
      </c>
      <c r="E199" s="3004">
        <v>76.2</v>
      </c>
      <c r="F199" s="3004">
        <v>10</v>
      </c>
      <c r="G199" s="3004" t="s">
        <v>3383</v>
      </c>
      <c r="H199" s="3001" t="s">
        <v>3793</v>
      </c>
      <c r="I199" s="2986" t="s">
        <v>3361</v>
      </c>
      <c r="J199" s="2987">
        <v>76.900000000000006</v>
      </c>
      <c r="K199" s="2989">
        <v>17</v>
      </c>
      <c r="L199" s="2986" t="s">
        <v>3383</v>
      </c>
    </row>
    <row r="200" spans="1:12" ht="14.25">
      <c r="A200" s="3001">
        <v>198</v>
      </c>
      <c r="B200" s="3001" t="s">
        <v>3795</v>
      </c>
      <c r="C200" s="3001" t="s">
        <v>3791</v>
      </c>
      <c r="D200" s="3004" t="s">
        <v>3918</v>
      </c>
      <c r="E200" s="3004">
        <v>95.36</v>
      </c>
      <c r="F200" s="3004">
        <v>10</v>
      </c>
      <c r="G200" s="3004" t="s">
        <v>3383</v>
      </c>
      <c r="H200" s="3001" t="s">
        <v>3793</v>
      </c>
      <c r="I200" s="2986" t="s">
        <v>3362</v>
      </c>
      <c r="J200" s="2987">
        <v>86.54</v>
      </c>
      <c r="K200" s="2989">
        <v>17</v>
      </c>
      <c r="L200" s="2986" t="s">
        <v>3383</v>
      </c>
    </row>
    <row r="201" spans="1:12" ht="14.25">
      <c r="A201" s="3001">
        <v>199</v>
      </c>
      <c r="B201" s="3001" t="s">
        <v>3795</v>
      </c>
      <c r="C201" s="3001" t="s">
        <v>3791</v>
      </c>
      <c r="D201" s="3004" t="s">
        <v>3919</v>
      </c>
      <c r="E201" s="3004">
        <v>68.849999999999994</v>
      </c>
      <c r="F201" s="3004">
        <v>10</v>
      </c>
      <c r="G201" s="3004" t="s">
        <v>3383</v>
      </c>
      <c r="H201" s="3001" t="s">
        <v>3793</v>
      </c>
      <c r="I201" s="2986" t="s">
        <v>3363</v>
      </c>
      <c r="J201" s="2987">
        <v>75</v>
      </c>
      <c r="K201" s="2989">
        <v>17</v>
      </c>
      <c r="L201" s="2986" t="s">
        <v>3383</v>
      </c>
    </row>
    <row r="202" spans="1:12" ht="14.25">
      <c r="A202" s="3001">
        <v>200</v>
      </c>
      <c r="B202" s="3001" t="s">
        <v>3795</v>
      </c>
      <c r="C202" s="3001" t="s">
        <v>3791</v>
      </c>
      <c r="D202" s="3004" t="s">
        <v>3920</v>
      </c>
      <c r="E202" s="3004">
        <v>68.849999999999994</v>
      </c>
      <c r="F202" s="3004">
        <v>10</v>
      </c>
      <c r="G202" s="3004" t="s">
        <v>3383</v>
      </c>
      <c r="H202" s="3001" t="s">
        <v>3793</v>
      </c>
      <c r="I202" s="2986" t="s">
        <v>3364</v>
      </c>
      <c r="J202" s="2987">
        <v>95.09</v>
      </c>
      <c r="K202" s="2989">
        <v>17</v>
      </c>
      <c r="L202" s="2986" t="s">
        <v>3383</v>
      </c>
    </row>
    <row r="203" spans="1:12" ht="14.25">
      <c r="A203" s="3001">
        <v>201</v>
      </c>
      <c r="B203" s="3001" t="s">
        <v>3795</v>
      </c>
      <c r="C203" s="3001" t="s">
        <v>3791</v>
      </c>
      <c r="D203" s="3004" t="s">
        <v>3921</v>
      </c>
      <c r="E203" s="3004">
        <v>94.09</v>
      </c>
      <c r="F203" s="3004">
        <v>11</v>
      </c>
      <c r="G203" s="3004" t="s">
        <v>3383</v>
      </c>
      <c r="H203" s="3001" t="s">
        <v>3793</v>
      </c>
      <c r="I203" s="2986" t="s">
        <v>3365</v>
      </c>
      <c r="J203" s="2987">
        <v>61.13</v>
      </c>
      <c r="K203" s="2989">
        <v>17</v>
      </c>
      <c r="L203" s="2986" t="s">
        <v>3383</v>
      </c>
    </row>
    <row r="204" spans="1:12" ht="14.25">
      <c r="A204" s="3001">
        <v>202</v>
      </c>
      <c r="B204" s="3001" t="s">
        <v>3795</v>
      </c>
      <c r="C204" s="3001" t="s">
        <v>3791</v>
      </c>
      <c r="D204" s="3004" t="s">
        <v>3922</v>
      </c>
      <c r="E204" s="3004">
        <v>76.27</v>
      </c>
      <c r="F204" s="3004">
        <v>11</v>
      </c>
      <c r="G204" s="3004" t="s">
        <v>3383</v>
      </c>
      <c r="H204" s="3001" t="s">
        <v>3793</v>
      </c>
      <c r="I204" s="2986" t="s">
        <v>3366</v>
      </c>
      <c r="J204" s="2987">
        <v>94.01</v>
      </c>
      <c r="K204" s="2989">
        <v>17</v>
      </c>
      <c r="L204" s="2986" t="s">
        <v>3383</v>
      </c>
    </row>
    <row r="205" spans="1:12" ht="14.25">
      <c r="A205" s="3001">
        <v>203</v>
      </c>
      <c r="B205" s="3001" t="s">
        <v>3795</v>
      </c>
      <c r="C205" s="3001" t="s">
        <v>3791</v>
      </c>
      <c r="D205" s="3004" t="s">
        <v>3923</v>
      </c>
      <c r="E205" s="3004">
        <v>75.760000000000005</v>
      </c>
      <c r="F205" s="3004">
        <v>11</v>
      </c>
      <c r="G205" s="3004" t="s">
        <v>3383</v>
      </c>
      <c r="H205" s="3001" t="s">
        <v>3793</v>
      </c>
      <c r="I205" s="2986" t="s">
        <v>3367</v>
      </c>
      <c r="J205" s="2987">
        <v>105.89</v>
      </c>
      <c r="K205" s="2989">
        <v>17</v>
      </c>
      <c r="L205" s="2986" t="s">
        <v>3383</v>
      </c>
    </row>
    <row r="206" spans="1:12" ht="14.25">
      <c r="A206" s="3001">
        <v>204</v>
      </c>
      <c r="B206" s="3001" t="s">
        <v>3795</v>
      </c>
      <c r="C206" s="3001" t="s">
        <v>3791</v>
      </c>
      <c r="D206" s="3004" t="s">
        <v>3924</v>
      </c>
      <c r="E206" s="3004">
        <v>89.95</v>
      </c>
      <c r="F206" s="3004">
        <v>11</v>
      </c>
      <c r="G206" s="3004" t="s">
        <v>3383</v>
      </c>
      <c r="H206" s="3001" t="s">
        <v>3793</v>
      </c>
      <c r="I206" s="2986" t="s">
        <v>3368</v>
      </c>
      <c r="J206" s="2987">
        <v>84.44</v>
      </c>
      <c r="K206" s="2989">
        <v>18</v>
      </c>
      <c r="L206" s="2986" t="s">
        <v>3383</v>
      </c>
    </row>
    <row r="207" spans="1:12" ht="14.25">
      <c r="A207" s="3001">
        <v>205</v>
      </c>
      <c r="B207" s="3001" t="s">
        <v>3795</v>
      </c>
      <c r="C207" s="3001" t="s">
        <v>3791</v>
      </c>
      <c r="D207" s="3004" t="s">
        <v>3925</v>
      </c>
      <c r="E207" s="3004">
        <v>99.07</v>
      </c>
      <c r="F207" s="3004">
        <v>11</v>
      </c>
      <c r="G207" s="3004" t="s">
        <v>3383</v>
      </c>
      <c r="H207" s="3001" t="s">
        <v>3793</v>
      </c>
      <c r="I207" s="2986" t="s">
        <v>3369</v>
      </c>
      <c r="J207" s="2987">
        <v>71.11</v>
      </c>
      <c r="K207" s="2989">
        <v>18</v>
      </c>
      <c r="L207" s="2986" t="s">
        <v>3383</v>
      </c>
    </row>
    <row r="208" spans="1:12" ht="14.25">
      <c r="A208" s="3001">
        <v>206</v>
      </c>
      <c r="B208" s="3001" t="s">
        <v>3795</v>
      </c>
      <c r="C208" s="3001" t="s">
        <v>3791</v>
      </c>
      <c r="D208" s="3004" t="s">
        <v>3926</v>
      </c>
      <c r="E208" s="3004">
        <v>72.89</v>
      </c>
      <c r="F208" s="3004">
        <v>11</v>
      </c>
      <c r="G208" s="3004" t="s">
        <v>3383</v>
      </c>
      <c r="H208" s="3001" t="s">
        <v>3793</v>
      </c>
      <c r="I208" s="2986" t="s">
        <v>3370</v>
      </c>
      <c r="J208" s="2987">
        <v>73.02</v>
      </c>
      <c r="K208" s="2989">
        <v>18</v>
      </c>
      <c r="L208" s="2986" t="s">
        <v>3383</v>
      </c>
    </row>
    <row r="209" spans="1:12" ht="14.25">
      <c r="A209" s="3001">
        <v>207</v>
      </c>
      <c r="B209" s="3001" t="s">
        <v>3795</v>
      </c>
      <c r="C209" s="3001" t="s">
        <v>3791</v>
      </c>
      <c r="D209" s="3004" t="s">
        <v>3927</v>
      </c>
      <c r="E209" s="3004">
        <v>81.849999999999994</v>
      </c>
      <c r="F209" s="3004">
        <v>11</v>
      </c>
      <c r="G209" s="3004" t="s">
        <v>3383</v>
      </c>
      <c r="H209" s="3001" t="s">
        <v>3793</v>
      </c>
      <c r="I209" s="2986" t="s">
        <v>3371</v>
      </c>
      <c r="J209" s="2987">
        <v>69</v>
      </c>
      <c r="K209" s="2989">
        <v>18</v>
      </c>
      <c r="L209" s="2986" t="s">
        <v>3383</v>
      </c>
    </row>
    <row r="210" spans="1:12" ht="14.25">
      <c r="A210" s="3001">
        <v>208</v>
      </c>
      <c r="B210" s="3001" t="s">
        <v>3795</v>
      </c>
      <c r="C210" s="3001" t="s">
        <v>3791</v>
      </c>
      <c r="D210" s="3004" t="s">
        <v>3928</v>
      </c>
      <c r="E210" s="3004">
        <v>68.75</v>
      </c>
      <c r="F210" s="3004">
        <v>11</v>
      </c>
      <c r="G210" s="3004" t="s">
        <v>3383</v>
      </c>
      <c r="H210" s="3001" t="s">
        <v>3793</v>
      </c>
      <c r="I210" s="2986" t="s">
        <v>3372</v>
      </c>
      <c r="J210" s="2987">
        <v>60.05</v>
      </c>
      <c r="K210" s="2989">
        <v>18</v>
      </c>
      <c r="L210" s="2986" t="s">
        <v>3383</v>
      </c>
    </row>
    <row r="211" spans="1:12" ht="14.25">
      <c r="A211" s="3001">
        <v>209</v>
      </c>
      <c r="B211" s="3001" t="s">
        <v>3795</v>
      </c>
      <c r="C211" s="3001" t="s">
        <v>3791</v>
      </c>
      <c r="D211" s="3004" t="s">
        <v>3929</v>
      </c>
      <c r="E211" s="3004">
        <v>69.97</v>
      </c>
      <c r="F211" s="3004">
        <v>11</v>
      </c>
      <c r="G211" s="3004" t="s">
        <v>3383</v>
      </c>
      <c r="H211" s="3001" t="s">
        <v>3793</v>
      </c>
      <c r="I211" s="2986" t="s">
        <v>3373</v>
      </c>
      <c r="J211" s="2987">
        <v>60.05</v>
      </c>
      <c r="K211" s="2989">
        <v>18</v>
      </c>
      <c r="L211" s="2986" t="s">
        <v>3383</v>
      </c>
    </row>
    <row r="212" spans="1:12" ht="14.25">
      <c r="A212" s="3001">
        <v>210</v>
      </c>
      <c r="B212" s="3001" t="s">
        <v>3795</v>
      </c>
      <c r="C212" s="3001" t="s">
        <v>3791</v>
      </c>
      <c r="D212" s="3004" t="s">
        <v>3930</v>
      </c>
      <c r="E212" s="3004">
        <v>107.5</v>
      </c>
      <c r="F212" s="3004">
        <v>11</v>
      </c>
      <c r="G212" s="3004" t="s">
        <v>3383</v>
      </c>
      <c r="H212" s="3001" t="s">
        <v>3793</v>
      </c>
      <c r="I212" s="2986" t="s">
        <v>3374</v>
      </c>
      <c r="J212" s="2987">
        <v>60.05</v>
      </c>
      <c r="K212" s="2989">
        <v>18</v>
      </c>
      <c r="L212" s="2986" t="s">
        <v>3383</v>
      </c>
    </row>
    <row r="213" spans="1:12" ht="14.25">
      <c r="A213" s="3001">
        <v>211</v>
      </c>
      <c r="B213" s="3001" t="s">
        <v>3795</v>
      </c>
      <c r="C213" s="3001" t="s">
        <v>3791</v>
      </c>
      <c r="D213" s="3004" t="s">
        <v>3931</v>
      </c>
      <c r="E213" s="3004">
        <v>73.87</v>
      </c>
      <c r="F213" s="3004">
        <v>11</v>
      </c>
      <c r="G213" s="3004" t="s">
        <v>3383</v>
      </c>
      <c r="H213" s="3001" t="s">
        <v>3793</v>
      </c>
      <c r="I213" s="2986" t="s">
        <v>3375</v>
      </c>
      <c r="J213" s="2987">
        <v>60.05</v>
      </c>
      <c r="K213" s="2989">
        <v>18</v>
      </c>
      <c r="L213" s="2986" t="s">
        <v>3383</v>
      </c>
    </row>
    <row r="214" spans="1:12" ht="14.25">
      <c r="A214" s="3001">
        <v>212</v>
      </c>
      <c r="B214" s="3001" t="s">
        <v>3795</v>
      </c>
      <c r="C214" s="3001" t="s">
        <v>3791</v>
      </c>
      <c r="D214" s="3004" t="s">
        <v>3932</v>
      </c>
      <c r="E214" s="3004">
        <v>115.57</v>
      </c>
      <c r="F214" s="3004">
        <v>11</v>
      </c>
      <c r="G214" s="3004" t="s">
        <v>3383</v>
      </c>
      <c r="H214" s="3001" t="s">
        <v>3793</v>
      </c>
      <c r="I214" s="2986" t="s">
        <v>3376</v>
      </c>
      <c r="J214" s="2987">
        <v>76.900000000000006</v>
      </c>
      <c r="K214" s="2989">
        <v>18</v>
      </c>
      <c r="L214" s="2986" t="s">
        <v>3383</v>
      </c>
    </row>
    <row r="215" spans="1:12" ht="14.25">
      <c r="A215" s="3001">
        <v>213</v>
      </c>
      <c r="B215" s="3001" t="s">
        <v>3795</v>
      </c>
      <c r="C215" s="3001" t="s">
        <v>3791</v>
      </c>
      <c r="D215" s="3004" t="s">
        <v>3933</v>
      </c>
      <c r="E215" s="3004">
        <v>83.27</v>
      </c>
      <c r="F215" s="3004">
        <v>11</v>
      </c>
      <c r="G215" s="3004" t="s">
        <v>3383</v>
      </c>
      <c r="H215" s="3001" t="s">
        <v>3793</v>
      </c>
      <c r="I215" s="2986" t="s">
        <v>3377</v>
      </c>
      <c r="J215" s="2987">
        <v>86.54</v>
      </c>
      <c r="K215" s="2989">
        <v>18</v>
      </c>
      <c r="L215" s="2986" t="s">
        <v>3383</v>
      </c>
    </row>
    <row r="216" spans="1:12" ht="14.25">
      <c r="A216" s="3001">
        <v>214</v>
      </c>
      <c r="B216" s="3001" t="s">
        <v>3795</v>
      </c>
      <c r="C216" s="3001" t="s">
        <v>3791</v>
      </c>
      <c r="D216" s="3004" t="s">
        <v>3934</v>
      </c>
      <c r="E216" s="3004">
        <v>83.27</v>
      </c>
      <c r="F216" s="3004">
        <v>11</v>
      </c>
      <c r="G216" s="3004" t="s">
        <v>3383</v>
      </c>
      <c r="H216" s="3001" t="s">
        <v>3793</v>
      </c>
      <c r="I216" s="2986" t="s">
        <v>3378</v>
      </c>
      <c r="J216" s="2987">
        <v>75</v>
      </c>
      <c r="K216" s="2989">
        <v>18</v>
      </c>
      <c r="L216" s="2986" t="s">
        <v>3383</v>
      </c>
    </row>
    <row r="217" spans="1:12" ht="14.25">
      <c r="A217" s="3001">
        <v>215</v>
      </c>
      <c r="B217" s="3001" t="s">
        <v>3795</v>
      </c>
      <c r="C217" s="3001" t="s">
        <v>3791</v>
      </c>
      <c r="D217" s="3004" t="s">
        <v>3935</v>
      </c>
      <c r="E217" s="3004">
        <v>115.96</v>
      </c>
      <c r="F217" s="3004">
        <v>11</v>
      </c>
      <c r="G217" s="3004" t="s">
        <v>3383</v>
      </c>
      <c r="H217" s="3001" t="s">
        <v>3793</v>
      </c>
      <c r="I217" s="2986" t="s">
        <v>3379</v>
      </c>
      <c r="J217" s="2987">
        <v>95.09</v>
      </c>
      <c r="K217" s="2989">
        <v>18</v>
      </c>
      <c r="L217" s="2986" t="s">
        <v>3383</v>
      </c>
    </row>
    <row r="218" spans="1:12" ht="14.25">
      <c r="A218" s="3001">
        <v>216</v>
      </c>
      <c r="B218" s="3001" t="s">
        <v>3795</v>
      </c>
      <c r="C218" s="3001" t="s">
        <v>3791</v>
      </c>
      <c r="D218" s="3004" t="s">
        <v>3936</v>
      </c>
      <c r="E218" s="3004">
        <v>87.71</v>
      </c>
      <c r="F218" s="3004">
        <v>11</v>
      </c>
      <c r="G218" s="3004" t="s">
        <v>3383</v>
      </c>
      <c r="H218" s="3001" t="s">
        <v>3793</v>
      </c>
      <c r="I218" s="2986" t="s">
        <v>3380</v>
      </c>
      <c r="J218" s="2987">
        <v>61.13</v>
      </c>
      <c r="K218" s="2989">
        <v>18</v>
      </c>
      <c r="L218" s="2986" t="s">
        <v>3383</v>
      </c>
    </row>
    <row r="219" spans="1:12" ht="14.25">
      <c r="A219" s="3001">
        <v>217</v>
      </c>
      <c r="B219" s="3001" t="s">
        <v>3795</v>
      </c>
      <c r="C219" s="3001" t="s">
        <v>3791</v>
      </c>
      <c r="D219" s="3004" t="s">
        <v>3937</v>
      </c>
      <c r="E219" s="3004">
        <v>126.15</v>
      </c>
      <c r="F219" s="3004">
        <v>11</v>
      </c>
      <c r="G219" s="3004" t="s">
        <v>3383</v>
      </c>
      <c r="H219" s="3001" t="s">
        <v>3793</v>
      </c>
      <c r="I219" s="2986" t="s">
        <v>3381</v>
      </c>
      <c r="J219" s="2987">
        <v>94.01</v>
      </c>
      <c r="K219" s="2989">
        <v>18</v>
      </c>
      <c r="L219" s="2986" t="s">
        <v>3383</v>
      </c>
    </row>
    <row r="220" spans="1:12" ht="14.25">
      <c r="A220" s="3001">
        <v>218</v>
      </c>
      <c r="B220" s="3001" t="s">
        <v>3795</v>
      </c>
      <c r="C220" s="3001" t="s">
        <v>3791</v>
      </c>
      <c r="D220" s="3004" t="s">
        <v>3938</v>
      </c>
      <c r="E220" s="3004">
        <v>91.67</v>
      </c>
      <c r="F220" s="3004">
        <v>11</v>
      </c>
      <c r="G220" s="3004" t="s">
        <v>3383</v>
      </c>
      <c r="H220" s="3001" t="s">
        <v>3793</v>
      </c>
      <c r="I220" s="2986" t="s">
        <v>3382</v>
      </c>
      <c r="J220" s="2987">
        <v>105.89</v>
      </c>
      <c r="K220" s="2989">
        <v>18</v>
      </c>
      <c r="L220" s="2986" t="s">
        <v>3383</v>
      </c>
    </row>
    <row r="221" spans="1:12" ht="14.25">
      <c r="A221" s="3001">
        <v>219</v>
      </c>
      <c r="B221" s="3001" t="s">
        <v>3795</v>
      </c>
      <c r="C221" s="3001" t="s">
        <v>3791</v>
      </c>
      <c r="D221" s="3004" t="s">
        <v>3939</v>
      </c>
      <c r="E221" s="3004">
        <v>76.2</v>
      </c>
      <c r="F221" s="3004">
        <v>11</v>
      </c>
      <c r="G221" s="3004" t="s">
        <v>3383</v>
      </c>
      <c r="H221" s="3001" t="s">
        <v>3793</v>
      </c>
      <c r="J221">
        <f>SUM(J3:J220)</f>
        <v>16305.46999999999</v>
      </c>
    </row>
    <row r="222" spans="1:12" ht="14.25">
      <c r="A222" s="3001">
        <v>220</v>
      </c>
      <c r="B222" s="3001" t="s">
        <v>3795</v>
      </c>
      <c r="C222" s="3001" t="s">
        <v>3791</v>
      </c>
      <c r="D222" s="3004" t="s">
        <v>3940</v>
      </c>
      <c r="E222" s="3004">
        <v>95.36</v>
      </c>
      <c r="F222" s="3004">
        <v>11</v>
      </c>
      <c r="G222" s="3004" t="s">
        <v>3383</v>
      </c>
      <c r="H222" s="3001" t="s">
        <v>3793</v>
      </c>
    </row>
    <row r="223" spans="1:12" ht="14.25">
      <c r="A223" s="3001">
        <v>221</v>
      </c>
      <c r="B223" s="3001" t="s">
        <v>3795</v>
      </c>
      <c r="C223" s="3001" t="s">
        <v>3791</v>
      </c>
      <c r="D223" s="3004" t="s">
        <v>3941</v>
      </c>
      <c r="E223" s="3004">
        <v>68.849999999999994</v>
      </c>
      <c r="F223" s="3004">
        <v>11</v>
      </c>
      <c r="G223" s="3004" t="s">
        <v>3383</v>
      </c>
      <c r="H223" s="3001" t="s">
        <v>3793</v>
      </c>
    </row>
    <row r="224" spans="1:12" ht="14.25">
      <c r="A224" s="3001">
        <v>222</v>
      </c>
      <c r="B224" s="3001" t="s">
        <v>3795</v>
      </c>
      <c r="C224" s="3001" t="s">
        <v>3791</v>
      </c>
      <c r="D224" s="3004" t="s">
        <v>3942</v>
      </c>
      <c r="E224" s="3004">
        <v>68.849999999999994</v>
      </c>
      <c r="F224" s="3004">
        <v>11</v>
      </c>
      <c r="G224" s="3004" t="s">
        <v>3383</v>
      </c>
      <c r="H224" s="3001" t="s">
        <v>3793</v>
      </c>
    </row>
    <row r="225" spans="1:8" ht="14.25">
      <c r="A225" s="3001">
        <v>223</v>
      </c>
      <c r="B225" s="3001" t="s">
        <v>3795</v>
      </c>
      <c r="C225" s="3001" t="s">
        <v>3791</v>
      </c>
      <c r="D225" s="3004" t="s">
        <v>3943</v>
      </c>
      <c r="E225" s="3004">
        <v>94.09</v>
      </c>
      <c r="F225" s="3004">
        <v>12</v>
      </c>
      <c r="G225" s="3004" t="s">
        <v>3383</v>
      </c>
      <c r="H225" s="3001" t="s">
        <v>3793</v>
      </c>
    </row>
    <row r="226" spans="1:8" ht="14.25">
      <c r="A226" s="3001">
        <v>224</v>
      </c>
      <c r="B226" s="3001" t="s">
        <v>3795</v>
      </c>
      <c r="C226" s="3001" t="s">
        <v>3791</v>
      </c>
      <c r="D226" s="3004" t="s">
        <v>3944</v>
      </c>
      <c r="E226" s="3004">
        <v>76.27</v>
      </c>
      <c r="F226" s="3004">
        <v>12</v>
      </c>
      <c r="G226" s="3004" t="s">
        <v>3383</v>
      </c>
      <c r="H226" s="3001" t="s">
        <v>3793</v>
      </c>
    </row>
    <row r="227" spans="1:8" ht="14.25">
      <c r="A227" s="3001">
        <v>225</v>
      </c>
      <c r="B227" s="3001" t="s">
        <v>3795</v>
      </c>
      <c r="C227" s="3001" t="s">
        <v>3791</v>
      </c>
      <c r="D227" s="3004" t="s">
        <v>3945</v>
      </c>
      <c r="E227" s="3004">
        <v>75.760000000000005</v>
      </c>
      <c r="F227" s="3004">
        <v>12</v>
      </c>
      <c r="G227" s="3004" t="s">
        <v>3383</v>
      </c>
      <c r="H227" s="3001" t="s">
        <v>3793</v>
      </c>
    </row>
    <row r="228" spans="1:8" ht="14.25">
      <c r="A228" s="3001">
        <v>226</v>
      </c>
      <c r="B228" s="3001" t="s">
        <v>3795</v>
      </c>
      <c r="C228" s="3001" t="s">
        <v>3791</v>
      </c>
      <c r="D228" s="3004" t="s">
        <v>3946</v>
      </c>
      <c r="E228" s="3004">
        <v>89.95</v>
      </c>
      <c r="F228" s="3004">
        <v>12</v>
      </c>
      <c r="G228" s="3004" t="s">
        <v>3383</v>
      </c>
      <c r="H228" s="3001" t="s">
        <v>3793</v>
      </c>
    </row>
    <row r="229" spans="1:8" ht="14.25">
      <c r="A229" s="3001">
        <v>227</v>
      </c>
      <c r="B229" s="3001" t="s">
        <v>3795</v>
      </c>
      <c r="C229" s="3001" t="s">
        <v>3791</v>
      </c>
      <c r="D229" s="3004" t="s">
        <v>3947</v>
      </c>
      <c r="E229" s="3004">
        <v>99.07</v>
      </c>
      <c r="F229" s="3004">
        <v>12</v>
      </c>
      <c r="G229" s="3004" t="s">
        <v>3383</v>
      </c>
      <c r="H229" s="3001" t="s">
        <v>3793</v>
      </c>
    </row>
    <row r="230" spans="1:8" ht="14.25">
      <c r="A230" s="3001">
        <v>228</v>
      </c>
      <c r="B230" s="3001" t="s">
        <v>3795</v>
      </c>
      <c r="C230" s="3001" t="s">
        <v>3791</v>
      </c>
      <c r="D230" s="3004" t="s">
        <v>3948</v>
      </c>
      <c r="E230" s="3004">
        <v>72.89</v>
      </c>
      <c r="F230" s="3004">
        <v>12</v>
      </c>
      <c r="G230" s="3004" t="s">
        <v>3383</v>
      </c>
      <c r="H230" s="3001" t="s">
        <v>3793</v>
      </c>
    </row>
    <row r="231" spans="1:8" ht="14.25">
      <c r="A231" s="3001">
        <v>229</v>
      </c>
      <c r="B231" s="3001" t="s">
        <v>3795</v>
      </c>
      <c r="C231" s="3001" t="s">
        <v>3791</v>
      </c>
      <c r="D231" s="3004" t="s">
        <v>3949</v>
      </c>
      <c r="E231" s="3004">
        <v>81.849999999999994</v>
      </c>
      <c r="F231" s="3004">
        <v>12</v>
      </c>
      <c r="G231" s="3004" t="s">
        <v>3383</v>
      </c>
      <c r="H231" s="3001" t="s">
        <v>3793</v>
      </c>
    </row>
    <row r="232" spans="1:8" ht="14.25">
      <c r="A232" s="3001">
        <v>230</v>
      </c>
      <c r="B232" s="3001" t="s">
        <v>3795</v>
      </c>
      <c r="C232" s="3001" t="s">
        <v>3791</v>
      </c>
      <c r="D232" s="3004" t="s">
        <v>3950</v>
      </c>
      <c r="E232" s="3004">
        <v>68.75</v>
      </c>
      <c r="F232" s="3004">
        <v>12</v>
      </c>
      <c r="G232" s="3004" t="s">
        <v>3383</v>
      </c>
      <c r="H232" s="3001" t="s">
        <v>3793</v>
      </c>
    </row>
    <row r="233" spans="1:8" ht="14.25">
      <c r="A233" s="3001">
        <v>231</v>
      </c>
      <c r="B233" s="3001" t="s">
        <v>3795</v>
      </c>
      <c r="C233" s="3001" t="s">
        <v>3791</v>
      </c>
      <c r="D233" s="3004" t="s">
        <v>3951</v>
      </c>
      <c r="E233" s="3004">
        <v>69.97</v>
      </c>
      <c r="F233" s="3004">
        <v>12</v>
      </c>
      <c r="G233" s="3004" t="s">
        <v>3383</v>
      </c>
      <c r="H233" s="3001" t="s">
        <v>3793</v>
      </c>
    </row>
    <row r="234" spans="1:8" ht="14.25">
      <c r="A234" s="3001">
        <v>232</v>
      </c>
      <c r="B234" s="3001" t="s">
        <v>3795</v>
      </c>
      <c r="C234" s="3001" t="s">
        <v>3791</v>
      </c>
      <c r="D234" s="3004" t="s">
        <v>3952</v>
      </c>
      <c r="E234" s="3004">
        <v>107.5</v>
      </c>
      <c r="F234" s="3004">
        <v>12</v>
      </c>
      <c r="G234" s="3004" t="s">
        <v>3383</v>
      </c>
      <c r="H234" s="3001" t="s">
        <v>3793</v>
      </c>
    </row>
    <row r="235" spans="1:8" ht="14.25">
      <c r="A235" s="3001">
        <v>233</v>
      </c>
      <c r="B235" s="3001" t="s">
        <v>3795</v>
      </c>
      <c r="C235" s="3001" t="s">
        <v>3791</v>
      </c>
      <c r="D235" s="3004" t="s">
        <v>3953</v>
      </c>
      <c r="E235" s="3004">
        <v>73.87</v>
      </c>
      <c r="F235" s="3004">
        <v>12</v>
      </c>
      <c r="G235" s="3004" t="s">
        <v>3383</v>
      </c>
      <c r="H235" s="3001" t="s">
        <v>3793</v>
      </c>
    </row>
    <row r="236" spans="1:8" ht="14.25">
      <c r="A236" s="3001">
        <v>234</v>
      </c>
      <c r="B236" s="3001" t="s">
        <v>3795</v>
      </c>
      <c r="C236" s="3001" t="s">
        <v>3791</v>
      </c>
      <c r="D236" s="3004" t="s">
        <v>3954</v>
      </c>
      <c r="E236" s="3004">
        <v>115.57</v>
      </c>
      <c r="F236" s="3004">
        <v>12</v>
      </c>
      <c r="G236" s="3004" t="s">
        <v>3383</v>
      </c>
      <c r="H236" s="3001" t="s">
        <v>3793</v>
      </c>
    </row>
    <row r="237" spans="1:8" ht="14.25">
      <c r="A237" s="3001">
        <v>235</v>
      </c>
      <c r="B237" s="3001" t="s">
        <v>3795</v>
      </c>
      <c r="C237" s="3001" t="s">
        <v>3791</v>
      </c>
      <c r="D237" s="3004" t="s">
        <v>3955</v>
      </c>
      <c r="E237" s="3004">
        <v>83.27</v>
      </c>
      <c r="F237" s="3004">
        <v>12</v>
      </c>
      <c r="G237" s="3004" t="s">
        <v>3383</v>
      </c>
      <c r="H237" s="3001" t="s">
        <v>3793</v>
      </c>
    </row>
    <row r="238" spans="1:8" ht="14.25">
      <c r="A238" s="3001">
        <v>236</v>
      </c>
      <c r="B238" s="3001" t="s">
        <v>3795</v>
      </c>
      <c r="C238" s="3001" t="s">
        <v>3791</v>
      </c>
      <c r="D238" s="3004" t="s">
        <v>3956</v>
      </c>
      <c r="E238" s="3004">
        <v>83.27</v>
      </c>
      <c r="F238" s="3004">
        <v>12</v>
      </c>
      <c r="G238" s="3004" t="s">
        <v>3383</v>
      </c>
      <c r="H238" s="3001" t="s">
        <v>3793</v>
      </c>
    </row>
    <row r="239" spans="1:8" ht="14.25">
      <c r="A239" s="3001">
        <v>237</v>
      </c>
      <c r="B239" s="3001" t="s">
        <v>3795</v>
      </c>
      <c r="C239" s="3001" t="s">
        <v>3791</v>
      </c>
      <c r="D239" s="3004" t="s">
        <v>3957</v>
      </c>
      <c r="E239" s="3004">
        <v>115.96</v>
      </c>
      <c r="F239" s="3004">
        <v>12</v>
      </c>
      <c r="G239" s="3004" t="s">
        <v>3383</v>
      </c>
      <c r="H239" s="3001" t="s">
        <v>3793</v>
      </c>
    </row>
    <row r="240" spans="1:8" ht="14.25">
      <c r="A240" s="3001">
        <v>238</v>
      </c>
      <c r="B240" s="3001" t="s">
        <v>3795</v>
      </c>
      <c r="C240" s="3001" t="s">
        <v>3791</v>
      </c>
      <c r="D240" s="3004" t="s">
        <v>3958</v>
      </c>
      <c r="E240" s="3004">
        <v>87.71</v>
      </c>
      <c r="F240" s="3004">
        <v>12</v>
      </c>
      <c r="G240" s="3004" t="s">
        <v>3383</v>
      </c>
      <c r="H240" s="3001" t="s">
        <v>3793</v>
      </c>
    </row>
    <row r="241" spans="1:8" ht="14.25">
      <c r="A241" s="3001">
        <v>239</v>
      </c>
      <c r="B241" s="3001" t="s">
        <v>3795</v>
      </c>
      <c r="C241" s="3001" t="s">
        <v>3791</v>
      </c>
      <c r="D241" s="3004" t="s">
        <v>3959</v>
      </c>
      <c r="E241" s="3004">
        <v>126.15</v>
      </c>
      <c r="F241" s="3004">
        <v>12</v>
      </c>
      <c r="G241" s="3004" t="s">
        <v>3383</v>
      </c>
      <c r="H241" s="3001" t="s">
        <v>3793</v>
      </c>
    </row>
    <row r="242" spans="1:8" ht="14.25">
      <c r="A242" s="3001">
        <v>240</v>
      </c>
      <c r="B242" s="3001" t="s">
        <v>3795</v>
      </c>
      <c r="C242" s="3001" t="s">
        <v>3791</v>
      </c>
      <c r="D242" s="3004" t="s">
        <v>3960</v>
      </c>
      <c r="E242" s="3004">
        <v>91.67</v>
      </c>
      <c r="F242" s="3004">
        <v>12</v>
      </c>
      <c r="G242" s="3004" t="s">
        <v>3383</v>
      </c>
      <c r="H242" s="3001" t="s">
        <v>3793</v>
      </c>
    </row>
    <row r="243" spans="1:8" ht="14.25">
      <c r="A243" s="3001">
        <v>241</v>
      </c>
      <c r="B243" s="3001" t="s">
        <v>3795</v>
      </c>
      <c r="C243" s="3001" t="s">
        <v>3791</v>
      </c>
      <c r="D243" s="3004" t="s">
        <v>3961</v>
      </c>
      <c r="E243" s="3004">
        <v>76.2</v>
      </c>
      <c r="F243" s="3004">
        <v>12</v>
      </c>
      <c r="G243" s="3004" t="s">
        <v>3383</v>
      </c>
      <c r="H243" s="3001" t="s">
        <v>3793</v>
      </c>
    </row>
    <row r="244" spans="1:8" ht="14.25">
      <c r="A244" s="3001">
        <v>242</v>
      </c>
      <c r="B244" s="3001" t="s">
        <v>3795</v>
      </c>
      <c r="C244" s="3001" t="s">
        <v>3791</v>
      </c>
      <c r="D244" s="3004" t="s">
        <v>3962</v>
      </c>
      <c r="E244" s="3004">
        <v>95.36</v>
      </c>
      <c r="F244" s="3004">
        <v>12</v>
      </c>
      <c r="G244" s="3004" t="s">
        <v>3383</v>
      </c>
      <c r="H244" s="3001" t="s">
        <v>3793</v>
      </c>
    </row>
    <row r="245" spans="1:8" ht="14.25">
      <c r="A245" s="3001">
        <v>243</v>
      </c>
      <c r="B245" s="3001" t="s">
        <v>3795</v>
      </c>
      <c r="C245" s="3001" t="s">
        <v>3791</v>
      </c>
      <c r="D245" s="3004" t="s">
        <v>3963</v>
      </c>
      <c r="E245" s="3004">
        <v>68.849999999999994</v>
      </c>
      <c r="F245" s="3004">
        <v>12</v>
      </c>
      <c r="G245" s="3004" t="s">
        <v>3383</v>
      </c>
      <c r="H245" s="3001" t="s">
        <v>3793</v>
      </c>
    </row>
    <row r="246" spans="1:8" ht="14.25">
      <c r="A246" s="3001">
        <v>244</v>
      </c>
      <c r="B246" s="3001" t="s">
        <v>3795</v>
      </c>
      <c r="C246" s="3001" t="s">
        <v>3791</v>
      </c>
      <c r="D246" s="3004" t="s">
        <v>3964</v>
      </c>
      <c r="E246" s="3004">
        <v>68.849999999999994</v>
      </c>
      <c r="F246" s="3004">
        <v>12</v>
      </c>
      <c r="G246" s="3004" t="s">
        <v>3383</v>
      </c>
      <c r="H246" s="3001" t="s">
        <v>3793</v>
      </c>
    </row>
    <row r="247" spans="1:8" ht="14.25">
      <c r="A247" s="3001">
        <v>245</v>
      </c>
      <c r="B247" s="3001" t="s">
        <v>3795</v>
      </c>
      <c r="C247" s="3001" t="s">
        <v>3791</v>
      </c>
      <c r="D247" s="3004" t="s">
        <v>3965</v>
      </c>
      <c r="E247" s="3004">
        <v>94.09</v>
      </c>
      <c r="F247" s="3004">
        <v>13</v>
      </c>
      <c r="G247" s="3004" t="s">
        <v>3383</v>
      </c>
      <c r="H247" s="3001" t="s">
        <v>3793</v>
      </c>
    </row>
    <row r="248" spans="1:8" ht="14.25">
      <c r="A248" s="3001">
        <v>246</v>
      </c>
      <c r="B248" s="3001" t="s">
        <v>3795</v>
      </c>
      <c r="C248" s="3001" t="s">
        <v>3791</v>
      </c>
      <c r="D248" s="3004" t="s">
        <v>3966</v>
      </c>
      <c r="E248" s="3004">
        <v>76.27</v>
      </c>
      <c r="F248" s="3004">
        <v>13</v>
      </c>
      <c r="G248" s="3004" t="s">
        <v>3383</v>
      </c>
      <c r="H248" s="3001" t="s">
        <v>3793</v>
      </c>
    </row>
    <row r="249" spans="1:8" ht="14.25">
      <c r="A249" s="3001">
        <v>247</v>
      </c>
      <c r="B249" s="3001" t="s">
        <v>3795</v>
      </c>
      <c r="C249" s="3001" t="s">
        <v>3791</v>
      </c>
      <c r="D249" s="3004" t="s">
        <v>3967</v>
      </c>
      <c r="E249" s="3004">
        <v>75.760000000000005</v>
      </c>
      <c r="F249" s="3004">
        <v>13</v>
      </c>
      <c r="G249" s="3004" t="s">
        <v>3383</v>
      </c>
      <c r="H249" s="3001" t="s">
        <v>3793</v>
      </c>
    </row>
    <row r="250" spans="1:8" ht="14.25">
      <c r="A250" s="3001">
        <v>248</v>
      </c>
      <c r="B250" s="3001" t="s">
        <v>3795</v>
      </c>
      <c r="C250" s="3001" t="s">
        <v>3791</v>
      </c>
      <c r="D250" s="3004" t="s">
        <v>3968</v>
      </c>
      <c r="E250" s="3004">
        <v>89.95</v>
      </c>
      <c r="F250" s="3004">
        <v>13</v>
      </c>
      <c r="G250" s="3004" t="s">
        <v>3383</v>
      </c>
      <c r="H250" s="3001" t="s">
        <v>3793</v>
      </c>
    </row>
    <row r="251" spans="1:8" ht="14.25">
      <c r="A251" s="3001">
        <v>249</v>
      </c>
      <c r="B251" s="3001" t="s">
        <v>3795</v>
      </c>
      <c r="C251" s="3001" t="s">
        <v>3791</v>
      </c>
      <c r="D251" s="3004" t="s">
        <v>3969</v>
      </c>
      <c r="E251" s="3004">
        <v>99.07</v>
      </c>
      <c r="F251" s="3004">
        <v>13</v>
      </c>
      <c r="G251" s="3004" t="s">
        <v>3383</v>
      </c>
      <c r="H251" s="3001" t="s">
        <v>3793</v>
      </c>
    </row>
    <row r="252" spans="1:8" ht="14.25">
      <c r="A252" s="3001">
        <v>250</v>
      </c>
      <c r="B252" s="3001" t="s">
        <v>3795</v>
      </c>
      <c r="C252" s="3001" t="s">
        <v>3791</v>
      </c>
      <c r="D252" s="3004" t="s">
        <v>3970</v>
      </c>
      <c r="E252" s="3004">
        <v>72.89</v>
      </c>
      <c r="F252" s="3004">
        <v>13</v>
      </c>
      <c r="G252" s="3004" t="s">
        <v>3383</v>
      </c>
      <c r="H252" s="3001" t="s">
        <v>3793</v>
      </c>
    </row>
    <row r="253" spans="1:8" ht="14.25">
      <c r="A253" s="3001">
        <v>251</v>
      </c>
      <c r="B253" s="3001" t="s">
        <v>3795</v>
      </c>
      <c r="C253" s="3001" t="s">
        <v>3791</v>
      </c>
      <c r="D253" s="3004" t="s">
        <v>3971</v>
      </c>
      <c r="E253" s="3004">
        <v>81.849999999999994</v>
      </c>
      <c r="F253" s="3004">
        <v>13</v>
      </c>
      <c r="G253" s="3004" t="s">
        <v>3383</v>
      </c>
      <c r="H253" s="3001" t="s">
        <v>3793</v>
      </c>
    </row>
    <row r="254" spans="1:8" ht="14.25">
      <c r="A254" s="3001">
        <v>252</v>
      </c>
      <c r="B254" s="3001" t="s">
        <v>3795</v>
      </c>
      <c r="C254" s="3001" t="s">
        <v>3791</v>
      </c>
      <c r="D254" s="3004" t="s">
        <v>3972</v>
      </c>
      <c r="E254" s="3004">
        <v>68.75</v>
      </c>
      <c r="F254" s="3004">
        <v>13</v>
      </c>
      <c r="G254" s="3004" t="s">
        <v>3383</v>
      </c>
      <c r="H254" s="3001" t="s">
        <v>3793</v>
      </c>
    </row>
    <row r="255" spans="1:8" ht="14.25">
      <c r="A255" s="3001">
        <v>253</v>
      </c>
      <c r="B255" s="3001" t="s">
        <v>3795</v>
      </c>
      <c r="C255" s="3001" t="s">
        <v>3791</v>
      </c>
      <c r="D255" s="3004" t="s">
        <v>3973</v>
      </c>
      <c r="E255" s="3004">
        <v>69.97</v>
      </c>
      <c r="F255" s="3004">
        <v>13</v>
      </c>
      <c r="G255" s="3004" t="s">
        <v>3383</v>
      </c>
      <c r="H255" s="3001" t="s">
        <v>3793</v>
      </c>
    </row>
    <row r="256" spans="1:8" ht="14.25">
      <c r="A256" s="3001">
        <v>254</v>
      </c>
      <c r="B256" s="3001" t="s">
        <v>3795</v>
      </c>
      <c r="C256" s="3001" t="s">
        <v>3791</v>
      </c>
      <c r="D256" s="3004" t="s">
        <v>3974</v>
      </c>
      <c r="E256" s="3004">
        <v>107.5</v>
      </c>
      <c r="F256" s="3004">
        <v>13</v>
      </c>
      <c r="G256" s="3004" t="s">
        <v>3383</v>
      </c>
      <c r="H256" s="3001" t="s">
        <v>3793</v>
      </c>
    </row>
    <row r="257" spans="1:8" ht="14.25">
      <c r="A257" s="3001">
        <v>255</v>
      </c>
      <c r="B257" s="3001" t="s">
        <v>3795</v>
      </c>
      <c r="C257" s="3001" t="s">
        <v>3791</v>
      </c>
      <c r="D257" s="3004" t="s">
        <v>3975</v>
      </c>
      <c r="E257" s="3004">
        <v>73.87</v>
      </c>
      <c r="F257" s="3004">
        <v>13</v>
      </c>
      <c r="G257" s="3004" t="s">
        <v>3383</v>
      </c>
      <c r="H257" s="3001" t="s">
        <v>3793</v>
      </c>
    </row>
    <row r="258" spans="1:8" ht="14.25">
      <c r="A258" s="3001">
        <v>256</v>
      </c>
      <c r="B258" s="3001" t="s">
        <v>3795</v>
      </c>
      <c r="C258" s="3001" t="s">
        <v>3791</v>
      </c>
      <c r="D258" s="3004" t="s">
        <v>3976</v>
      </c>
      <c r="E258" s="3004">
        <v>115.57</v>
      </c>
      <c r="F258" s="3004">
        <v>13</v>
      </c>
      <c r="G258" s="3004" t="s">
        <v>3383</v>
      </c>
      <c r="H258" s="3001" t="s">
        <v>3793</v>
      </c>
    </row>
    <row r="259" spans="1:8" ht="14.25">
      <c r="A259" s="3001">
        <v>257</v>
      </c>
      <c r="B259" s="3001" t="s">
        <v>3795</v>
      </c>
      <c r="C259" s="3001" t="s">
        <v>3791</v>
      </c>
      <c r="D259" s="3004" t="s">
        <v>3977</v>
      </c>
      <c r="E259" s="3004">
        <v>83.27</v>
      </c>
      <c r="F259" s="3004">
        <v>13</v>
      </c>
      <c r="G259" s="3004" t="s">
        <v>3383</v>
      </c>
      <c r="H259" s="3001" t="s">
        <v>3793</v>
      </c>
    </row>
    <row r="260" spans="1:8" ht="14.25">
      <c r="A260" s="3001">
        <v>258</v>
      </c>
      <c r="B260" s="3001" t="s">
        <v>3795</v>
      </c>
      <c r="C260" s="3001" t="s">
        <v>3791</v>
      </c>
      <c r="D260" s="3004" t="s">
        <v>3978</v>
      </c>
      <c r="E260" s="3004">
        <v>83.27</v>
      </c>
      <c r="F260" s="3004">
        <v>13</v>
      </c>
      <c r="G260" s="3004" t="s">
        <v>3383</v>
      </c>
      <c r="H260" s="3001" t="s">
        <v>3793</v>
      </c>
    </row>
    <row r="261" spans="1:8" ht="14.25">
      <c r="A261" s="3001">
        <v>259</v>
      </c>
      <c r="B261" s="3001" t="s">
        <v>3795</v>
      </c>
      <c r="C261" s="3001" t="s">
        <v>3791</v>
      </c>
      <c r="D261" s="3004" t="s">
        <v>3979</v>
      </c>
      <c r="E261" s="3004">
        <v>115.96</v>
      </c>
      <c r="F261" s="3004">
        <v>13</v>
      </c>
      <c r="G261" s="3004" t="s">
        <v>3383</v>
      </c>
      <c r="H261" s="3001" t="s">
        <v>3793</v>
      </c>
    </row>
    <row r="262" spans="1:8" ht="14.25">
      <c r="A262" s="3001">
        <v>260</v>
      </c>
      <c r="B262" s="3001" t="s">
        <v>3795</v>
      </c>
      <c r="C262" s="3001" t="s">
        <v>3791</v>
      </c>
      <c r="D262" s="3004" t="s">
        <v>3980</v>
      </c>
      <c r="E262" s="3004">
        <v>87.71</v>
      </c>
      <c r="F262" s="3004">
        <v>13</v>
      </c>
      <c r="G262" s="3004" t="s">
        <v>3383</v>
      </c>
      <c r="H262" s="3001" t="s">
        <v>3793</v>
      </c>
    </row>
    <row r="263" spans="1:8" ht="14.25">
      <c r="A263" s="3001">
        <v>261</v>
      </c>
      <c r="B263" s="3001" t="s">
        <v>3795</v>
      </c>
      <c r="C263" s="3001" t="s">
        <v>3791</v>
      </c>
      <c r="D263" s="3004" t="s">
        <v>3981</v>
      </c>
      <c r="E263" s="3004">
        <v>126.15</v>
      </c>
      <c r="F263" s="3004">
        <v>13</v>
      </c>
      <c r="G263" s="3004" t="s">
        <v>3383</v>
      </c>
      <c r="H263" s="3001" t="s">
        <v>3793</v>
      </c>
    </row>
    <row r="264" spans="1:8" ht="14.25">
      <c r="A264" s="3001">
        <v>262</v>
      </c>
      <c r="B264" s="3001" t="s">
        <v>3795</v>
      </c>
      <c r="C264" s="3001" t="s">
        <v>3791</v>
      </c>
      <c r="D264" s="3004" t="s">
        <v>3982</v>
      </c>
      <c r="E264" s="3004">
        <v>91.67</v>
      </c>
      <c r="F264" s="3004">
        <v>13</v>
      </c>
      <c r="G264" s="3004" t="s">
        <v>3383</v>
      </c>
      <c r="H264" s="3001" t="s">
        <v>3793</v>
      </c>
    </row>
    <row r="265" spans="1:8" ht="14.25">
      <c r="A265" s="3001">
        <v>263</v>
      </c>
      <c r="B265" s="3001" t="s">
        <v>3795</v>
      </c>
      <c r="C265" s="3001" t="s">
        <v>3791</v>
      </c>
      <c r="D265" s="3004" t="s">
        <v>3983</v>
      </c>
      <c r="E265" s="3004">
        <v>76.2</v>
      </c>
      <c r="F265" s="3004">
        <v>13</v>
      </c>
      <c r="G265" s="3004" t="s">
        <v>3383</v>
      </c>
      <c r="H265" s="3001" t="s">
        <v>3793</v>
      </c>
    </row>
    <row r="266" spans="1:8" ht="14.25">
      <c r="A266" s="3001">
        <v>264</v>
      </c>
      <c r="B266" s="3001" t="s">
        <v>3795</v>
      </c>
      <c r="C266" s="3001" t="s">
        <v>3791</v>
      </c>
      <c r="D266" s="3004" t="s">
        <v>3984</v>
      </c>
      <c r="E266" s="3004">
        <v>95.36</v>
      </c>
      <c r="F266" s="3004">
        <v>13</v>
      </c>
      <c r="G266" s="3004" t="s">
        <v>3383</v>
      </c>
      <c r="H266" s="3001" t="s">
        <v>3793</v>
      </c>
    </row>
    <row r="267" spans="1:8" ht="14.25">
      <c r="A267" s="3001">
        <v>265</v>
      </c>
      <c r="B267" s="3001" t="s">
        <v>3795</v>
      </c>
      <c r="C267" s="3001" t="s">
        <v>3791</v>
      </c>
      <c r="D267" s="3004" t="s">
        <v>3985</v>
      </c>
      <c r="E267" s="3004">
        <v>68.849999999999994</v>
      </c>
      <c r="F267" s="3004">
        <v>13</v>
      </c>
      <c r="G267" s="3004" t="s">
        <v>3383</v>
      </c>
      <c r="H267" s="3001" t="s">
        <v>3793</v>
      </c>
    </row>
    <row r="268" spans="1:8" ht="14.25">
      <c r="A268" s="3001">
        <v>266</v>
      </c>
      <c r="B268" s="3001" t="s">
        <v>3795</v>
      </c>
      <c r="C268" s="3001" t="s">
        <v>3791</v>
      </c>
      <c r="D268" s="3004" t="s">
        <v>3986</v>
      </c>
      <c r="E268" s="3004">
        <v>68.849999999999994</v>
      </c>
      <c r="F268" s="3004">
        <v>13</v>
      </c>
      <c r="G268" s="3004" t="s">
        <v>3383</v>
      </c>
      <c r="H268" s="3001" t="s">
        <v>3793</v>
      </c>
    </row>
    <row r="269" spans="1:8" ht="14.25">
      <c r="A269" s="3001">
        <v>267</v>
      </c>
      <c r="B269" s="3001" t="s">
        <v>3795</v>
      </c>
      <c r="C269" s="3001" t="s">
        <v>3791</v>
      </c>
      <c r="D269" s="3004" t="s">
        <v>3987</v>
      </c>
      <c r="E269" s="3004">
        <v>94.09</v>
      </c>
      <c r="F269" s="3004">
        <v>14</v>
      </c>
      <c r="G269" s="3004" t="s">
        <v>3383</v>
      </c>
      <c r="H269" s="3001" t="s">
        <v>3793</v>
      </c>
    </row>
    <row r="270" spans="1:8" ht="14.25">
      <c r="A270" s="3001">
        <v>268</v>
      </c>
      <c r="B270" s="3001" t="s">
        <v>3795</v>
      </c>
      <c r="C270" s="3001" t="s">
        <v>3791</v>
      </c>
      <c r="D270" s="3004" t="s">
        <v>3988</v>
      </c>
      <c r="E270" s="3004">
        <v>76.27</v>
      </c>
      <c r="F270" s="3004">
        <v>14</v>
      </c>
      <c r="G270" s="3004" t="s">
        <v>3383</v>
      </c>
      <c r="H270" s="3001" t="s">
        <v>3793</v>
      </c>
    </row>
    <row r="271" spans="1:8" ht="14.25">
      <c r="A271" s="3001">
        <v>269</v>
      </c>
      <c r="B271" s="3001" t="s">
        <v>3795</v>
      </c>
      <c r="C271" s="3001" t="s">
        <v>3791</v>
      </c>
      <c r="D271" s="3004" t="s">
        <v>3989</v>
      </c>
      <c r="E271" s="3004">
        <v>75.760000000000005</v>
      </c>
      <c r="F271" s="3004">
        <v>14</v>
      </c>
      <c r="G271" s="3004" t="s">
        <v>3383</v>
      </c>
      <c r="H271" s="3001" t="s">
        <v>3793</v>
      </c>
    </row>
    <row r="272" spans="1:8" ht="14.25">
      <c r="A272" s="3001">
        <v>270</v>
      </c>
      <c r="B272" s="3001" t="s">
        <v>3795</v>
      </c>
      <c r="C272" s="3001" t="s">
        <v>3791</v>
      </c>
      <c r="D272" s="3004" t="s">
        <v>3990</v>
      </c>
      <c r="E272" s="3004">
        <v>89.95</v>
      </c>
      <c r="F272" s="3004">
        <v>14</v>
      </c>
      <c r="G272" s="3004" t="s">
        <v>3383</v>
      </c>
      <c r="H272" s="3001" t="s">
        <v>3793</v>
      </c>
    </row>
    <row r="273" spans="1:8" ht="14.25">
      <c r="A273" s="3001">
        <v>271</v>
      </c>
      <c r="B273" s="3001" t="s">
        <v>3795</v>
      </c>
      <c r="C273" s="3001" t="s">
        <v>3791</v>
      </c>
      <c r="D273" s="3004" t="s">
        <v>3991</v>
      </c>
      <c r="E273" s="3004">
        <v>99.07</v>
      </c>
      <c r="F273" s="3004">
        <v>14</v>
      </c>
      <c r="G273" s="3004" t="s">
        <v>3383</v>
      </c>
      <c r="H273" s="3001" t="s">
        <v>3793</v>
      </c>
    </row>
    <row r="274" spans="1:8" ht="14.25">
      <c r="A274" s="3001">
        <v>272</v>
      </c>
      <c r="B274" s="3001" t="s">
        <v>3795</v>
      </c>
      <c r="C274" s="3001" t="s">
        <v>3791</v>
      </c>
      <c r="D274" s="3004" t="s">
        <v>3992</v>
      </c>
      <c r="E274" s="3004">
        <v>72.89</v>
      </c>
      <c r="F274" s="3004">
        <v>14</v>
      </c>
      <c r="G274" s="3004" t="s">
        <v>3383</v>
      </c>
      <c r="H274" s="3001" t="s">
        <v>3793</v>
      </c>
    </row>
    <row r="275" spans="1:8" ht="14.25">
      <c r="A275" s="3001">
        <v>273</v>
      </c>
      <c r="B275" s="3001" t="s">
        <v>3795</v>
      </c>
      <c r="C275" s="3001" t="s">
        <v>3791</v>
      </c>
      <c r="D275" s="3004" t="s">
        <v>3993</v>
      </c>
      <c r="E275" s="3004">
        <v>81.849999999999994</v>
      </c>
      <c r="F275" s="3004">
        <v>14</v>
      </c>
      <c r="G275" s="3004" t="s">
        <v>3383</v>
      </c>
      <c r="H275" s="3001" t="s">
        <v>3793</v>
      </c>
    </row>
    <row r="276" spans="1:8" ht="14.25">
      <c r="A276" s="3001">
        <v>274</v>
      </c>
      <c r="B276" s="3001" t="s">
        <v>3795</v>
      </c>
      <c r="C276" s="3001" t="s">
        <v>3791</v>
      </c>
      <c r="D276" s="3004" t="s">
        <v>3994</v>
      </c>
      <c r="E276" s="3004">
        <v>68.75</v>
      </c>
      <c r="F276" s="3004">
        <v>14</v>
      </c>
      <c r="G276" s="3004" t="s">
        <v>3383</v>
      </c>
      <c r="H276" s="3001" t="s">
        <v>3793</v>
      </c>
    </row>
    <row r="277" spans="1:8" ht="14.25">
      <c r="A277" s="3001">
        <v>275</v>
      </c>
      <c r="B277" s="3001" t="s">
        <v>3795</v>
      </c>
      <c r="C277" s="3001" t="s">
        <v>3791</v>
      </c>
      <c r="D277" s="3004" t="s">
        <v>3995</v>
      </c>
      <c r="E277" s="3004">
        <v>69.97</v>
      </c>
      <c r="F277" s="3004">
        <v>14</v>
      </c>
      <c r="G277" s="3004" t="s">
        <v>3383</v>
      </c>
      <c r="H277" s="3001" t="s">
        <v>3793</v>
      </c>
    </row>
    <row r="278" spans="1:8" ht="14.25">
      <c r="A278" s="3001">
        <v>276</v>
      </c>
      <c r="B278" s="3001" t="s">
        <v>3795</v>
      </c>
      <c r="C278" s="3001" t="s">
        <v>3791</v>
      </c>
      <c r="D278" s="3004" t="s">
        <v>3996</v>
      </c>
      <c r="E278" s="3004">
        <v>107.5</v>
      </c>
      <c r="F278" s="3004">
        <v>14</v>
      </c>
      <c r="G278" s="3004" t="s">
        <v>3383</v>
      </c>
      <c r="H278" s="3001" t="s">
        <v>3793</v>
      </c>
    </row>
    <row r="279" spans="1:8" ht="14.25">
      <c r="A279" s="3001">
        <v>277</v>
      </c>
      <c r="B279" s="3001" t="s">
        <v>3795</v>
      </c>
      <c r="C279" s="3001" t="s">
        <v>3791</v>
      </c>
      <c r="D279" s="3004" t="s">
        <v>3997</v>
      </c>
      <c r="E279" s="3004">
        <v>73.87</v>
      </c>
      <c r="F279" s="3004">
        <v>14</v>
      </c>
      <c r="G279" s="3004" t="s">
        <v>3383</v>
      </c>
      <c r="H279" s="3001" t="s">
        <v>3793</v>
      </c>
    </row>
    <row r="280" spans="1:8" ht="14.25">
      <c r="A280" s="3001">
        <v>278</v>
      </c>
      <c r="B280" s="3001" t="s">
        <v>3795</v>
      </c>
      <c r="C280" s="3001" t="s">
        <v>3791</v>
      </c>
      <c r="D280" s="3004" t="s">
        <v>3998</v>
      </c>
      <c r="E280" s="3004">
        <v>115.57</v>
      </c>
      <c r="F280" s="3004">
        <v>14</v>
      </c>
      <c r="G280" s="3004" t="s">
        <v>3383</v>
      </c>
      <c r="H280" s="3001" t="s">
        <v>3793</v>
      </c>
    </row>
    <row r="281" spans="1:8" ht="14.25">
      <c r="A281" s="3001">
        <v>279</v>
      </c>
      <c r="B281" s="3001" t="s">
        <v>3795</v>
      </c>
      <c r="C281" s="3001" t="s">
        <v>3791</v>
      </c>
      <c r="D281" s="3004" t="s">
        <v>3999</v>
      </c>
      <c r="E281" s="3004">
        <v>83.27</v>
      </c>
      <c r="F281" s="3004">
        <v>14</v>
      </c>
      <c r="G281" s="3004" t="s">
        <v>3383</v>
      </c>
      <c r="H281" s="3001" t="s">
        <v>3793</v>
      </c>
    </row>
    <row r="282" spans="1:8" ht="14.25">
      <c r="A282" s="3001">
        <v>280</v>
      </c>
      <c r="B282" s="3001" t="s">
        <v>3795</v>
      </c>
      <c r="C282" s="3001" t="s">
        <v>3791</v>
      </c>
      <c r="D282" s="3004" t="s">
        <v>4000</v>
      </c>
      <c r="E282" s="3004">
        <v>83.27</v>
      </c>
      <c r="F282" s="3004">
        <v>14</v>
      </c>
      <c r="G282" s="3004" t="s">
        <v>3383</v>
      </c>
      <c r="H282" s="3001" t="s">
        <v>3793</v>
      </c>
    </row>
    <row r="283" spans="1:8" ht="14.25">
      <c r="A283" s="3001">
        <v>281</v>
      </c>
      <c r="B283" s="3001" t="s">
        <v>3795</v>
      </c>
      <c r="C283" s="3001" t="s">
        <v>3791</v>
      </c>
      <c r="D283" s="3004" t="s">
        <v>4001</v>
      </c>
      <c r="E283" s="3004">
        <v>115.96</v>
      </c>
      <c r="F283" s="3004">
        <v>14</v>
      </c>
      <c r="G283" s="3004" t="s">
        <v>3383</v>
      </c>
      <c r="H283" s="3001" t="s">
        <v>3793</v>
      </c>
    </row>
    <row r="284" spans="1:8" ht="14.25">
      <c r="A284" s="3001">
        <v>282</v>
      </c>
      <c r="B284" s="3001" t="s">
        <v>3795</v>
      </c>
      <c r="C284" s="3001" t="s">
        <v>3791</v>
      </c>
      <c r="D284" s="3004" t="s">
        <v>4002</v>
      </c>
      <c r="E284" s="3004">
        <v>87.71</v>
      </c>
      <c r="F284" s="3004">
        <v>14</v>
      </c>
      <c r="G284" s="3004" t="s">
        <v>3383</v>
      </c>
      <c r="H284" s="3001" t="s">
        <v>3793</v>
      </c>
    </row>
    <row r="285" spans="1:8" ht="14.25">
      <c r="A285" s="3001">
        <v>283</v>
      </c>
      <c r="B285" s="3001" t="s">
        <v>3795</v>
      </c>
      <c r="C285" s="3001" t="s">
        <v>3791</v>
      </c>
      <c r="D285" s="3004" t="s">
        <v>4003</v>
      </c>
      <c r="E285" s="3004">
        <v>126.15</v>
      </c>
      <c r="F285" s="3004">
        <v>14</v>
      </c>
      <c r="G285" s="3004" t="s">
        <v>3383</v>
      </c>
      <c r="H285" s="3001" t="s">
        <v>3793</v>
      </c>
    </row>
    <row r="286" spans="1:8" ht="14.25">
      <c r="A286" s="3001">
        <v>284</v>
      </c>
      <c r="B286" s="3001" t="s">
        <v>3795</v>
      </c>
      <c r="C286" s="3001" t="s">
        <v>3791</v>
      </c>
      <c r="D286" s="3004" t="s">
        <v>4004</v>
      </c>
      <c r="E286" s="3004">
        <v>91.67</v>
      </c>
      <c r="F286" s="3004">
        <v>14</v>
      </c>
      <c r="G286" s="3004" t="s">
        <v>3383</v>
      </c>
      <c r="H286" s="3001" t="s">
        <v>3793</v>
      </c>
    </row>
    <row r="287" spans="1:8" ht="14.25">
      <c r="A287" s="3001">
        <v>285</v>
      </c>
      <c r="B287" s="3001" t="s">
        <v>3795</v>
      </c>
      <c r="C287" s="3001" t="s">
        <v>3791</v>
      </c>
      <c r="D287" s="3004" t="s">
        <v>4005</v>
      </c>
      <c r="E287" s="3004">
        <v>76.2</v>
      </c>
      <c r="F287" s="3004">
        <v>14</v>
      </c>
      <c r="G287" s="3004" t="s">
        <v>3383</v>
      </c>
      <c r="H287" s="3001" t="s">
        <v>3793</v>
      </c>
    </row>
    <row r="288" spans="1:8" ht="14.25">
      <c r="A288" s="3001">
        <v>286</v>
      </c>
      <c r="B288" s="3001" t="s">
        <v>3795</v>
      </c>
      <c r="C288" s="3001" t="s">
        <v>3791</v>
      </c>
      <c r="D288" s="3004" t="s">
        <v>4006</v>
      </c>
      <c r="E288" s="3004">
        <v>95.36</v>
      </c>
      <c r="F288" s="3004">
        <v>14</v>
      </c>
      <c r="G288" s="3004" t="s">
        <v>3383</v>
      </c>
      <c r="H288" s="3001" t="s">
        <v>3793</v>
      </c>
    </row>
    <row r="289" spans="1:8" ht="14.25">
      <c r="A289" s="3001">
        <v>287</v>
      </c>
      <c r="B289" s="3001" t="s">
        <v>3795</v>
      </c>
      <c r="C289" s="3001" t="s">
        <v>3791</v>
      </c>
      <c r="D289" s="3004" t="s">
        <v>4007</v>
      </c>
      <c r="E289" s="3004">
        <v>68.849999999999994</v>
      </c>
      <c r="F289" s="3004">
        <v>14</v>
      </c>
      <c r="G289" s="3004" t="s">
        <v>3383</v>
      </c>
      <c r="H289" s="3001" t="s">
        <v>3793</v>
      </c>
    </row>
    <row r="290" spans="1:8" ht="14.25">
      <c r="A290" s="3001">
        <v>288</v>
      </c>
      <c r="B290" s="3001" t="s">
        <v>3795</v>
      </c>
      <c r="C290" s="3001" t="s">
        <v>3791</v>
      </c>
      <c r="D290" s="3004" t="s">
        <v>4008</v>
      </c>
      <c r="E290" s="3004">
        <v>68.849999999999994</v>
      </c>
      <c r="F290" s="3004">
        <v>14</v>
      </c>
      <c r="G290" s="3004" t="s">
        <v>3383</v>
      </c>
      <c r="H290" s="3001" t="s">
        <v>3793</v>
      </c>
    </row>
    <row r="291" spans="1:8" ht="14.25">
      <c r="A291" s="3001">
        <v>289</v>
      </c>
      <c r="B291" s="3001" t="s">
        <v>3795</v>
      </c>
      <c r="C291" s="3001" t="s">
        <v>3791</v>
      </c>
      <c r="D291" s="3004" t="s">
        <v>4009</v>
      </c>
      <c r="E291" s="3004">
        <v>94.09</v>
      </c>
      <c r="F291" s="3004">
        <v>15</v>
      </c>
      <c r="G291" s="3004" t="s">
        <v>3383</v>
      </c>
      <c r="H291" s="3001" t="s">
        <v>3793</v>
      </c>
    </row>
    <row r="292" spans="1:8" ht="14.25">
      <c r="A292" s="3001">
        <v>290</v>
      </c>
      <c r="B292" s="3001" t="s">
        <v>3795</v>
      </c>
      <c r="C292" s="3001" t="s">
        <v>3791</v>
      </c>
      <c r="D292" s="3004" t="s">
        <v>4010</v>
      </c>
      <c r="E292" s="3004">
        <v>76.27</v>
      </c>
      <c r="F292" s="3004">
        <v>15</v>
      </c>
      <c r="G292" s="3004" t="s">
        <v>3383</v>
      </c>
      <c r="H292" s="3001" t="s">
        <v>3793</v>
      </c>
    </row>
    <row r="293" spans="1:8" ht="14.25">
      <c r="A293" s="3001">
        <v>291</v>
      </c>
      <c r="B293" s="3001" t="s">
        <v>3795</v>
      </c>
      <c r="C293" s="3001" t="s">
        <v>3791</v>
      </c>
      <c r="D293" s="3004" t="s">
        <v>4011</v>
      </c>
      <c r="E293" s="3004">
        <v>75.760000000000005</v>
      </c>
      <c r="F293" s="3004">
        <v>15</v>
      </c>
      <c r="G293" s="3004" t="s">
        <v>3383</v>
      </c>
      <c r="H293" s="3001" t="s">
        <v>3793</v>
      </c>
    </row>
    <row r="294" spans="1:8" ht="14.25">
      <c r="A294" s="3001">
        <v>292</v>
      </c>
      <c r="B294" s="3001" t="s">
        <v>3795</v>
      </c>
      <c r="C294" s="3001" t="s">
        <v>3791</v>
      </c>
      <c r="D294" s="3004" t="s">
        <v>4012</v>
      </c>
      <c r="E294" s="3004">
        <v>89.95</v>
      </c>
      <c r="F294" s="3004">
        <v>15</v>
      </c>
      <c r="G294" s="3004" t="s">
        <v>3383</v>
      </c>
      <c r="H294" s="3001" t="s">
        <v>3793</v>
      </c>
    </row>
    <row r="295" spans="1:8" ht="14.25">
      <c r="A295" s="3001">
        <v>293</v>
      </c>
      <c r="B295" s="3001" t="s">
        <v>3795</v>
      </c>
      <c r="C295" s="3001" t="s">
        <v>3791</v>
      </c>
      <c r="D295" s="3004" t="s">
        <v>4013</v>
      </c>
      <c r="E295" s="3004">
        <v>99.07</v>
      </c>
      <c r="F295" s="3004">
        <v>15</v>
      </c>
      <c r="G295" s="3004" t="s">
        <v>3383</v>
      </c>
      <c r="H295" s="3001" t="s">
        <v>3793</v>
      </c>
    </row>
    <row r="296" spans="1:8" ht="14.25">
      <c r="A296" s="3001">
        <v>294</v>
      </c>
      <c r="B296" s="3001" t="s">
        <v>3795</v>
      </c>
      <c r="C296" s="3001" t="s">
        <v>3791</v>
      </c>
      <c r="D296" s="3004" t="s">
        <v>4014</v>
      </c>
      <c r="E296" s="3004">
        <v>72.89</v>
      </c>
      <c r="F296" s="3004">
        <v>15</v>
      </c>
      <c r="G296" s="3004" t="s">
        <v>3383</v>
      </c>
      <c r="H296" s="3001" t="s">
        <v>3793</v>
      </c>
    </row>
    <row r="297" spans="1:8" ht="14.25">
      <c r="A297" s="3001">
        <v>295</v>
      </c>
      <c r="B297" s="3001" t="s">
        <v>3795</v>
      </c>
      <c r="C297" s="3001" t="s">
        <v>3791</v>
      </c>
      <c r="D297" s="3004" t="s">
        <v>4015</v>
      </c>
      <c r="E297" s="3004">
        <v>81.849999999999994</v>
      </c>
      <c r="F297" s="3004">
        <v>15</v>
      </c>
      <c r="G297" s="3004" t="s">
        <v>3383</v>
      </c>
      <c r="H297" s="3001" t="s">
        <v>3793</v>
      </c>
    </row>
    <row r="298" spans="1:8" ht="14.25">
      <c r="A298" s="3001">
        <v>296</v>
      </c>
      <c r="B298" s="3001" t="s">
        <v>3795</v>
      </c>
      <c r="C298" s="3001" t="s">
        <v>3791</v>
      </c>
      <c r="D298" s="3004" t="s">
        <v>4016</v>
      </c>
      <c r="E298" s="3004">
        <v>68.75</v>
      </c>
      <c r="F298" s="3004">
        <v>15</v>
      </c>
      <c r="G298" s="3004" t="s">
        <v>3383</v>
      </c>
      <c r="H298" s="3001" t="s">
        <v>3793</v>
      </c>
    </row>
    <row r="299" spans="1:8" ht="14.25">
      <c r="A299" s="3001">
        <v>297</v>
      </c>
      <c r="B299" s="3001" t="s">
        <v>3795</v>
      </c>
      <c r="C299" s="3001" t="s">
        <v>3791</v>
      </c>
      <c r="D299" s="3004" t="s">
        <v>4017</v>
      </c>
      <c r="E299" s="3004">
        <v>69.97</v>
      </c>
      <c r="F299" s="3004">
        <v>15</v>
      </c>
      <c r="G299" s="3004" t="s">
        <v>3383</v>
      </c>
      <c r="H299" s="3001" t="s">
        <v>3793</v>
      </c>
    </row>
    <row r="300" spans="1:8" ht="14.25">
      <c r="A300" s="3001">
        <v>298</v>
      </c>
      <c r="B300" s="3001" t="s">
        <v>3795</v>
      </c>
      <c r="C300" s="3001" t="s">
        <v>3791</v>
      </c>
      <c r="D300" s="3004" t="s">
        <v>4018</v>
      </c>
      <c r="E300" s="3004">
        <v>107.5</v>
      </c>
      <c r="F300" s="3004">
        <v>15</v>
      </c>
      <c r="G300" s="3004" t="s">
        <v>3383</v>
      </c>
      <c r="H300" s="3001" t="s">
        <v>3793</v>
      </c>
    </row>
    <row r="301" spans="1:8" ht="14.25">
      <c r="A301" s="3001">
        <v>299</v>
      </c>
      <c r="B301" s="3001" t="s">
        <v>3795</v>
      </c>
      <c r="C301" s="3001" t="s">
        <v>3791</v>
      </c>
      <c r="D301" s="3004" t="s">
        <v>4019</v>
      </c>
      <c r="E301" s="3004">
        <v>73.87</v>
      </c>
      <c r="F301" s="3004">
        <v>15</v>
      </c>
      <c r="G301" s="3004" t="s">
        <v>3383</v>
      </c>
      <c r="H301" s="3001" t="s">
        <v>3793</v>
      </c>
    </row>
    <row r="302" spans="1:8" ht="14.25">
      <c r="A302" s="3001">
        <v>300</v>
      </c>
      <c r="B302" s="3001" t="s">
        <v>3795</v>
      </c>
      <c r="C302" s="3001" t="s">
        <v>3791</v>
      </c>
      <c r="D302" s="3004" t="s">
        <v>4020</v>
      </c>
      <c r="E302" s="3004">
        <v>115.57</v>
      </c>
      <c r="F302" s="3004">
        <v>15</v>
      </c>
      <c r="G302" s="3004" t="s">
        <v>3383</v>
      </c>
      <c r="H302" s="3001" t="s">
        <v>3793</v>
      </c>
    </row>
    <row r="303" spans="1:8" ht="14.25">
      <c r="A303" s="3001">
        <v>301</v>
      </c>
      <c r="B303" s="3001" t="s">
        <v>3795</v>
      </c>
      <c r="C303" s="3001" t="s">
        <v>3791</v>
      </c>
      <c r="D303" s="3004" t="s">
        <v>4021</v>
      </c>
      <c r="E303" s="3004">
        <v>83.27</v>
      </c>
      <c r="F303" s="3004">
        <v>15</v>
      </c>
      <c r="G303" s="3004" t="s">
        <v>3383</v>
      </c>
      <c r="H303" s="3001" t="s">
        <v>3793</v>
      </c>
    </row>
    <row r="304" spans="1:8" ht="14.25">
      <c r="A304" s="3001">
        <v>302</v>
      </c>
      <c r="B304" s="3001" t="s">
        <v>3795</v>
      </c>
      <c r="C304" s="3001" t="s">
        <v>3791</v>
      </c>
      <c r="D304" s="3004" t="s">
        <v>4022</v>
      </c>
      <c r="E304" s="3004">
        <v>83.27</v>
      </c>
      <c r="F304" s="3004">
        <v>15</v>
      </c>
      <c r="G304" s="3004" t="s">
        <v>3383</v>
      </c>
      <c r="H304" s="3001" t="s">
        <v>3793</v>
      </c>
    </row>
    <row r="305" spans="1:8" ht="14.25">
      <c r="A305" s="3001">
        <v>303</v>
      </c>
      <c r="B305" s="3001" t="s">
        <v>3795</v>
      </c>
      <c r="C305" s="3001" t="s">
        <v>3791</v>
      </c>
      <c r="D305" s="3004" t="s">
        <v>4023</v>
      </c>
      <c r="E305" s="3004">
        <v>115.96</v>
      </c>
      <c r="F305" s="3004">
        <v>15</v>
      </c>
      <c r="G305" s="3004" t="s">
        <v>3383</v>
      </c>
      <c r="H305" s="3001" t="s">
        <v>3793</v>
      </c>
    </row>
    <row r="306" spans="1:8" ht="14.25">
      <c r="A306" s="3001">
        <v>304</v>
      </c>
      <c r="B306" s="3001" t="s">
        <v>3795</v>
      </c>
      <c r="C306" s="3001" t="s">
        <v>3791</v>
      </c>
      <c r="D306" s="3004" t="s">
        <v>4024</v>
      </c>
      <c r="E306" s="3004">
        <v>87.71</v>
      </c>
      <c r="F306" s="3004">
        <v>15</v>
      </c>
      <c r="G306" s="3004" t="s">
        <v>3383</v>
      </c>
      <c r="H306" s="3001" t="s">
        <v>3793</v>
      </c>
    </row>
    <row r="307" spans="1:8" ht="14.25">
      <c r="A307" s="3001">
        <v>305</v>
      </c>
      <c r="B307" s="3001" t="s">
        <v>3795</v>
      </c>
      <c r="C307" s="3001" t="s">
        <v>3791</v>
      </c>
      <c r="D307" s="3004" t="s">
        <v>4025</v>
      </c>
      <c r="E307" s="3004">
        <v>126.15</v>
      </c>
      <c r="F307" s="3004">
        <v>15</v>
      </c>
      <c r="G307" s="3004" t="s">
        <v>3383</v>
      </c>
      <c r="H307" s="3001" t="s">
        <v>3793</v>
      </c>
    </row>
    <row r="308" spans="1:8" ht="14.25">
      <c r="A308" s="3001">
        <v>306</v>
      </c>
      <c r="B308" s="3001" t="s">
        <v>3795</v>
      </c>
      <c r="C308" s="3001" t="s">
        <v>3791</v>
      </c>
      <c r="D308" s="3004" t="s">
        <v>4026</v>
      </c>
      <c r="E308" s="3004">
        <v>91.67</v>
      </c>
      <c r="F308" s="3004">
        <v>15</v>
      </c>
      <c r="G308" s="3004" t="s">
        <v>3383</v>
      </c>
      <c r="H308" s="3001" t="s">
        <v>3793</v>
      </c>
    </row>
    <row r="309" spans="1:8" ht="14.25">
      <c r="A309" s="3001">
        <v>307</v>
      </c>
      <c r="B309" s="3001" t="s">
        <v>3795</v>
      </c>
      <c r="C309" s="3001" t="s">
        <v>3791</v>
      </c>
      <c r="D309" s="3004" t="s">
        <v>4027</v>
      </c>
      <c r="E309" s="3004">
        <v>76.2</v>
      </c>
      <c r="F309" s="3004">
        <v>15</v>
      </c>
      <c r="G309" s="3004" t="s">
        <v>3383</v>
      </c>
      <c r="H309" s="3001" t="s">
        <v>3793</v>
      </c>
    </row>
    <row r="310" spans="1:8" ht="14.25">
      <c r="A310" s="3001">
        <v>308</v>
      </c>
      <c r="B310" s="3001" t="s">
        <v>3795</v>
      </c>
      <c r="C310" s="3001" t="s">
        <v>3791</v>
      </c>
      <c r="D310" s="3004" t="s">
        <v>4028</v>
      </c>
      <c r="E310" s="3004">
        <v>95.36</v>
      </c>
      <c r="F310" s="3004">
        <v>15</v>
      </c>
      <c r="G310" s="3004" t="s">
        <v>3383</v>
      </c>
      <c r="H310" s="3001" t="s">
        <v>3793</v>
      </c>
    </row>
    <row r="311" spans="1:8" ht="14.25">
      <c r="A311" s="3001">
        <v>309</v>
      </c>
      <c r="B311" s="3001" t="s">
        <v>3795</v>
      </c>
      <c r="C311" s="3001" t="s">
        <v>3791</v>
      </c>
      <c r="D311" s="3004" t="s">
        <v>4029</v>
      </c>
      <c r="E311" s="3004">
        <v>68.849999999999994</v>
      </c>
      <c r="F311" s="3004">
        <v>15</v>
      </c>
      <c r="G311" s="3004" t="s">
        <v>3383</v>
      </c>
      <c r="H311" s="3001" t="s">
        <v>3793</v>
      </c>
    </row>
    <row r="312" spans="1:8" ht="14.25">
      <c r="A312" s="3001">
        <v>310</v>
      </c>
      <c r="B312" s="3001" t="s">
        <v>3795</v>
      </c>
      <c r="C312" s="3001" t="s">
        <v>3791</v>
      </c>
      <c r="D312" s="3004" t="s">
        <v>4030</v>
      </c>
      <c r="E312" s="3004">
        <v>68.849999999999994</v>
      </c>
      <c r="F312" s="3004">
        <v>15</v>
      </c>
      <c r="G312" s="3004" t="s">
        <v>3383</v>
      </c>
      <c r="H312" s="3001" t="s">
        <v>3793</v>
      </c>
    </row>
    <row r="313" spans="1:8" ht="14.25">
      <c r="A313" s="3001">
        <v>311</v>
      </c>
      <c r="B313" s="3001" t="s">
        <v>3795</v>
      </c>
      <c r="C313" s="3001" t="s">
        <v>3791</v>
      </c>
      <c r="D313" s="3004" t="s">
        <v>4031</v>
      </c>
      <c r="E313" s="3004">
        <v>94.09</v>
      </c>
      <c r="F313" s="3004">
        <v>16</v>
      </c>
      <c r="G313" s="3004" t="s">
        <v>3383</v>
      </c>
      <c r="H313" s="3001" t="s">
        <v>3793</v>
      </c>
    </row>
    <row r="314" spans="1:8" ht="14.25">
      <c r="A314" s="3001">
        <v>312</v>
      </c>
      <c r="B314" s="3001" t="s">
        <v>3795</v>
      </c>
      <c r="C314" s="3001" t="s">
        <v>3791</v>
      </c>
      <c r="D314" s="3004" t="s">
        <v>4032</v>
      </c>
      <c r="E314" s="3004">
        <v>76.27</v>
      </c>
      <c r="F314" s="3004">
        <v>16</v>
      </c>
      <c r="G314" s="3004" t="s">
        <v>3383</v>
      </c>
      <c r="H314" s="3001" t="s">
        <v>3793</v>
      </c>
    </row>
    <row r="315" spans="1:8" ht="14.25">
      <c r="A315" s="3001">
        <v>313</v>
      </c>
      <c r="B315" s="3001" t="s">
        <v>3795</v>
      </c>
      <c r="C315" s="3001" t="s">
        <v>3791</v>
      </c>
      <c r="D315" s="3004" t="s">
        <v>4033</v>
      </c>
      <c r="E315" s="3004">
        <v>75.760000000000005</v>
      </c>
      <c r="F315" s="3004">
        <v>16</v>
      </c>
      <c r="G315" s="3004" t="s">
        <v>3383</v>
      </c>
      <c r="H315" s="3001" t="s">
        <v>3793</v>
      </c>
    </row>
    <row r="316" spans="1:8" ht="14.25">
      <c r="A316" s="3001">
        <v>314</v>
      </c>
      <c r="B316" s="3001" t="s">
        <v>3795</v>
      </c>
      <c r="C316" s="3001" t="s">
        <v>3791</v>
      </c>
      <c r="D316" s="3004" t="s">
        <v>4034</v>
      </c>
      <c r="E316" s="3004">
        <v>89.95</v>
      </c>
      <c r="F316" s="3004">
        <v>16</v>
      </c>
      <c r="G316" s="3004" t="s">
        <v>3383</v>
      </c>
      <c r="H316" s="3001" t="s">
        <v>3793</v>
      </c>
    </row>
    <row r="317" spans="1:8" ht="14.25">
      <c r="A317" s="3001">
        <v>315</v>
      </c>
      <c r="B317" s="3001" t="s">
        <v>3795</v>
      </c>
      <c r="C317" s="3001" t="s">
        <v>3791</v>
      </c>
      <c r="D317" s="3004" t="s">
        <v>4035</v>
      </c>
      <c r="E317" s="3004">
        <v>99.07</v>
      </c>
      <c r="F317" s="3004">
        <v>16</v>
      </c>
      <c r="G317" s="3004" t="s">
        <v>3383</v>
      </c>
      <c r="H317" s="3001" t="s">
        <v>3793</v>
      </c>
    </row>
    <row r="318" spans="1:8" ht="14.25">
      <c r="A318" s="3001">
        <v>316</v>
      </c>
      <c r="B318" s="3001" t="s">
        <v>3795</v>
      </c>
      <c r="C318" s="3001" t="s">
        <v>3791</v>
      </c>
      <c r="D318" s="3004" t="s">
        <v>4036</v>
      </c>
      <c r="E318" s="3004">
        <v>72.89</v>
      </c>
      <c r="F318" s="3004">
        <v>16</v>
      </c>
      <c r="G318" s="3004" t="s">
        <v>3383</v>
      </c>
      <c r="H318" s="3001" t="s">
        <v>3793</v>
      </c>
    </row>
    <row r="319" spans="1:8" ht="14.25">
      <c r="A319" s="3001">
        <v>317</v>
      </c>
      <c r="B319" s="3001" t="s">
        <v>3795</v>
      </c>
      <c r="C319" s="3001" t="s">
        <v>3791</v>
      </c>
      <c r="D319" s="3004" t="s">
        <v>4037</v>
      </c>
      <c r="E319" s="3004">
        <v>81.849999999999994</v>
      </c>
      <c r="F319" s="3004">
        <v>16</v>
      </c>
      <c r="G319" s="3004" t="s">
        <v>3383</v>
      </c>
      <c r="H319" s="3001" t="s">
        <v>3793</v>
      </c>
    </row>
    <row r="320" spans="1:8" ht="14.25">
      <c r="A320" s="3001">
        <v>318</v>
      </c>
      <c r="B320" s="3001" t="s">
        <v>3795</v>
      </c>
      <c r="C320" s="3001" t="s">
        <v>3791</v>
      </c>
      <c r="D320" s="3004" t="s">
        <v>4038</v>
      </c>
      <c r="E320" s="3004">
        <v>68.75</v>
      </c>
      <c r="F320" s="3004">
        <v>16</v>
      </c>
      <c r="G320" s="3004" t="s">
        <v>3383</v>
      </c>
      <c r="H320" s="3001" t="s">
        <v>3793</v>
      </c>
    </row>
    <row r="321" spans="1:8" ht="14.25">
      <c r="A321" s="3001">
        <v>319</v>
      </c>
      <c r="B321" s="3001" t="s">
        <v>3795</v>
      </c>
      <c r="C321" s="3001" t="s">
        <v>3791</v>
      </c>
      <c r="D321" s="3004" t="s">
        <v>4039</v>
      </c>
      <c r="E321" s="3004">
        <v>69.97</v>
      </c>
      <c r="F321" s="3004">
        <v>16</v>
      </c>
      <c r="G321" s="3004" t="s">
        <v>3383</v>
      </c>
      <c r="H321" s="3001" t="s">
        <v>3793</v>
      </c>
    </row>
    <row r="322" spans="1:8" ht="14.25">
      <c r="A322" s="3001">
        <v>320</v>
      </c>
      <c r="B322" s="3001" t="s">
        <v>3795</v>
      </c>
      <c r="C322" s="3001" t="s">
        <v>3791</v>
      </c>
      <c r="D322" s="3004" t="s">
        <v>4040</v>
      </c>
      <c r="E322" s="3004">
        <v>107.5</v>
      </c>
      <c r="F322" s="3004">
        <v>16</v>
      </c>
      <c r="G322" s="3004" t="s">
        <v>3383</v>
      </c>
      <c r="H322" s="3001" t="s">
        <v>3793</v>
      </c>
    </row>
    <row r="323" spans="1:8" ht="14.25">
      <c r="A323" s="3001">
        <v>321</v>
      </c>
      <c r="B323" s="3001" t="s">
        <v>3795</v>
      </c>
      <c r="C323" s="3001" t="s">
        <v>3791</v>
      </c>
      <c r="D323" s="3004" t="s">
        <v>4041</v>
      </c>
      <c r="E323" s="3004">
        <v>73.87</v>
      </c>
      <c r="F323" s="3004">
        <v>16</v>
      </c>
      <c r="G323" s="3004" t="s">
        <v>3383</v>
      </c>
      <c r="H323" s="3001" t="s">
        <v>3793</v>
      </c>
    </row>
    <row r="324" spans="1:8" ht="14.25">
      <c r="A324" s="3001">
        <v>322</v>
      </c>
      <c r="B324" s="3001" t="s">
        <v>3795</v>
      </c>
      <c r="C324" s="3001" t="s">
        <v>3791</v>
      </c>
      <c r="D324" s="3004" t="s">
        <v>4042</v>
      </c>
      <c r="E324" s="3004">
        <v>115.57</v>
      </c>
      <c r="F324" s="3004">
        <v>16</v>
      </c>
      <c r="G324" s="3004" t="s">
        <v>3383</v>
      </c>
      <c r="H324" s="3001" t="s">
        <v>3793</v>
      </c>
    </row>
    <row r="325" spans="1:8" ht="14.25">
      <c r="A325" s="3001">
        <v>323</v>
      </c>
      <c r="B325" s="3001" t="s">
        <v>3795</v>
      </c>
      <c r="C325" s="3001" t="s">
        <v>3791</v>
      </c>
      <c r="D325" s="3004" t="s">
        <v>4043</v>
      </c>
      <c r="E325" s="3004">
        <v>83.27</v>
      </c>
      <c r="F325" s="3004">
        <v>16</v>
      </c>
      <c r="G325" s="3004" t="s">
        <v>3383</v>
      </c>
      <c r="H325" s="3001" t="s">
        <v>3793</v>
      </c>
    </row>
    <row r="326" spans="1:8" ht="14.25">
      <c r="A326" s="3001">
        <v>324</v>
      </c>
      <c r="B326" s="3001" t="s">
        <v>3795</v>
      </c>
      <c r="C326" s="3001" t="s">
        <v>3791</v>
      </c>
      <c r="D326" s="3004" t="s">
        <v>4044</v>
      </c>
      <c r="E326" s="3004">
        <v>83.27</v>
      </c>
      <c r="F326" s="3004">
        <v>16</v>
      </c>
      <c r="G326" s="3004" t="s">
        <v>3383</v>
      </c>
      <c r="H326" s="3001" t="s">
        <v>3793</v>
      </c>
    </row>
    <row r="327" spans="1:8" ht="14.25">
      <c r="A327" s="3001">
        <v>325</v>
      </c>
      <c r="B327" s="3001" t="s">
        <v>3795</v>
      </c>
      <c r="C327" s="3001" t="s">
        <v>3791</v>
      </c>
      <c r="D327" s="3004" t="s">
        <v>4045</v>
      </c>
      <c r="E327" s="3004">
        <v>115.96</v>
      </c>
      <c r="F327" s="3004">
        <v>16</v>
      </c>
      <c r="G327" s="3004" t="s">
        <v>3383</v>
      </c>
      <c r="H327" s="3001" t="s">
        <v>3793</v>
      </c>
    </row>
    <row r="328" spans="1:8" ht="14.25">
      <c r="A328" s="3001">
        <v>326</v>
      </c>
      <c r="B328" s="3001" t="s">
        <v>3795</v>
      </c>
      <c r="C328" s="3001" t="s">
        <v>3791</v>
      </c>
      <c r="D328" s="3004" t="s">
        <v>4046</v>
      </c>
      <c r="E328" s="3004">
        <v>87.71</v>
      </c>
      <c r="F328" s="3004">
        <v>16</v>
      </c>
      <c r="G328" s="3004" t="s">
        <v>3383</v>
      </c>
      <c r="H328" s="3001" t="s">
        <v>3793</v>
      </c>
    </row>
    <row r="329" spans="1:8" ht="14.25">
      <c r="A329" s="3001">
        <v>327</v>
      </c>
      <c r="B329" s="3001" t="s">
        <v>3795</v>
      </c>
      <c r="C329" s="3001" t="s">
        <v>3791</v>
      </c>
      <c r="D329" s="3004" t="s">
        <v>4047</v>
      </c>
      <c r="E329" s="3004">
        <v>126.15</v>
      </c>
      <c r="F329" s="3004">
        <v>16</v>
      </c>
      <c r="G329" s="3004" t="s">
        <v>3383</v>
      </c>
      <c r="H329" s="3001" t="s">
        <v>3793</v>
      </c>
    </row>
    <row r="330" spans="1:8" ht="14.25">
      <c r="A330" s="3001">
        <v>328</v>
      </c>
      <c r="B330" s="3001" t="s">
        <v>3795</v>
      </c>
      <c r="C330" s="3001" t="s">
        <v>3791</v>
      </c>
      <c r="D330" s="3004" t="s">
        <v>4048</v>
      </c>
      <c r="E330" s="3004">
        <v>91.67</v>
      </c>
      <c r="F330" s="3004">
        <v>16</v>
      </c>
      <c r="G330" s="3004" t="s">
        <v>3383</v>
      </c>
      <c r="H330" s="3001" t="s">
        <v>3793</v>
      </c>
    </row>
    <row r="331" spans="1:8" ht="14.25">
      <c r="A331" s="3001">
        <v>329</v>
      </c>
      <c r="B331" s="3001" t="s">
        <v>3795</v>
      </c>
      <c r="C331" s="3001" t="s">
        <v>3791</v>
      </c>
      <c r="D331" s="3004" t="s">
        <v>4049</v>
      </c>
      <c r="E331" s="3004">
        <v>76.2</v>
      </c>
      <c r="F331" s="3004">
        <v>16</v>
      </c>
      <c r="G331" s="3004" t="s">
        <v>3383</v>
      </c>
      <c r="H331" s="3001" t="s">
        <v>3793</v>
      </c>
    </row>
    <row r="332" spans="1:8" ht="14.25">
      <c r="A332" s="3001">
        <v>330</v>
      </c>
      <c r="B332" s="3001" t="s">
        <v>3795</v>
      </c>
      <c r="C332" s="3001" t="s">
        <v>3791</v>
      </c>
      <c r="D332" s="3004" t="s">
        <v>4050</v>
      </c>
      <c r="E332" s="3004">
        <v>95.36</v>
      </c>
      <c r="F332" s="3004">
        <v>16</v>
      </c>
      <c r="G332" s="3004" t="s">
        <v>3383</v>
      </c>
      <c r="H332" s="3001" t="s">
        <v>3793</v>
      </c>
    </row>
    <row r="333" spans="1:8" ht="14.25">
      <c r="A333" s="3001">
        <v>331</v>
      </c>
      <c r="B333" s="3001" t="s">
        <v>3795</v>
      </c>
      <c r="C333" s="3001" t="s">
        <v>3791</v>
      </c>
      <c r="D333" s="3004" t="s">
        <v>4051</v>
      </c>
      <c r="E333" s="3004">
        <v>68.849999999999994</v>
      </c>
      <c r="F333" s="3004">
        <v>16</v>
      </c>
      <c r="G333" s="3004" t="s">
        <v>3383</v>
      </c>
      <c r="H333" s="3001" t="s">
        <v>3793</v>
      </c>
    </row>
    <row r="334" spans="1:8" ht="14.25">
      <c r="A334" s="3001">
        <v>332</v>
      </c>
      <c r="B334" s="3001" t="s">
        <v>3795</v>
      </c>
      <c r="C334" s="3001" t="s">
        <v>3791</v>
      </c>
      <c r="D334" s="3004" t="s">
        <v>4052</v>
      </c>
      <c r="E334" s="3004">
        <v>68.849999999999994</v>
      </c>
      <c r="F334" s="3004">
        <v>16</v>
      </c>
      <c r="G334" s="3004" t="s">
        <v>3383</v>
      </c>
      <c r="H334" s="3001" t="s">
        <v>3793</v>
      </c>
    </row>
    <row r="335" spans="1:8" ht="14.25">
      <c r="A335" s="3001">
        <v>333</v>
      </c>
      <c r="B335" s="3001" t="s">
        <v>3795</v>
      </c>
      <c r="C335" s="3001" t="s">
        <v>3791</v>
      </c>
      <c r="D335" s="3004" t="s">
        <v>4053</v>
      </c>
      <c r="E335" s="3004">
        <v>94.09</v>
      </c>
      <c r="F335" s="3004">
        <v>17</v>
      </c>
      <c r="G335" s="3004" t="s">
        <v>3383</v>
      </c>
      <c r="H335" s="3001" t="s">
        <v>3793</v>
      </c>
    </row>
    <row r="336" spans="1:8" ht="14.25">
      <c r="A336" s="3001">
        <v>334</v>
      </c>
      <c r="B336" s="3001" t="s">
        <v>3795</v>
      </c>
      <c r="C336" s="3001" t="s">
        <v>3791</v>
      </c>
      <c r="D336" s="3004" t="s">
        <v>4054</v>
      </c>
      <c r="E336" s="3004">
        <v>76.27</v>
      </c>
      <c r="F336" s="3004">
        <v>17</v>
      </c>
      <c r="G336" s="3004" t="s">
        <v>3383</v>
      </c>
      <c r="H336" s="3001" t="s">
        <v>3793</v>
      </c>
    </row>
    <row r="337" spans="1:8" ht="14.25">
      <c r="A337" s="3001">
        <v>335</v>
      </c>
      <c r="B337" s="3001" t="s">
        <v>3795</v>
      </c>
      <c r="C337" s="3001" t="s">
        <v>3791</v>
      </c>
      <c r="D337" s="3004" t="s">
        <v>4055</v>
      </c>
      <c r="E337" s="3004">
        <v>75.760000000000005</v>
      </c>
      <c r="F337" s="3004">
        <v>17</v>
      </c>
      <c r="G337" s="3004" t="s">
        <v>3383</v>
      </c>
      <c r="H337" s="3001" t="s">
        <v>3793</v>
      </c>
    </row>
    <row r="338" spans="1:8" ht="14.25">
      <c r="A338" s="3001">
        <v>336</v>
      </c>
      <c r="B338" s="3001" t="s">
        <v>3795</v>
      </c>
      <c r="C338" s="3001" t="s">
        <v>3791</v>
      </c>
      <c r="D338" s="3004" t="s">
        <v>4056</v>
      </c>
      <c r="E338" s="3004">
        <v>89.95</v>
      </c>
      <c r="F338" s="3004">
        <v>17</v>
      </c>
      <c r="G338" s="3004" t="s">
        <v>3383</v>
      </c>
      <c r="H338" s="3001" t="s">
        <v>3793</v>
      </c>
    </row>
    <row r="339" spans="1:8" ht="14.25">
      <c r="A339" s="3001">
        <v>337</v>
      </c>
      <c r="B339" s="3001" t="s">
        <v>3795</v>
      </c>
      <c r="C339" s="3001" t="s">
        <v>3791</v>
      </c>
      <c r="D339" s="3004" t="s">
        <v>4057</v>
      </c>
      <c r="E339" s="3004">
        <v>99.07</v>
      </c>
      <c r="F339" s="3004">
        <v>17</v>
      </c>
      <c r="G339" s="3004" t="s">
        <v>3383</v>
      </c>
      <c r="H339" s="3001" t="s">
        <v>3793</v>
      </c>
    </row>
    <row r="340" spans="1:8" ht="14.25">
      <c r="A340" s="3001">
        <v>338</v>
      </c>
      <c r="B340" s="3001" t="s">
        <v>3795</v>
      </c>
      <c r="C340" s="3001" t="s">
        <v>3791</v>
      </c>
      <c r="D340" s="3004" t="s">
        <v>4058</v>
      </c>
      <c r="E340" s="3004">
        <v>72.89</v>
      </c>
      <c r="F340" s="3004">
        <v>17</v>
      </c>
      <c r="G340" s="3004" t="s">
        <v>3383</v>
      </c>
      <c r="H340" s="3001" t="s">
        <v>3793</v>
      </c>
    </row>
    <row r="341" spans="1:8" ht="14.25">
      <c r="A341" s="3001">
        <v>339</v>
      </c>
      <c r="B341" s="3001" t="s">
        <v>3795</v>
      </c>
      <c r="C341" s="3001" t="s">
        <v>3791</v>
      </c>
      <c r="D341" s="3004" t="s">
        <v>4059</v>
      </c>
      <c r="E341" s="3004">
        <v>81.849999999999994</v>
      </c>
      <c r="F341" s="3004">
        <v>17</v>
      </c>
      <c r="G341" s="3004" t="s">
        <v>3383</v>
      </c>
      <c r="H341" s="3001" t="s">
        <v>3793</v>
      </c>
    </row>
    <row r="342" spans="1:8" ht="14.25">
      <c r="A342" s="3001">
        <v>340</v>
      </c>
      <c r="B342" s="3001" t="s">
        <v>3795</v>
      </c>
      <c r="C342" s="3001" t="s">
        <v>3791</v>
      </c>
      <c r="D342" s="3004" t="s">
        <v>4060</v>
      </c>
      <c r="E342" s="3004">
        <v>68.75</v>
      </c>
      <c r="F342" s="3004">
        <v>17</v>
      </c>
      <c r="G342" s="3004" t="s">
        <v>3383</v>
      </c>
      <c r="H342" s="3001" t="s">
        <v>3793</v>
      </c>
    </row>
    <row r="343" spans="1:8" ht="14.25">
      <c r="A343" s="3001">
        <v>341</v>
      </c>
      <c r="B343" s="3001" t="s">
        <v>3795</v>
      </c>
      <c r="C343" s="3001" t="s">
        <v>3791</v>
      </c>
      <c r="D343" s="3004" t="s">
        <v>4061</v>
      </c>
      <c r="E343" s="3004">
        <v>69.97</v>
      </c>
      <c r="F343" s="3004">
        <v>17</v>
      </c>
      <c r="G343" s="3004" t="s">
        <v>3383</v>
      </c>
      <c r="H343" s="3001" t="s">
        <v>3793</v>
      </c>
    </row>
    <row r="344" spans="1:8" ht="14.25">
      <c r="A344" s="3001">
        <v>342</v>
      </c>
      <c r="B344" s="3001" t="s">
        <v>3795</v>
      </c>
      <c r="C344" s="3001" t="s">
        <v>3791</v>
      </c>
      <c r="D344" s="3004" t="s">
        <v>4062</v>
      </c>
      <c r="E344" s="3004">
        <v>107.5</v>
      </c>
      <c r="F344" s="3004">
        <v>17</v>
      </c>
      <c r="G344" s="3004" t="s">
        <v>3383</v>
      </c>
      <c r="H344" s="3001" t="s">
        <v>3793</v>
      </c>
    </row>
    <row r="345" spans="1:8" ht="14.25">
      <c r="A345" s="3001">
        <v>343</v>
      </c>
      <c r="B345" s="3001" t="s">
        <v>3795</v>
      </c>
      <c r="C345" s="3001" t="s">
        <v>3791</v>
      </c>
      <c r="D345" s="3004" t="s">
        <v>4063</v>
      </c>
      <c r="E345" s="3004">
        <v>73.87</v>
      </c>
      <c r="F345" s="3004">
        <v>17</v>
      </c>
      <c r="G345" s="3004" t="s">
        <v>3383</v>
      </c>
      <c r="H345" s="3001" t="s">
        <v>3793</v>
      </c>
    </row>
    <row r="346" spans="1:8" ht="14.25">
      <c r="A346" s="3001">
        <v>344</v>
      </c>
      <c r="B346" s="3001" t="s">
        <v>3795</v>
      </c>
      <c r="C346" s="3001" t="s">
        <v>3791</v>
      </c>
      <c r="D346" s="3004" t="s">
        <v>4064</v>
      </c>
      <c r="E346" s="3004">
        <v>115.57</v>
      </c>
      <c r="F346" s="3004">
        <v>17</v>
      </c>
      <c r="G346" s="3004" t="s">
        <v>3383</v>
      </c>
      <c r="H346" s="3001" t="s">
        <v>3793</v>
      </c>
    </row>
    <row r="347" spans="1:8" ht="14.25">
      <c r="A347" s="3001">
        <v>345</v>
      </c>
      <c r="B347" s="3001" t="s">
        <v>3795</v>
      </c>
      <c r="C347" s="3001" t="s">
        <v>3791</v>
      </c>
      <c r="D347" s="3004" t="s">
        <v>4065</v>
      </c>
      <c r="E347" s="3004">
        <v>83.27</v>
      </c>
      <c r="F347" s="3004">
        <v>17</v>
      </c>
      <c r="G347" s="3004" t="s">
        <v>3383</v>
      </c>
      <c r="H347" s="3001" t="s">
        <v>3793</v>
      </c>
    </row>
    <row r="348" spans="1:8" ht="14.25">
      <c r="A348" s="3001">
        <v>346</v>
      </c>
      <c r="B348" s="3001" t="s">
        <v>3795</v>
      </c>
      <c r="C348" s="3001" t="s">
        <v>3791</v>
      </c>
      <c r="D348" s="3004" t="s">
        <v>4066</v>
      </c>
      <c r="E348" s="3004">
        <v>83.27</v>
      </c>
      <c r="F348" s="3004">
        <v>17</v>
      </c>
      <c r="G348" s="3004" t="s">
        <v>3383</v>
      </c>
      <c r="H348" s="3001" t="s">
        <v>3793</v>
      </c>
    </row>
    <row r="349" spans="1:8" ht="14.25">
      <c r="A349" s="3001">
        <v>347</v>
      </c>
      <c r="B349" s="3001" t="s">
        <v>3795</v>
      </c>
      <c r="C349" s="3001" t="s">
        <v>3791</v>
      </c>
      <c r="D349" s="3004" t="s">
        <v>4067</v>
      </c>
      <c r="E349" s="3004">
        <v>115.96</v>
      </c>
      <c r="F349" s="3004">
        <v>17</v>
      </c>
      <c r="G349" s="3004" t="s">
        <v>3383</v>
      </c>
      <c r="H349" s="3001" t="s">
        <v>3793</v>
      </c>
    </row>
    <row r="350" spans="1:8" ht="14.25">
      <c r="A350" s="3001">
        <v>348</v>
      </c>
      <c r="B350" s="3001" t="s">
        <v>3795</v>
      </c>
      <c r="C350" s="3001" t="s">
        <v>3791</v>
      </c>
      <c r="D350" s="3004" t="s">
        <v>4068</v>
      </c>
      <c r="E350" s="3004">
        <v>87.71</v>
      </c>
      <c r="F350" s="3004">
        <v>17</v>
      </c>
      <c r="G350" s="3004" t="s">
        <v>3383</v>
      </c>
      <c r="H350" s="3001" t="s">
        <v>3793</v>
      </c>
    </row>
    <row r="351" spans="1:8" ht="14.25">
      <c r="A351" s="3001">
        <v>349</v>
      </c>
      <c r="B351" s="3001" t="s">
        <v>3795</v>
      </c>
      <c r="C351" s="3001" t="s">
        <v>3791</v>
      </c>
      <c r="D351" s="3004" t="s">
        <v>4069</v>
      </c>
      <c r="E351" s="3004">
        <v>126.15</v>
      </c>
      <c r="F351" s="3004">
        <v>17</v>
      </c>
      <c r="G351" s="3004" t="s">
        <v>3383</v>
      </c>
      <c r="H351" s="3001" t="s">
        <v>3793</v>
      </c>
    </row>
    <row r="352" spans="1:8" ht="14.25">
      <c r="A352" s="3001">
        <v>350</v>
      </c>
      <c r="B352" s="3001" t="s">
        <v>3795</v>
      </c>
      <c r="C352" s="3001" t="s">
        <v>3791</v>
      </c>
      <c r="D352" s="3004" t="s">
        <v>4070</v>
      </c>
      <c r="E352" s="3004">
        <v>91.67</v>
      </c>
      <c r="F352" s="3004">
        <v>17</v>
      </c>
      <c r="G352" s="3004" t="s">
        <v>3383</v>
      </c>
      <c r="H352" s="3001" t="s">
        <v>3793</v>
      </c>
    </row>
    <row r="353" spans="1:8" ht="14.25">
      <c r="A353" s="3001">
        <v>351</v>
      </c>
      <c r="B353" s="3001" t="s">
        <v>3795</v>
      </c>
      <c r="C353" s="3001" t="s">
        <v>3791</v>
      </c>
      <c r="D353" s="3004" t="s">
        <v>4071</v>
      </c>
      <c r="E353" s="3004">
        <v>76.2</v>
      </c>
      <c r="F353" s="3004">
        <v>17</v>
      </c>
      <c r="G353" s="3004" t="s">
        <v>3383</v>
      </c>
      <c r="H353" s="3001" t="s">
        <v>3793</v>
      </c>
    </row>
    <row r="354" spans="1:8" ht="14.25">
      <c r="A354" s="3001">
        <v>352</v>
      </c>
      <c r="B354" s="3001" t="s">
        <v>3795</v>
      </c>
      <c r="C354" s="3001" t="s">
        <v>3791</v>
      </c>
      <c r="D354" s="3004" t="s">
        <v>4072</v>
      </c>
      <c r="E354" s="3004">
        <v>95.36</v>
      </c>
      <c r="F354" s="3004">
        <v>17</v>
      </c>
      <c r="G354" s="3004" t="s">
        <v>3383</v>
      </c>
      <c r="H354" s="3001" t="s">
        <v>3793</v>
      </c>
    </row>
    <row r="355" spans="1:8" ht="14.25">
      <c r="A355" s="3001">
        <v>353</v>
      </c>
      <c r="B355" s="3001" t="s">
        <v>3795</v>
      </c>
      <c r="C355" s="3001" t="s">
        <v>3791</v>
      </c>
      <c r="D355" s="3004" t="s">
        <v>4073</v>
      </c>
      <c r="E355" s="3004">
        <v>68.849999999999994</v>
      </c>
      <c r="F355" s="3004">
        <v>17</v>
      </c>
      <c r="G355" s="3004" t="s">
        <v>3383</v>
      </c>
      <c r="H355" s="3001" t="s">
        <v>3793</v>
      </c>
    </row>
    <row r="356" spans="1:8" ht="14.25">
      <c r="A356" s="3001">
        <v>354</v>
      </c>
      <c r="B356" s="3001" t="s">
        <v>3795</v>
      </c>
      <c r="C356" s="3001" t="s">
        <v>3791</v>
      </c>
      <c r="D356" s="3004" t="s">
        <v>4074</v>
      </c>
      <c r="E356" s="3004">
        <v>68.849999999999994</v>
      </c>
      <c r="F356" s="3004">
        <v>17</v>
      </c>
      <c r="G356" s="3004" t="s">
        <v>3383</v>
      </c>
      <c r="H356" s="3001" t="s">
        <v>3793</v>
      </c>
    </row>
    <row r="357" spans="1:8" ht="14.25">
      <c r="A357" s="3001">
        <v>355</v>
      </c>
      <c r="B357" s="3001" t="s">
        <v>3795</v>
      </c>
      <c r="C357" s="3001" t="s">
        <v>3791</v>
      </c>
      <c r="D357" s="3004" t="s">
        <v>4075</v>
      </c>
      <c r="E357" s="3004">
        <v>94.09</v>
      </c>
      <c r="F357" s="3004">
        <v>18</v>
      </c>
      <c r="G357" s="3004" t="s">
        <v>3383</v>
      </c>
      <c r="H357" s="3001" t="s">
        <v>3793</v>
      </c>
    </row>
    <row r="358" spans="1:8" ht="14.25">
      <c r="A358" s="3001">
        <v>356</v>
      </c>
      <c r="B358" s="3001" t="s">
        <v>3795</v>
      </c>
      <c r="C358" s="3001" t="s">
        <v>3791</v>
      </c>
      <c r="D358" s="3004" t="s">
        <v>4076</v>
      </c>
      <c r="E358" s="3004">
        <v>76.27</v>
      </c>
      <c r="F358" s="3004">
        <v>18</v>
      </c>
      <c r="G358" s="3004" t="s">
        <v>3383</v>
      </c>
      <c r="H358" s="3001" t="s">
        <v>3793</v>
      </c>
    </row>
    <row r="359" spans="1:8" ht="14.25">
      <c r="A359" s="3001">
        <v>357</v>
      </c>
      <c r="B359" s="3001" t="s">
        <v>3795</v>
      </c>
      <c r="C359" s="3001" t="s">
        <v>3791</v>
      </c>
      <c r="D359" s="3004" t="s">
        <v>4077</v>
      </c>
      <c r="E359" s="3004">
        <v>75.760000000000005</v>
      </c>
      <c r="F359" s="3004">
        <v>18</v>
      </c>
      <c r="G359" s="3004" t="s">
        <v>3383</v>
      </c>
      <c r="H359" s="3001" t="s">
        <v>3793</v>
      </c>
    </row>
    <row r="360" spans="1:8" ht="14.25">
      <c r="A360" s="3001">
        <v>358</v>
      </c>
      <c r="B360" s="3001" t="s">
        <v>3795</v>
      </c>
      <c r="C360" s="3001" t="s">
        <v>3791</v>
      </c>
      <c r="D360" s="3004" t="s">
        <v>4078</v>
      </c>
      <c r="E360" s="3004">
        <v>89.95</v>
      </c>
      <c r="F360" s="3004">
        <v>18</v>
      </c>
      <c r="G360" s="3004" t="s">
        <v>3383</v>
      </c>
      <c r="H360" s="3001" t="s">
        <v>3793</v>
      </c>
    </row>
    <row r="361" spans="1:8" ht="14.25">
      <c r="A361" s="3001">
        <v>359</v>
      </c>
      <c r="B361" s="3001" t="s">
        <v>3795</v>
      </c>
      <c r="C361" s="3001" t="s">
        <v>3791</v>
      </c>
      <c r="D361" s="3004" t="s">
        <v>4079</v>
      </c>
      <c r="E361" s="3004">
        <v>99.07</v>
      </c>
      <c r="F361" s="3004">
        <v>18</v>
      </c>
      <c r="G361" s="3004" t="s">
        <v>3383</v>
      </c>
      <c r="H361" s="3001" t="s">
        <v>3793</v>
      </c>
    </row>
    <row r="362" spans="1:8" ht="14.25">
      <c r="A362" s="3001">
        <v>360</v>
      </c>
      <c r="B362" s="3001" t="s">
        <v>3795</v>
      </c>
      <c r="C362" s="3001" t="s">
        <v>3791</v>
      </c>
      <c r="D362" s="3004" t="s">
        <v>4080</v>
      </c>
      <c r="E362" s="3004">
        <v>72.89</v>
      </c>
      <c r="F362" s="3004">
        <v>18</v>
      </c>
      <c r="G362" s="3004" t="s">
        <v>3383</v>
      </c>
      <c r="H362" s="3001" t="s">
        <v>3793</v>
      </c>
    </row>
    <row r="363" spans="1:8" ht="14.25">
      <c r="A363" s="3001">
        <v>361</v>
      </c>
      <c r="B363" s="3001" t="s">
        <v>3795</v>
      </c>
      <c r="C363" s="3001" t="s">
        <v>3791</v>
      </c>
      <c r="D363" s="3004" t="s">
        <v>4081</v>
      </c>
      <c r="E363" s="3004">
        <v>81.849999999999994</v>
      </c>
      <c r="F363" s="3004">
        <v>18</v>
      </c>
      <c r="G363" s="3004" t="s">
        <v>3383</v>
      </c>
      <c r="H363" s="3001" t="s">
        <v>3793</v>
      </c>
    </row>
    <row r="364" spans="1:8" ht="14.25">
      <c r="A364" s="3001">
        <v>362</v>
      </c>
      <c r="B364" s="3001" t="s">
        <v>3795</v>
      </c>
      <c r="C364" s="3001" t="s">
        <v>3791</v>
      </c>
      <c r="D364" s="3004" t="s">
        <v>4082</v>
      </c>
      <c r="E364" s="3004">
        <v>68.75</v>
      </c>
      <c r="F364" s="3004">
        <v>18</v>
      </c>
      <c r="G364" s="3004" t="s">
        <v>3383</v>
      </c>
      <c r="H364" s="3001" t="s">
        <v>3793</v>
      </c>
    </row>
    <row r="365" spans="1:8" ht="14.25">
      <c r="A365" s="3001">
        <v>363</v>
      </c>
      <c r="B365" s="3001" t="s">
        <v>3795</v>
      </c>
      <c r="C365" s="3001" t="s">
        <v>3791</v>
      </c>
      <c r="D365" s="3004" t="s">
        <v>4083</v>
      </c>
      <c r="E365" s="3004">
        <v>69.97</v>
      </c>
      <c r="F365" s="3004">
        <v>18</v>
      </c>
      <c r="G365" s="3004" t="s">
        <v>3383</v>
      </c>
      <c r="H365" s="3001" t="s">
        <v>3793</v>
      </c>
    </row>
    <row r="366" spans="1:8" ht="14.25">
      <c r="A366" s="3001">
        <v>364</v>
      </c>
      <c r="B366" s="3001" t="s">
        <v>3795</v>
      </c>
      <c r="C366" s="3001" t="s">
        <v>3791</v>
      </c>
      <c r="D366" s="3004" t="s">
        <v>4084</v>
      </c>
      <c r="E366" s="3004">
        <v>107.5</v>
      </c>
      <c r="F366" s="3004">
        <v>18</v>
      </c>
      <c r="G366" s="3004" t="s">
        <v>3383</v>
      </c>
      <c r="H366" s="3001" t="s">
        <v>3793</v>
      </c>
    </row>
    <row r="367" spans="1:8" ht="14.25">
      <c r="A367" s="3001">
        <v>365</v>
      </c>
      <c r="B367" s="3001" t="s">
        <v>3795</v>
      </c>
      <c r="C367" s="3001" t="s">
        <v>3791</v>
      </c>
      <c r="D367" s="3004" t="s">
        <v>4085</v>
      </c>
      <c r="E367" s="3004">
        <v>73.87</v>
      </c>
      <c r="F367" s="3004">
        <v>18</v>
      </c>
      <c r="G367" s="3004" t="s">
        <v>3383</v>
      </c>
      <c r="H367" s="3001" t="s">
        <v>3793</v>
      </c>
    </row>
    <row r="368" spans="1:8" ht="14.25">
      <c r="A368" s="3001">
        <v>366</v>
      </c>
      <c r="B368" s="3001" t="s">
        <v>3795</v>
      </c>
      <c r="C368" s="3001" t="s">
        <v>3791</v>
      </c>
      <c r="D368" s="3004" t="s">
        <v>4086</v>
      </c>
      <c r="E368" s="3004">
        <v>115.57</v>
      </c>
      <c r="F368" s="3004">
        <v>18</v>
      </c>
      <c r="G368" s="3004" t="s">
        <v>3383</v>
      </c>
      <c r="H368" s="3001" t="s">
        <v>3793</v>
      </c>
    </row>
    <row r="369" spans="1:8" ht="14.25">
      <c r="A369" s="3001">
        <v>367</v>
      </c>
      <c r="B369" s="3001" t="s">
        <v>3795</v>
      </c>
      <c r="C369" s="3001" t="s">
        <v>3791</v>
      </c>
      <c r="D369" s="3004" t="s">
        <v>4087</v>
      </c>
      <c r="E369" s="3004">
        <v>83.27</v>
      </c>
      <c r="F369" s="3004">
        <v>18</v>
      </c>
      <c r="G369" s="3004" t="s">
        <v>3383</v>
      </c>
      <c r="H369" s="3001" t="s">
        <v>3793</v>
      </c>
    </row>
    <row r="370" spans="1:8" ht="14.25">
      <c r="A370" s="3001">
        <v>368</v>
      </c>
      <c r="B370" s="3001" t="s">
        <v>3795</v>
      </c>
      <c r="C370" s="3001" t="s">
        <v>3791</v>
      </c>
      <c r="D370" s="3004" t="s">
        <v>4088</v>
      </c>
      <c r="E370" s="3004">
        <v>83.27</v>
      </c>
      <c r="F370" s="3004">
        <v>18</v>
      </c>
      <c r="G370" s="3004" t="s">
        <v>3383</v>
      </c>
      <c r="H370" s="3001" t="s">
        <v>3793</v>
      </c>
    </row>
    <row r="371" spans="1:8" ht="14.25">
      <c r="A371" s="3001">
        <v>369</v>
      </c>
      <c r="B371" s="3001" t="s">
        <v>3795</v>
      </c>
      <c r="C371" s="3001" t="s">
        <v>3791</v>
      </c>
      <c r="D371" s="3004" t="s">
        <v>4089</v>
      </c>
      <c r="E371" s="3004">
        <v>115.96</v>
      </c>
      <c r="F371" s="3004">
        <v>18</v>
      </c>
      <c r="G371" s="3004" t="s">
        <v>3383</v>
      </c>
      <c r="H371" s="3001" t="s">
        <v>3793</v>
      </c>
    </row>
    <row r="372" spans="1:8" ht="14.25">
      <c r="A372" s="3001">
        <v>370</v>
      </c>
      <c r="B372" s="3001" t="s">
        <v>3795</v>
      </c>
      <c r="C372" s="3001" t="s">
        <v>3791</v>
      </c>
      <c r="D372" s="3004" t="s">
        <v>4090</v>
      </c>
      <c r="E372" s="3004">
        <v>87.71</v>
      </c>
      <c r="F372" s="3004">
        <v>18</v>
      </c>
      <c r="G372" s="3004" t="s">
        <v>3383</v>
      </c>
      <c r="H372" s="3001" t="s">
        <v>3793</v>
      </c>
    </row>
    <row r="373" spans="1:8" ht="14.25">
      <c r="A373" s="3001">
        <v>371</v>
      </c>
      <c r="B373" s="3001" t="s">
        <v>3795</v>
      </c>
      <c r="C373" s="3001" t="s">
        <v>3791</v>
      </c>
      <c r="D373" s="3004" t="s">
        <v>4091</v>
      </c>
      <c r="E373" s="3004">
        <v>126.15</v>
      </c>
      <c r="F373" s="3004">
        <v>18</v>
      </c>
      <c r="G373" s="3004" t="s">
        <v>3383</v>
      </c>
      <c r="H373" s="3001" t="s">
        <v>3793</v>
      </c>
    </row>
    <row r="374" spans="1:8" ht="14.25">
      <c r="A374" s="3001">
        <v>372</v>
      </c>
      <c r="B374" s="3001" t="s">
        <v>3795</v>
      </c>
      <c r="C374" s="3001" t="s">
        <v>3791</v>
      </c>
      <c r="D374" s="3004" t="s">
        <v>4092</v>
      </c>
      <c r="E374" s="3004">
        <v>91.67</v>
      </c>
      <c r="F374" s="3004">
        <v>18</v>
      </c>
      <c r="G374" s="3004" t="s">
        <v>3383</v>
      </c>
      <c r="H374" s="3001" t="s">
        <v>3793</v>
      </c>
    </row>
    <row r="375" spans="1:8" ht="14.25">
      <c r="A375" s="3001">
        <v>373</v>
      </c>
      <c r="B375" s="3001" t="s">
        <v>3795</v>
      </c>
      <c r="C375" s="3001" t="s">
        <v>3791</v>
      </c>
      <c r="D375" s="3004" t="s">
        <v>4093</v>
      </c>
      <c r="E375" s="3004">
        <v>76.2</v>
      </c>
      <c r="F375" s="3004">
        <v>18</v>
      </c>
      <c r="G375" s="3004" t="s">
        <v>3383</v>
      </c>
      <c r="H375" s="3001" t="s">
        <v>3793</v>
      </c>
    </row>
    <row r="376" spans="1:8" ht="14.25">
      <c r="A376" s="3001">
        <v>374</v>
      </c>
      <c r="B376" s="3001" t="s">
        <v>3795</v>
      </c>
      <c r="C376" s="3001" t="s">
        <v>3791</v>
      </c>
      <c r="D376" s="3004" t="s">
        <v>4094</v>
      </c>
      <c r="E376" s="3004">
        <v>95.36</v>
      </c>
      <c r="F376" s="3004">
        <v>18</v>
      </c>
      <c r="G376" s="3004" t="s">
        <v>3383</v>
      </c>
      <c r="H376" s="3001" t="s">
        <v>3793</v>
      </c>
    </row>
    <row r="377" spans="1:8" ht="14.25">
      <c r="A377" s="3001">
        <v>375</v>
      </c>
      <c r="B377" s="3001" t="s">
        <v>4100</v>
      </c>
      <c r="C377" s="3001" t="s">
        <v>3791</v>
      </c>
      <c r="D377" s="3004" t="s">
        <v>4095</v>
      </c>
      <c r="E377" s="3004">
        <v>68.849999999999994</v>
      </c>
      <c r="F377" s="3004">
        <v>18</v>
      </c>
      <c r="G377" s="3004" t="s">
        <v>3383</v>
      </c>
      <c r="H377" s="3001" t="s">
        <v>3793</v>
      </c>
    </row>
    <row r="378" spans="1:8" ht="14.25">
      <c r="A378" s="3001">
        <v>376</v>
      </c>
      <c r="B378" s="3001" t="s">
        <v>3795</v>
      </c>
      <c r="C378" s="3001" t="s">
        <v>3791</v>
      </c>
      <c r="D378" s="3004" t="s">
        <v>4096</v>
      </c>
      <c r="E378" s="3005">
        <v>68.849999999999994</v>
      </c>
      <c r="F378" s="3004">
        <v>18</v>
      </c>
      <c r="G378" s="3004" t="s">
        <v>3383</v>
      </c>
      <c r="H378" s="3001" t="s">
        <v>3793</v>
      </c>
    </row>
    <row r="379" spans="1:8" ht="14.25">
      <c r="A379" s="3001"/>
      <c r="B379" s="3001" t="s">
        <v>4097</v>
      </c>
      <c r="C379" s="3001"/>
      <c r="D379" s="3001"/>
      <c r="E379" s="3001">
        <f>SUM(E3:E55)</f>
        <v>13968.539999999997</v>
      </c>
      <c r="F379" s="3004"/>
      <c r="G379" s="3004"/>
      <c r="H379" s="3001"/>
    </row>
    <row r="380" spans="1:8" ht="14.25">
      <c r="A380" s="3001"/>
      <c r="B380" s="3001" t="s">
        <v>4098</v>
      </c>
      <c r="C380" s="3001"/>
      <c r="D380" s="3001"/>
      <c r="E380" s="3001">
        <f>SUM(E56:E378)</f>
        <v>28356.669999999973</v>
      </c>
      <c r="F380" s="3004"/>
      <c r="G380" s="3004"/>
      <c r="H380" s="3001"/>
    </row>
    <row r="381" spans="1:8" ht="14.25">
      <c r="A381" s="3001"/>
      <c r="B381" s="3001" t="s">
        <v>4099</v>
      </c>
      <c r="C381" s="3001"/>
      <c r="D381" s="3001"/>
      <c r="E381" s="3001">
        <f>E379+E380</f>
        <v>42325.20999999997</v>
      </c>
      <c r="F381" s="3004"/>
      <c r="G381" s="3004"/>
      <c r="H381" s="3001"/>
    </row>
    <row r="382" spans="1:8">
      <c r="D382" s="2998" t="s">
        <v>3384</v>
      </c>
      <c r="E382" s="2999">
        <f>SUM(E3:E17)</f>
        <v>4317.1499999999996</v>
      </c>
      <c r="F382" s="2988"/>
      <c r="G382" s="2988"/>
    </row>
    <row r="383" spans="1:8">
      <c r="D383" s="2998" t="s">
        <v>3385</v>
      </c>
      <c r="E383" s="2999">
        <f>SUM(E18:E26)</f>
        <v>4989.13</v>
      </c>
      <c r="F383" s="2988"/>
      <c r="G383" s="2988"/>
    </row>
    <row r="384" spans="1:8">
      <c r="D384" s="2998" t="s">
        <v>3386</v>
      </c>
      <c r="E384" s="2999">
        <f>SUM(E27:E55)</f>
        <v>4662.26</v>
      </c>
      <c r="F384" s="2988"/>
      <c r="G384" s="2988"/>
    </row>
    <row r="385" spans="4:7">
      <c r="D385" s="2998" t="s">
        <v>3387</v>
      </c>
      <c r="E385" s="2999">
        <f>SUM(E56:E378)</f>
        <v>28356.669999999973</v>
      </c>
      <c r="F385" s="2988"/>
      <c r="G385" s="2988"/>
    </row>
    <row r="386" spans="4:7">
      <c r="F386" s="2988"/>
      <c r="G386" s="2988"/>
    </row>
    <row r="387" spans="4:7">
      <c r="F387" s="2988"/>
      <c r="G387" s="2988"/>
    </row>
    <row r="388" spans="4:7">
      <c r="F388" s="2988"/>
      <c r="G388" s="2988"/>
    </row>
    <row r="389" spans="4:7">
      <c r="F389" s="2988"/>
      <c r="G389" s="2988"/>
    </row>
    <row r="390" spans="4:7">
      <c r="F390" s="2988"/>
      <c r="G390" s="2988"/>
    </row>
    <row r="391" spans="4:7">
      <c r="F391" s="2988"/>
      <c r="G391" s="2988"/>
    </row>
    <row r="392" spans="4:7">
      <c r="F392" s="2988"/>
      <c r="G392" s="2988"/>
    </row>
    <row r="393" spans="4:7">
      <c r="F393" s="2988"/>
      <c r="G393" s="2988"/>
    </row>
    <row r="394" spans="4:7">
      <c r="F394" s="2988"/>
      <c r="G394" s="2988"/>
    </row>
    <row r="395" spans="4:7">
      <c r="F395" s="2988"/>
      <c r="G395" s="2988"/>
    </row>
    <row r="396" spans="4:7">
      <c r="F396" s="2988"/>
      <c r="G396" s="2988"/>
    </row>
    <row r="397" spans="4:7">
      <c r="F397" s="2988"/>
      <c r="G397" s="2988"/>
    </row>
    <row r="398" spans="4:7">
      <c r="F398" s="2988"/>
      <c r="G398" s="2988"/>
    </row>
    <row r="399" spans="4:7">
      <c r="F399" s="2988"/>
      <c r="G399" s="2988"/>
    </row>
    <row r="400" spans="4:7">
      <c r="F400" s="2988"/>
      <c r="G400" s="2988"/>
    </row>
    <row r="401" spans="6:7">
      <c r="F401" s="2988"/>
      <c r="G401" s="2988"/>
    </row>
    <row r="402" spans="6:7">
      <c r="F402" s="2988"/>
      <c r="G402" s="2988"/>
    </row>
    <row r="403" spans="6:7">
      <c r="F403" s="2988"/>
      <c r="G403" s="2988"/>
    </row>
    <row r="404" spans="6:7">
      <c r="F404" s="2988"/>
      <c r="G404" s="2988"/>
    </row>
    <row r="405" spans="6:7">
      <c r="F405" s="2988"/>
      <c r="G405" s="2988"/>
    </row>
    <row r="406" spans="6:7">
      <c r="F406" s="2988"/>
      <c r="G406" s="2988"/>
    </row>
    <row r="407" spans="6:7">
      <c r="F407" s="2988"/>
      <c r="G407" s="2988"/>
    </row>
    <row r="408" spans="6:7">
      <c r="F408" s="2988"/>
      <c r="G408" s="2988"/>
    </row>
    <row r="409" spans="6:7">
      <c r="F409" s="2988"/>
      <c r="G409" s="2988"/>
    </row>
    <row r="410" spans="6:7">
      <c r="F410" s="2988"/>
      <c r="G410" s="2988"/>
    </row>
    <row r="411" spans="6:7">
      <c r="F411" s="2988"/>
      <c r="G411" s="2988"/>
    </row>
    <row r="412" spans="6:7">
      <c r="F412" s="2988"/>
      <c r="G412" s="2988"/>
    </row>
    <row r="413" spans="6:7">
      <c r="F413" s="2988"/>
      <c r="G413" s="2988"/>
    </row>
    <row r="414" spans="6:7">
      <c r="F414" s="2988"/>
      <c r="G414" s="2988"/>
    </row>
    <row r="415" spans="6:7">
      <c r="F415" s="2988"/>
      <c r="G415" s="2988"/>
    </row>
    <row r="416" spans="6:7">
      <c r="F416" s="2988"/>
      <c r="G416" s="2988"/>
    </row>
    <row r="417" spans="6:7">
      <c r="F417" s="2988"/>
      <c r="G417" s="2988"/>
    </row>
    <row r="418" spans="6:7">
      <c r="F418" s="2988"/>
      <c r="G418" s="2988"/>
    </row>
    <row r="419" spans="6:7">
      <c r="F419" s="2988"/>
      <c r="G419" s="2988"/>
    </row>
    <row r="420" spans="6:7">
      <c r="F420" s="2988"/>
      <c r="G420" s="2988"/>
    </row>
    <row r="421" spans="6:7">
      <c r="F421" s="2988"/>
      <c r="G421" s="2988"/>
    </row>
    <row r="422" spans="6:7">
      <c r="F422" s="2988"/>
      <c r="G422" s="2988"/>
    </row>
    <row r="423" spans="6:7">
      <c r="F423" s="2988"/>
      <c r="G423" s="2988"/>
    </row>
    <row r="424" spans="6:7">
      <c r="F424" s="2988"/>
      <c r="G424" s="2988"/>
    </row>
    <row r="425" spans="6:7">
      <c r="F425" s="2988"/>
      <c r="G425" s="2988"/>
    </row>
    <row r="426" spans="6:7">
      <c r="F426" s="2988"/>
      <c r="G426" s="2988"/>
    </row>
    <row r="427" spans="6:7">
      <c r="F427" s="2988"/>
      <c r="G427" s="2988"/>
    </row>
    <row r="428" spans="6:7">
      <c r="F428" s="2988"/>
      <c r="G428" s="2988"/>
    </row>
    <row r="429" spans="6:7">
      <c r="F429" s="2988"/>
      <c r="G429" s="2988"/>
    </row>
    <row r="430" spans="6:7">
      <c r="F430" s="2988"/>
      <c r="G430" s="2988"/>
    </row>
    <row r="431" spans="6:7">
      <c r="F431" s="2988"/>
      <c r="G431" s="2988"/>
    </row>
    <row r="432" spans="6:7">
      <c r="F432" s="2988"/>
      <c r="G432" s="2988"/>
    </row>
    <row r="433" spans="6:7">
      <c r="F433" s="2988"/>
      <c r="G433" s="2988"/>
    </row>
    <row r="434" spans="6:7">
      <c r="F434" s="2988"/>
      <c r="G434" s="2988"/>
    </row>
    <row r="435" spans="6:7">
      <c r="F435" s="2988"/>
      <c r="G435" s="2988"/>
    </row>
    <row r="436" spans="6:7">
      <c r="F436" s="2988"/>
      <c r="G436" s="2988"/>
    </row>
    <row r="437" spans="6:7">
      <c r="F437" s="2988"/>
      <c r="G437" s="2988"/>
    </row>
    <row r="438" spans="6:7">
      <c r="F438" s="2988"/>
      <c r="G438" s="2988"/>
    </row>
    <row r="439" spans="6:7">
      <c r="F439" s="2988"/>
      <c r="G439" s="2988"/>
    </row>
    <row r="440" spans="6:7">
      <c r="F440" s="2988"/>
      <c r="G440" s="2988"/>
    </row>
    <row r="441" spans="6:7">
      <c r="F441" s="2988"/>
      <c r="G441" s="2988"/>
    </row>
    <row r="442" spans="6:7">
      <c r="F442" s="2988"/>
      <c r="G442" s="2988"/>
    </row>
    <row r="443" spans="6:7">
      <c r="F443" s="2988"/>
      <c r="G443" s="2988"/>
    </row>
    <row r="444" spans="6:7">
      <c r="F444" s="2988"/>
      <c r="G444" s="2988"/>
    </row>
    <row r="445" spans="6:7">
      <c r="F445" s="2988"/>
      <c r="G445" s="2988"/>
    </row>
    <row r="446" spans="6:7">
      <c r="F446" s="2988"/>
      <c r="G446" s="2988"/>
    </row>
    <row r="447" spans="6:7">
      <c r="F447" s="2988"/>
      <c r="G447" s="2988"/>
    </row>
    <row r="448" spans="6:7">
      <c r="F448" s="2988"/>
      <c r="G448" s="2988"/>
    </row>
    <row r="449" spans="6:7">
      <c r="F449" s="2988"/>
      <c r="G449" s="2988"/>
    </row>
    <row r="450" spans="6:7">
      <c r="F450" s="2988"/>
      <c r="G450" s="2988"/>
    </row>
    <row r="451" spans="6:7">
      <c r="F451" s="2988"/>
      <c r="G451" s="2988"/>
    </row>
    <row r="452" spans="6:7">
      <c r="F452" s="2988"/>
      <c r="G452" s="2988"/>
    </row>
    <row r="453" spans="6:7">
      <c r="F453" s="2988"/>
      <c r="G453" s="2988"/>
    </row>
    <row r="454" spans="6:7">
      <c r="F454" s="2988"/>
      <c r="G454" s="2988"/>
    </row>
    <row r="455" spans="6:7">
      <c r="F455" s="2988"/>
      <c r="G455" s="2988"/>
    </row>
    <row r="456" spans="6:7">
      <c r="F456" s="2988"/>
      <c r="G456" s="2988"/>
    </row>
    <row r="457" spans="6:7">
      <c r="F457" s="2988"/>
      <c r="G457" s="2988"/>
    </row>
    <row r="458" spans="6:7">
      <c r="F458" s="2988"/>
      <c r="G458" s="2988"/>
    </row>
    <row r="459" spans="6:7">
      <c r="F459" s="2988"/>
      <c r="G459" s="2988"/>
    </row>
    <row r="460" spans="6:7">
      <c r="F460" s="2988"/>
      <c r="G460" s="2988"/>
    </row>
    <row r="461" spans="6:7">
      <c r="F461" s="2988"/>
      <c r="G461" s="2988"/>
    </row>
    <row r="462" spans="6:7">
      <c r="F462" s="2988"/>
      <c r="G462" s="2988"/>
    </row>
    <row r="463" spans="6:7">
      <c r="F463" s="2988"/>
      <c r="G463" s="2988"/>
    </row>
    <row r="464" spans="6:7">
      <c r="F464" s="2988"/>
      <c r="G464" s="2988"/>
    </row>
    <row r="465" spans="6:7">
      <c r="F465" s="2988"/>
      <c r="G465" s="2988"/>
    </row>
    <row r="466" spans="6:7">
      <c r="F466" s="2988"/>
      <c r="G466" s="2988"/>
    </row>
    <row r="467" spans="6:7">
      <c r="F467" s="2988"/>
      <c r="G467" s="2988"/>
    </row>
    <row r="468" spans="6:7">
      <c r="F468" s="2988"/>
      <c r="G468" s="2988"/>
    </row>
    <row r="469" spans="6:7">
      <c r="F469" s="2988"/>
      <c r="G469" s="2988"/>
    </row>
    <row r="470" spans="6:7">
      <c r="F470" s="2988"/>
      <c r="G470" s="2988"/>
    </row>
    <row r="471" spans="6:7">
      <c r="F471" s="2988"/>
      <c r="G471" s="2988"/>
    </row>
    <row r="472" spans="6:7">
      <c r="F472" s="2988"/>
      <c r="G472" s="2988"/>
    </row>
    <row r="473" spans="6:7">
      <c r="F473" s="2988"/>
      <c r="G473" s="2988"/>
    </row>
    <row r="474" spans="6:7">
      <c r="F474" s="2988"/>
      <c r="G474" s="2988"/>
    </row>
    <row r="475" spans="6:7">
      <c r="F475" s="2988"/>
      <c r="G475" s="2988"/>
    </row>
    <row r="596" spans="5:5">
      <c r="E596" s="2988"/>
    </row>
    <row r="597" spans="5:5">
      <c r="E597" s="2988"/>
    </row>
    <row r="598" spans="5:5">
      <c r="E598" s="2988"/>
    </row>
    <row r="599" spans="5:5">
      <c r="E599" s="2988"/>
    </row>
    <row r="600" spans="5:5">
      <c r="E600" s="2988"/>
    </row>
    <row r="601" spans="5:5">
      <c r="E601" s="2988"/>
    </row>
    <row r="602" spans="5:5">
      <c r="E602" s="2988"/>
    </row>
    <row r="603" spans="5:5">
      <c r="E603" s="2988"/>
    </row>
    <row r="604" spans="5:5">
      <c r="E604" s="2988"/>
    </row>
    <row r="605" spans="5:5">
      <c r="E605" s="2988"/>
    </row>
    <row r="606" spans="5:5">
      <c r="E606" s="2988"/>
    </row>
    <row r="607" spans="5:5">
      <c r="E607" s="2988"/>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4" sqref="F3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1"/>
      <c r="C1" s="1391"/>
      <c r="D1" s="1391"/>
      <c r="E1" s="1391"/>
      <c r="F1" s="1391"/>
      <c r="G1" s="1391"/>
      <c r="H1" s="1391"/>
      <c r="I1" s="1391"/>
      <c r="J1" s="1391"/>
      <c r="K1" s="1391"/>
      <c r="L1" s="1391"/>
      <c r="M1" s="1391"/>
      <c r="N1" s="1391"/>
      <c r="O1" s="1391"/>
      <c r="P1" s="1391"/>
    </row>
    <row r="2" spans="1:16" ht="15">
      <c r="A2" s="3114" t="s">
        <v>1937</v>
      </c>
      <c r="B2" s="3114"/>
      <c r="C2" s="3114"/>
      <c r="D2" s="966" t="s">
        <v>1913</v>
      </c>
      <c r="E2" s="2222" t="s">
        <v>1914</v>
      </c>
      <c r="F2" s="1391"/>
      <c r="G2" s="2223"/>
      <c r="H2" s="2224"/>
      <c r="I2" s="2225" t="s">
        <v>1938</v>
      </c>
      <c r="J2" s="1391"/>
      <c r="K2" s="1391"/>
      <c r="L2" s="1391"/>
      <c r="M2" s="1391"/>
      <c r="N2" s="1426"/>
      <c r="O2" s="1391"/>
      <c r="P2" s="1391"/>
    </row>
    <row r="3" spans="1:16" ht="15.75" thickBot="1">
      <c r="A3" s="3115" t="s">
        <v>1911</v>
      </c>
      <c r="B3" s="3115"/>
      <c r="C3" s="3115"/>
      <c r="D3" s="46">
        <f>'数据-基础表'!AY6</f>
        <v>12092.92</v>
      </c>
      <c r="E3" s="46">
        <f>'数据-基础表'!AZ5</f>
        <v>42325.20999999997</v>
      </c>
      <c r="F3" s="1391"/>
      <c r="G3" s="1398"/>
      <c r="H3" s="1246" t="s">
        <v>1912</v>
      </c>
      <c r="I3" s="55">
        <f>ROUND('数据-基础表'!B3/'数据-基础表'!A3,2)</f>
        <v>3.5</v>
      </c>
      <c r="J3" s="1391"/>
      <c r="K3" s="1391"/>
      <c r="L3" s="1391"/>
      <c r="M3" s="1391"/>
      <c r="N3" s="1426"/>
      <c r="O3" s="1391"/>
      <c r="P3" s="1391"/>
    </row>
    <row r="4" spans="1:16" ht="15">
      <c r="A4" s="3116"/>
      <c r="B4" s="3117"/>
      <c r="C4" s="3118"/>
      <c r="D4" s="2226" t="s">
        <v>1913</v>
      </c>
      <c r="E4" s="2227" t="s">
        <v>1914</v>
      </c>
      <c r="F4" s="1391"/>
      <c r="G4" s="2228" t="s">
        <v>1939</v>
      </c>
      <c r="H4" s="1246" t="s">
        <v>1919</v>
      </c>
      <c r="I4" s="55">
        <f>ROUND(SUMIF('数据-基础表'!I9:AS9,"地上",'数据-基础表'!I5:AS5)/'数据-基础表'!A3,2)</f>
        <v>3.5</v>
      </c>
      <c r="J4" s="1391"/>
      <c r="K4" s="1391"/>
      <c r="L4" s="1391"/>
      <c r="M4" s="1391"/>
      <c r="N4" s="1426"/>
      <c r="O4" s="1391"/>
      <c r="P4" s="1391"/>
    </row>
    <row r="5" spans="1:16">
      <c r="A5" s="47" t="s">
        <v>1915</v>
      </c>
      <c r="B5" s="3119" t="s">
        <v>1916</v>
      </c>
      <c r="C5" s="3119"/>
      <c r="D5" s="48">
        <f>ROUND($D$3*E5/$E$3,2)</f>
        <v>0</v>
      </c>
      <c r="E5" s="49">
        <f>SUMIF('数据-基础表'!$11:$11,"住宅",'数据-基础表'!$5:$5)</f>
        <v>0</v>
      </c>
      <c r="F5" s="1391"/>
      <c r="G5" s="1398"/>
      <c r="H5" s="1246" t="s">
        <v>1912</v>
      </c>
      <c r="I5" s="55">
        <f>ROUND(E31/D31,2)</f>
        <v>3.5</v>
      </c>
      <c r="J5" s="1391"/>
      <c r="K5" s="1391"/>
      <c r="L5" s="1391"/>
      <c r="M5" s="1391"/>
      <c r="N5" s="1391"/>
      <c r="O5" s="1391"/>
      <c r="P5" s="1391"/>
    </row>
    <row r="6" spans="1:16" ht="15" thickBot="1">
      <c r="A6" s="2229"/>
      <c r="B6" s="3119" t="s">
        <v>1917</v>
      </c>
      <c r="C6" s="3119"/>
      <c r="D6" s="48">
        <f>ROUND($D$3*E6/$E$3,2)</f>
        <v>12092.92</v>
      </c>
      <c r="E6" s="49">
        <f>E3-E5</f>
        <v>42325.20999999997</v>
      </c>
      <c r="F6" s="1391"/>
      <c r="G6" s="2230" t="s">
        <v>1918</v>
      </c>
      <c r="H6" s="1398" t="s">
        <v>1919</v>
      </c>
      <c r="I6" s="938">
        <f>ROUND(F31/D31,2)</f>
        <v>3.5</v>
      </c>
      <c r="J6" s="1391"/>
      <c r="K6" s="1391"/>
      <c r="L6" s="1391"/>
      <c r="M6" s="1391"/>
      <c r="N6" s="1391"/>
      <c r="O6" s="1391"/>
      <c r="P6" s="1391"/>
    </row>
    <row r="7" spans="1:16" ht="15">
      <c r="A7" s="3111"/>
      <c r="B7" s="3112"/>
      <c r="C7" s="3113"/>
      <c r="D7" s="2226" t="s">
        <v>1913</v>
      </c>
      <c r="E7" s="2231" t="s">
        <v>1920</v>
      </c>
      <c r="F7" s="1391"/>
      <c r="G7" s="2223" t="s">
        <v>1921</v>
      </c>
      <c r="H7" s="64"/>
      <c r="I7" s="420">
        <v>3.5</v>
      </c>
      <c r="J7" s="1391"/>
      <c r="K7" s="1391"/>
      <c r="L7" s="1391"/>
      <c r="M7" s="1391"/>
      <c r="N7" s="1391"/>
      <c r="O7" s="1391"/>
      <c r="P7" s="1391"/>
    </row>
    <row r="8" spans="1:16">
      <c r="A8" s="47" t="s">
        <v>1922</v>
      </c>
      <c r="B8" s="50" t="s">
        <v>1923</v>
      </c>
      <c r="C8" s="48" t="s">
        <v>1924</v>
      </c>
      <c r="D8" s="48">
        <f t="shared" ref="D8:D15" si="0">ROUND($D$3*E8/$E$3,2)</f>
        <v>12092.92</v>
      </c>
      <c r="E8" s="51">
        <f>SUMIF('数据-基础表'!BB10:BK10,"地上",'数据-基础表'!BB5:BK5)</f>
        <v>42325.20999999997</v>
      </c>
      <c r="F8" s="1391"/>
      <c r="G8" s="2232"/>
      <c r="H8" s="2232"/>
      <c r="I8" s="1391"/>
      <c r="J8" s="1391"/>
      <c r="K8" s="1391"/>
      <c r="L8" s="1391"/>
      <c r="M8" s="1391"/>
      <c r="N8" s="1391"/>
      <c r="O8" s="1391"/>
      <c r="P8" s="1391"/>
    </row>
    <row r="9" spans="1:16">
      <c r="A9" s="2233"/>
      <c r="B9" s="2234"/>
      <c r="C9" s="48" t="s">
        <v>1925</v>
      </c>
      <c r="D9" s="48">
        <f t="shared" si="0"/>
        <v>0</v>
      </c>
      <c r="E9" s="52">
        <v>0</v>
      </c>
      <c r="F9" s="1391"/>
      <c r="G9" s="2232"/>
      <c r="H9" s="2232"/>
      <c r="I9" s="1391"/>
      <c r="J9" s="1391"/>
      <c r="K9" s="1391"/>
      <c r="L9" s="1391"/>
      <c r="M9" s="1391"/>
      <c r="N9" s="1391"/>
      <c r="O9" s="1391"/>
      <c r="P9" s="1391"/>
    </row>
    <row r="10" spans="1:16">
      <c r="A10" s="2233"/>
      <c r="B10" s="2234"/>
      <c r="C10" s="48" t="s">
        <v>1934</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1926</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1927</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1928</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1940</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1935</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1929</v>
      </c>
      <c r="D16" s="50">
        <f>SUM(D8:D15)</f>
        <v>12092.92</v>
      </c>
      <c r="E16" s="53">
        <f>SUM(E8:E15)</f>
        <v>42325.20999999997</v>
      </c>
      <c r="F16" s="1391"/>
      <c r="G16" s="2232"/>
      <c r="H16" s="2235" t="s">
        <v>1941</v>
      </c>
      <c r="I16" s="2236"/>
      <c r="J16" s="1391"/>
      <c r="K16" s="3108" t="s">
        <v>1941</v>
      </c>
      <c r="L16" s="3109"/>
      <c r="M16" s="3109"/>
      <c r="N16" s="3109"/>
      <c r="O16" s="3109"/>
      <c r="P16" s="3110"/>
    </row>
    <row r="17" spans="1:19" ht="15">
      <c r="A17" s="2237" t="s">
        <v>1942</v>
      </c>
      <c r="B17" s="2238" t="s">
        <v>1943</v>
      </c>
      <c r="C17" s="2239" t="s">
        <v>1944</v>
      </c>
      <c r="D17" s="2240" t="s">
        <v>1932</v>
      </c>
      <c r="E17" s="2241" t="s">
        <v>1933</v>
      </c>
      <c r="F17" s="2242"/>
      <c r="G17" s="2243"/>
      <c r="H17" s="2244" t="s">
        <v>1945</v>
      </c>
      <c r="I17" s="2245" t="s">
        <v>1930</v>
      </c>
      <c r="J17" s="1391"/>
      <c r="K17" s="3105" t="s">
        <v>1946</v>
      </c>
      <c r="L17" s="3106"/>
      <c r="M17" s="3107"/>
      <c r="N17" s="3105" t="s">
        <v>1947</v>
      </c>
      <c r="O17" s="3106"/>
      <c r="P17" s="3107"/>
      <c r="R17" s="2223" t="s">
        <v>1948</v>
      </c>
      <c r="S17" s="64"/>
    </row>
    <row r="18" spans="1:19" ht="15">
      <c r="A18" s="2233"/>
      <c r="B18" s="2246"/>
      <c r="C18" s="2247"/>
      <c r="D18" s="2248"/>
      <c r="E18" s="2249" t="s">
        <v>1949</v>
      </c>
      <c r="F18" s="2250" t="s">
        <v>1950</v>
      </c>
      <c r="G18" s="2251" t="s">
        <v>1951</v>
      </c>
      <c r="H18" s="1261" t="s">
        <v>1952</v>
      </c>
      <c r="I18" s="2252" t="s">
        <v>1953</v>
      </c>
      <c r="J18" s="1391"/>
      <c r="K18" s="1261" t="s">
        <v>1954</v>
      </c>
      <c r="L18" s="2253" t="s">
        <v>1955</v>
      </c>
      <c r="M18" s="1045" t="s">
        <v>1956</v>
      </c>
      <c r="N18" s="1261" t="s">
        <v>1954</v>
      </c>
      <c r="O18" s="2253" t="s">
        <v>1955</v>
      </c>
      <c r="P18" s="1045" t="s">
        <v>1956</v>
      </c>
      <c r="R18" s="1246" t="s">
        <v>1957</v>
      </c>
      <c r="S18" s="1246" t="s">
        <v>1958</v>
      </c>
    </row>
    <row r="19" spans="1:19">
      <c r="A19" s="2254"/>
      <c r="B19" s="50" t="s">
        <v>1931</v>
      </c>
      <c r="C19" s="2958" t="s">
        <v>3066</v>
      </c>
      <c r="D19" s="48">
        <f>ROUND($D$3*E19/$E$3,2)</f>
        <v>3824.66</v>
      </c>
      <c r="E19" s="56">
        <f t="shared" ref="E19:E26" si="1">SUM(F19:G19)</f>
        <v>13386.31</v>
      </c>
      <c r="F19" s="57">
        <f>'数据-基础表'!I13-F21</f>
        <v>13386.31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3824.66</v>
      </c>
      <c r="S19" s="1247">
        <f t="shared" si="5"/>
        <v>13386.31</v>
      </c>
    </row>
    <row r="20" spans="1:19">
      <c r="A20" s="2257"/>
      <c r="B20" s="50" t="s">
        <v>1959</v>
      </c>
      <c r="C20" s="2958" t="s">
        <v>3067</v>
      </c>
      <c r="D20" s="48">
        <f t="shared" ref="D20:D26" si="6">ROUND($D$3*E20/$E$3,2)</f>
        <v>8071.4</v>
      </c>
      <c r="E20" s="56">
        <f t="shared" si="1"/>
        <v>28249.879999999972</v>
      </c>
      <c r="F20" s="57">
        <f>'数据-基础表'!K14-F22</f>
        <v>28249.879999999972</v>
      </c>
      <c r="G20" s="58"/>
      <c r="H20" s="722">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8071.4</v>
      </c>
      <c r="S20" s="1247">
        <f t="shared" si="5"/>
        <v>28249.879999999972</v>
      </c>
    </row>
    <row r="21" spans="1:19">
      <c r="A21" s="2257"/>
      <c r="B21" s="50" t="s">
        <v>1959</v>
      </c>
      <c r="C21" s="2958" t="s">
        <v>4105</v>
      </c>
      <c r="D21" s="48">
        <f t="shared" si="6"/>
        <v>166.35</v>
      </c>
      <c r="E21" s="56">
        <f t="shared" si="1"/>
        <v>582.23</v>
      </c>
      <c r="F21" s="57">
        <f>面积!E3</f>
        <v>582.23</v>
      </c>
      <c r="G21" s="58"/>
      <c r="H21" s="722">
        <f t="shared" si="7"/>
        <v>0</v>
      </c>
      <c r="I21" s="51">
        <f t="shared" si="2"/>
        <v>0</v>
      </c>
      <c r="J21" s="1391"/>
      <c r="K21" s="1390">
        <f t="shared" si="3"/>
        <v>0</v>
      </c>
      <c r="L21" s="1246">
        <f t="shared" si="4"/>
        <v>0</v>
      </c>
      <c r="M21" s="1402">
        <f t="shared" si="8"/>
        <v>0</v>
      </c>
      <c r="N21" s="2255"/>
      <c r="O21" s="2256"/>
      <c r="P21" s="1402">
        <f t="shared" si="9"/>
        <v>0</v>
      </c>
      <c r="R21" s="1246">
        <f t="shared" si="5"/>
        <v>166.35</v>
      </c>
      <c r="S21" s="1247">
        <f t="shared" si="5"/>
        <v>582.23</v>
      </c>
    </row>
    <row r="22" spans="1:19">
      <c r="A22" s="2257"/>
      <c r="B22" s="50" t="s">
        <v>1959</v>
      </c>
      <c r="C22" s="2958" t="s">
        <v>4106</v>
      </c>
      <c r="D22" s="48">
        <f t="shared" si="6"/>
        <v>30.51</v>
      </c>
      <c r="E22" s="56">
        <f t="shared" si="1"/>
        <v>106.79</v>
      </c>
      <c r="F22" s="61">
        <f>面积!E56</f>
        <v>106.79</v>
      </c>
      <c r="G22" s="62"/>
      <c r="H22" s="722">
        <f t="shared" si="7"/>
        <v>0</v>
      </c>
      <c r="I22" s="51">
        <f t="shared" si="2"/>
        <v>0</v>
      </c>
      <c r="J22" s="1391"/>
      <c r="K22" s="1390">
        <f t="shared" si="3"/>
        <v>0</v>
      </c>
      <c r="L22" s="1246">
        <f t="shared" si="4"/>
        <v>0</v>
      </c>
      <c r="M22" s="1402">
        <f t="shared" si="8"/>
        <v>0</v>
      </c>
      <c r="N22" s="2255"/>
      <c r="O22" s="2256"/>
      <c r="P22" s="1402">
        <f t="shared" si="9"/>
        <v>0</v>
      </c>
      <c r="R22" s="1246">
        <f t="shared" si="5"/>
        <v>30.51</v>
      </c>
      <c r="S22" s="1247">
        <f t="shared" si="5"/>
        <v>106.79</v>
      </c>
    </row>
    <row r="23" spans="1:19" hidden="1">
      <c r="A23" s="2257"/>
      <c r="B23" s="50" t="s">
        <v>1959</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idden="1">
      <c r="A24" s="2257"/>
      <c r="B24" s="50" t="s">
        <v>1959</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idden="1">
      <c r="A25" s="2257"/>
      <c r="B25" s="50" t="s">
        <v>1959</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idden="1">
      <c r="A26" s="2257"/>
      <c r="B26" s="50" t="s">
        <v>1959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1960</v>
      </c>
      <c r="D27" s="1392">
        <f>SUM(D19:D26)</f>
        <v>12092.92</v>
      </c>
      <c r="E27" s="1393">
        <f>IF(SUM(E19:E26)='数据-基础表'!BA5,SUM(E19:E26),IF(F27="地上面积有误","面积有误","地下面积有误"))</f>
        <v>42325.209999999977</v>
      </c>
      <c r="F27" s="1392">
        <f>IF(SUM(F19:F26)=E8,SUM(F19:F26),"地上面积有误")</f>
        <v>42325.209999999977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12092.92</v>
      </c>
      <c r="S27" s="1246">
        <f>IF(SUM(S19:S26)=$E$3,SUM(S19:S26),SUM(S19:S26)&amp;"误差"&amp;ROUND(SUM(S19:S26)-E3,2))</f>
        <v>42325.209999999977</v>
      </c>
    </row>
    <row r="28" spans="1:19">
      <c r="A28" s="2257"/>
      <c r="B28" s="50" t="s">
        <v>1961</v>
      </c>
      <c r="C28" s="1258" t="s">
        <v>1962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1961</v>
      </c>
      <c r="C29" s="2261" t="s">
        <v>1963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1960</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1964</v>
      </c>
      <c r="D31" s="728">
        <f>D27+D30</f>
        <v>12092.92</v>
      </c>
      <c r="E31" s="728">
        <f>E27+E30</f>
        <v>42325.209999999977</v>
      </c>
      <c r="F31" s="729">
        <f>F27+F30</f>
        <v>42325.209999999977</v>
      </c>
      <c r="G31" s="730">
        <f>G27+G30</f>
        <v>0</v>
      </c>
      <c r="H31" s="1391"/>
      <c r="I31" s="1391"/>
      <c r="J31" s="1391"/>
      <c r="K31" s="1391"/>
      <c r="L31" s="1391"/>
      <c r="M31" s="1391"/>
      <c r="N31" s="1391"/>
      <c r="O31" s="1391"/>
      <c r="P31" s="1391"/>
    </row>
    <row r="32" spans="1:19">
      <c r="A32" s="2228"/>
      <c r="B32" s="2228" t="s">
        <v>1965</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7.875" style="2269" customWidth="1"/>
    <col min="23" max="25" width="6.75" style="2269" customWidth="1"/>
    <col min="26" max="30" width="6.75" style="2269" hidden="1"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1967</v>
      </c>
      <c r="B2" s="1265">
        <f>项目基本情况!D3</f>
        <v>43228</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7" t="s">
        <v>1978</v>
      </c>
      <c r="F5" s="2287" t="s">
        <v>1979</v>
      </c>
      <c r="G5" s="1267" t="s">
        <v>1980</v>
      </c>
      <c r="H5" s="1267" t="s">
        <v>1981</v>
      </c>
      <c r="I5" s="1267" t="s">
        <v>1982</v>
      </c>
      <c r="J5" s="2288" t="s">
        <v>1983</v>
      </c>
      <c r="K5" s="2289" t="s">
        <v>1984</v>
      </c>
      <c r="L5" s="2290" t="s">
        <v>1985</v>
      </c>
      <c r="M5" s="2291" t="s">
        <v>1986</v>
      </c>
      <c r="N5" s="2292" t="s">
        <v>3068</v>
      </c>
      <c r="O5" s="2290" t="s">
        <v>1987</v>
      </c>
      <c r="P5" s="2293" t="s">
        <v>1988</v>
      </c>
      <c r="Q5" s="69" t="s">
        <v>1989</v>
      </c>
      <c r="R5" s="2294" t="s">
        <v>1990</v>
      </c>
      <c r="S5" s="2295" t="s">
        <v>1991</v>
      </c>
      <c r="T5" s="2296" t="s">
        <v>1992</v>
      </c>
      <c r="U5" s="1266" t="s">
        <v>1993</v>
      </c>
      <c r="V5" s="1267" t="s">
        <v>1994</v>
      </c>
      <c r="W5" s="1267" t="s">
        <v>1995</v>
      </c>
      <c r="X5" s="71"/>
      <c r="Y5" s="70" t="s">
        <v>1996</v>
      </c>
      <c r="Z5" s="2297" t="s">
        <v>1993</v>
      </c>
      <c r="AA5" s="1267" t="s">
        <v>1994</v>
      </c>
      <c r="AB5" s="1267" t="s">
        <v>1995</v>
      </c>
      <c r="AC5" s="71"/>
      <c r="AD5" s="71" t="s">
        <v>1996</v>
      </c>
      <c r="AE5" s="1266" t="s">
        <v>1997</v>
      </c>
      <c r="AF5" s="1267" t="s">
        <v>1998</v>
      </c>
      <c r="AG5" s="70" t="s">
        <v>1999</v>
      </c>
      <c r="AH5" s="1266" t="s">
        <v>2000</v>
      </c>
      <c r="AI5" s="2297" t="s">
        <v>2001</v>
      </c>
      <c r="AJ5" s="2297" t="s">
        <v>2002</v>
      </c>
      <c r="AK5" s="1267" t="s">
        <v>2003</v>
      </c>
      <c r="AL5" s="1267" t="s">
        <v>2004</v>
      </c>
      <c r="AM5" s="70" t="s">
        <v>2005</v>
      </c>
      <c r="AN5" s="2298" t="s">
        <v>2006</v>
      </c>
      <c r="AO5" s="2069" t="s">
        <v>2007</v>
      </c>
      <c r="AP5" s="1248"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商业</v>
      </c>
      <c r="B6" s="2301" t="str">
        <f>IF(A6=0,"","经营性")</f>
        <v>经营性</v>
      </c>
      <c r="C6" s="2302" t="s">
        <v>1377</v>
      </c>
      <c r="D6" s="1050">
        <f>SUMIF(项目基本情况!D$12:I$12,C6,项目基本情况!D$14:I$14)</f>
        <v>40</v>
      </c>
      <c r="E6" s="1047">
        <f>IF(B6="","",SUMIF(项目基本情况!D$12:I$12,C6,项目基本情况!D$13:I$13))</f>
        <v>52839</v>
      </c>
      <c r="F6" s="72">
        <f>SUMIF(项目基本情况!D$12:I$12,C6,项目基本情况!D$15:I$15)</f>
        <v>26.33</v>
      </c>
      <c r="G6" s="73">
        <f>IF(ISERROR(ROUND(POWER(1+H6,D6-F6)*(POWER(1+H6,F6)-1)/(POWER(1+H6,D6)-1),3)),0,ROUND(POWER(1+H6,D6-F6)*(POWER(1+H6,F6)-1)/(POWER(1+H6,D6)-1),3))</f>
        <v>0.84299999999999997</v>
      </c>
      <c r="H6" s="801">
        <v>0.05</v>
      </c>
      <c r="I6" s="801">
        <v>5.5E-2</v>
      </c>
      <c r="J6" s="74">
        <v>8.5000000000000006E-2</v>
      </c>
      <c r="K6" s="1250">
        <f>SUMIF('数据-汇总表'!C$19:C$33,A6,'数据-汇总表'!E$19:E$33)</f>
        <v>13386.31</v>
      </c>
      <c r="L6" s="802">
        <v>3000</v>
      </c>
      <c r="M6" s="75">
        <f t="shared" ref="M6:M14" si="0">ROUND(K6*L6/10000,0)</f>
        <v>4016</v>
      </c>
      <c r="N6" s="800">
        <f>ROUND(1-(2018-2016)/60,2)</f>
        <v>0.97</v>
      </c>
      <c r="O6" s="75" t="str">
        <f>IF($N$5="成新度","——",ROUND(M6*N6,0))</f>
        <v>——</v>
      </c>
      <c r="P6" s="76" t="str">
        <f>IF($N$5="成新度","——",M6-O6)</f>
        <v>——</v>
      </c>
      <c r="Q6" s="803">
        <v>0.25</v>
      </c>
      <c r="R6" s="77">
        <f ca="1">SUMIF('数据-汇总表'!C$19:C$33,A6,'数据-汇总表'!R$19:R$27)</f>
        <v>3824.66</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办公</v>
      </c>
      <c r="B7" s="2301" t="str">
        <f t="shared" ref="B7:B13" si="1">IF(A7=0,"","经营性")</f>
        <v>经营性</v>
      </c>
      <c r="C7" s="2302" t="s">
        <v>27</v>
      </c>
      <c r="D7" s="1050">
        <f>SUMIF(项目基本情况!D$12:I$12,C7,项目基本情况!D$14:I$14)</f>
        <v>50</v>
      </c>
      <c r="E7" s="1047">
        <f>IF(B7="","",SUMIF(项目基本情况!D$12:I$12,C7,项目基本情况!D$13:I$13))</f>
        <v>56491</v>
      </c>
      <c r="F7" s="72">
        <f>SUMIF(项目基本情况!D$12:I$12,C7,项目基本情况!D$15:I$15)</f>
        <v>36.33</v>
      </c>
      <c r="G7" s="73">
        <f t="shared" ref="G7:G11" si="2">IF(ISERROR(ROUND(POWER(1+H7,D7-F7)*(POWER(1+H7,F7)-1)/(POWER(1+H7,D7)-1),3)),0,ROUND(POWER(1+H7,D7-F7)*(POWER(1+H7,F7)-1)/(POWER(1+H7,D7)-1),3))</f>
        <v>0.89700000000000002</v>
      </c>
      <c r="H7" s="801">
        <v>4.4999999999999998E-2</v>
      </c>
      <c r="I7" s="801">
        <v>0.05</v>
      </c>
      <c r="J7" s="74">
        <v>8.5000000000000006E-2</v>
      </c>
      <c r="K7" s="1250">
        <f>SUMIF('数据-汇总表'!C$19:C$33,A7,'数据-汇总表'!E$19:E$33)</f>
        <v>28249.879999999972</v>
      </c>
      <c r="L7" s="802">
        <v>3000</v>
      </c>
      <c r="M7" s="75">
        <f t="shared" si="0"/>
        <v>8475</v>
      </c>
      <c r="N7" s="800">
        <f>ROUND(1-(2018-2016)/60,2)</f>
        <v>0.97</v>
      </c>
      <c r="O7" s="75" t="str">
        <f t="shared" ref="O7:O14" si="3">IF($N$5="成新度","——",ROUND(M7*N7,0))</f>
        <v>——</v>
      </c>
      <c r="P7" s="76" t="str">
        <f t="shared" ref="P7:P14" si="4">IF($N$5="成新度","——",M7-O7)</f>
        <v>——</v>
      </c>
      <c r="Q7" s="803">
        <v>0.2</v>
      </c>
      <c r="R7" s="77">
        <f ca="1">SUMIF('数据-汇总表'!C$19:C$33,A7,'数据-汇总表'!R$19:R$27)</f>
        <v>8071.4</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t="str">
        <f>'数据-汇总表'!C21</f>
        <v>商业101</v>
      </c>
      <c r="B8" s="2301" t="str">
        <f t="shared" si="1"/>
        <v>经营性</v>
      </c>
      <c r="C8" s="2302" t="s">
        <v>1377</v>
      </c>
      <c r="D8" s="1050">
        <f>SUMIF(项目基本情况!D$12:I$12,C8,项目基本情况!D$14:I$14)</f>
        <v>40</v>
      </c>
      <c r="E8" s="1047">
        <f>IF(B8="","",SUMIF(项目基本情况!D$12:I$12,C8,项目基本情况!D$13:I$13))</f>
        <v>52839</v>
      </c>
      <c r="F8" s="72">
        <f>SUMIF(项目基本情况!D$12:I$12,C8,项目基本情况!D$15:I$15)</f>
        <v>26.33</v>
      </c>
      <c r="G8" s="73">
        <f t="shared" si="2"/>
        <v>0.84299999999999997</v>
      </c>
      <c r="H8" s="801">
        <f t="shared" ref="H8:J9" si="12">H6</f>
        <v>0.05</v>
      </c>
      <c r="I8" s="801">
        <f t="shared" si="12"/>
        <v>5.5E-2</v>
      </c>
      <c r="J8" s="74">
        <f t="shared" si="12"/>
        <v>8.5000000000000006E-2</v>
      </c>
      <c r="K8" s="1250">
        <f>SUMIF('数据-汇总表'!C$19:C$33,A8,'数据-汇总表'!E$19:E$33)</f>
        <v>582.23</v>
      </c>
      <c r="L8" s="802">
        <f>L6</f>
        <v>3000</v>
      </c>
      <c r="M8" s="75">
        <f>ROUND(K8*L8/10000,0)</f>
        <v>175</v>
      </c>
      <c r="N8" s="800">
        <f>N6</f>
        <v>0.97</v>
      </c>
      <c r="O8" s="75" t="str">
        <f t="shared" si="3"/>
        <v>——</v>
      </c>
      <c r="P8" s="76" t="str">
        <f t="shared" si="4"/>
        <v>——</v>
      </c>
      <c r="Q8" s="803">
        <f>Q6</f>
        <v>0.25</v>
      </c>
      <c r="R8" s="77">
        <f ca="1">SUMIF('数据-汇总表'!C$19:C$33,A8,'数据-汇总表'!R$19:R$27)</f>
        <v>166.35</v>
      </c>
      <c r="S8" s="54">
        <f>IF('数据-汇总表'!$I$17="按面积比例",SUMIF('数据-汇总表'!C$19:C$33,A8,'数据-汇总表'!K$19:K$33),SUMIF('数据-汇总表'!C$19:C$33,A8,'数据-汇总表'!N$19:N$33))</f>
        <v>0</v>
      </c>
      <c r="T8" s="1442">
        <f t="shared" si="5"/>
        <v>0</v>
      </c>
      <c r="U8" s="804">
        <f>W21</f>
        <v>10</v>
      </c>
      <c r="V8" s="3028">
        <v>0.03</v>
      </c>
      <c r="W8" s="805">
        <v>0.1</v>
      </c>
      <c r="X8" s="1260"/>
      <c r="Y8" s="806">
        <v>0.97</v>
      </c>
      <c r="Z8" s="81"/>
      <c r="AA8" s="74"/>
      <c r="AB8" s="74"/>
      <c r="AC8" s="1260"/>
      <c r="AD8" s="82"/>
      <c r="AE8" s="1261">
        <f t="shared" ca="1" si="6"/>
        <v>26.33</v>
      </c>
      <c r="AF8" s="1802"/>
      <c r="AG8" s="147">
        <f t="shared" si="7"/>
        <v>0</v>
      </c>
      <c r="AH8" s="807"/>
      <c r="AI8" s="85">
        <v>365</v>
      </c>
      <c r="AJ8" s="86"/>
      <c r="AK8" s="87">
        <v>1.4999999999999999E-2</v>
      </c>
      <c r="AL8" s="88">
        <v>1.5E-3</v>
      </c>
      <c r="AM8" s="89">
        <v>0.01</v>
      </c>
      <c r="AN8" s="2303" t="s">
        <v>3075</v>
      </c>
      <c r="AO8" s="55">
        <f t="shared" ca="1" si="8"/>
        <v>2860</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t="str">
        <f>'数据-汇总表'!C22</f>
        <v>办公401</v>
      </c>
      <c r="B9" s="2301" t="str">
        <f t="shared" si="1"/>
        <v>经营性</v>
      </c>
      <c r="C9" s="2302" t="s">
        <v>27</v>
      </c>
      <c r="D9" s="1050">
        <f>SUMIF(项目基本情况!D$12:I$12,C9,项目基本情况!D$14:I$14)</f>
        <v>50</v>
      </c>
      <c r="E9" s="1047">
        <f>IF(B9="","",SUMIF(项目基本情况!D$12:I$12,C9,项目基本情况!D$13:I$13))</f>
        <v>56491</v>
      </c>
      <c r="F9" s="72">
        <f>SUMIF(项目基本情况!D$12:I$12,C9,项目基本情况!D$15:I$15)</f>
        <v>36.33</v>
      </c>
      <c r="G9" s="73">
        <f t="shared" si="2"/>
        <v>0.89700000000000002</v>
      </c>
      <c r="H9" s="801">
        <f t="shared" si="12"/>
        <v>4.4999999999999998E-2</v>
      </c>
      <c r="I9" s="801">
        <f t="shared" si="12"/>
        <v>0.05</v>
      </c>
      <c r="J9" s="74">
        <f t="shared" si="12"/>
        <v>8.5000000000000006E-2</v>
      </c>
      <c r="K9" s="1250">
        <f>SUMIF('数据-汇总表'!C$19:C$33,A9,'数据-汇总表'!E$19:E$33)</f>
        <v>106.79</v>
      </c>
      <c r="L9" s="802">
        <f>L7</f>
        <v>3000</v>
      </c>
      <c r="M9" s="75">
        <f t="shared" si="0"/>
        <v>32</v>
      </c>
      <c r="N9" s="800">
        <f>N7</f>
        <v>0.97</v>
      </c>
      <c r="O9" s="75" t="str">
        <f t="shared" si="3"/>
        <v>——</v>
      </c>
      <c r="P9" s="76" t="str">
        <f t="shared" si="4"/>
        <v>——</v>
      </c>
      <c r="Q9" s="803">
        <f>Q7</f>
        <v>0.2</v>
      </c>
      <c r="R9" s="77">
        <f ca="1">SUMIF('数据-汇总表'!C$19:C$33,A9,'数据-汇总表'!R$19:R$27)</f>
        <v>30.51</v>
      </c>
      <c r="S9" s="54">
        <f>IF('数据-汇总表'!$I$17="按面积比例",SUMIF('数据-汇总表'!C$19:C$33,A9,'数据-汇总表'!K$19:K$33),SUMIF('数据-汇总表'!C$19:C$33,A9,'数据-汇总表'!N$19:N$33))</f>
        <v>0</v>
      </c>
      <c r="T9" s="1442">
        <f t="shared" si="5"/>
        <v>0</v>
      </c>
      <c r="U9" s="804">
        <v>4.5</v>
      </c>
      <c r="V9" s="3028">
        <v>0.03</v>
      </c>
      <c r="W9" s="805">
        <v>0.05</v>
      </c>
      <c r="X9" s="1260"/>
      <c r="Y9" s="806">
        <f>N8</f>
        <v>0.97</v>
      </c>
      <c r="Z9" s="81"/>
      <c r="AA9" s="74"/>
      <c r="AB9" s="74"/>
      <c r="AC9" s="1260"/>
      <c r="AD9" s="82"/>
      <c r="AE9" s="1261">
        <f t="shared" ca="1" si="6"/>
        <v>36.33</v>
      </c>
      <c r="AF9" s="1802"/>
      <c r="AG9" s="147">
        <f t="shared" si="7"/>
        <v>0</v>
      </c>
      <c r="AH9" s="83"/>
      <c r="AI9" s="85">
        <v>365</v>
      </c>
      <c r="AJ9" s="86"/>
      <c r="AK9" s="87">
        <v>1.4999999999999999E-2</v>
      </c>
      <c r="AL9" s="88">
        <v>1.5E-3</v>
      </c>
      <c r="AM9" s="89">
        <v>0.01</v>
      </c>
      <c r="AN9" s="2303" t="s">
        <v>3076</v>
      </c>
      <c r="AO9" s="55">
        <f t="shared" ca="1" si="8"/>
        <v>323</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4"/>
      <c r="D16" s="2308"/>
      <c r="E16" s="97"/>
      <c r="F16" s="97"/>
      <c r="G16" s="98">
        <f>ROUND(SUMPRODUCT(G6:G13,K6:K13)/SUMPRODUCT((G6:G13&gt;0)*(K6:K13)),3)</f>
        <v>0.879</v>
      </c>
      <c r="H16" s="99">
        <f>ROUND(SUMPRODUCT(H6:H13,K6:K13)/SUMPRODUCT((H6:H13&gt;0)*(K6:K13)),3)</f>
        <v>4.7E-2</v>
      </c>
      <c r="I16" s="100"/>
      <c r="J16" s="100"/>
      <c r="K16" s="101">
        <f>SUM(K6:K15)</f>
        <v>42325.209999999977</v>
      </c>
      <c r="L16" s="102">
        <f>ROUND(M16*10000/SUM(K6:K14),0)</f>
        <v>3000</v>
      </c>
      <c r="M16" s="102">
        <f>SUM(M6:M14)</f>
        <v>12698</v>
      </c>
      <c r="N16" s="103">
        <f>ROUND(SUMPRODUCT(M6:M14,N6:N14)/M16,3)</f>
        <v>0.97</v>
      </c>
      <c r="O16" s="102">
        <f>SUM(O6:O14)</f>
        <v>0</v>
      </c>
      <c r="P16" s="102">
        <f>SUM(P6:P14)</f>
        <v>0</v>
      </c>
      <c r="Q16" s="104">
        <f>ROUND(SUMPRODUCT(Q6:Q13,K6:K13)/SUMPRODUCT((Q6:Q13&gt;0)*(K6:K13)),2)</f>
        <v>0.22</v>
      </c>
      <c r="R16" s="1254">
        <f ca="1">SUM(R6:R13)</f>
        <v>12092.92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2016</v>
      </c>
      <c r="B18" s="2274"/>
      <c r="C18" s="2271"/>
      <c r="D18" s="2272"/>
      <c r="E18" s="2271"/>
      <c r="F18" s="2271"/>
      <c r="G18" s="2271"/>
      <c r="H18" s="2271"/>
      <c r="I18" s="2271"/>
      <c r="J18" s="2271"/>
      <c r="K18" s="168"/>
      <c r="L18" s="168"/>
      <c r="M18" s="1579"/>
      <c r="N18" s="1579"/>
      <c r="O18" s="1579"/>
      <c r="P18" s="1579"/>
      <c r="Q18" s="1579"/>
      <c r="R18" s="1579"/>
      <c r="S18" s="1579"/>
      <c r="T18" s="1579"/>
      <c r="U18" s="1579">
        <f ca="1">系统读取表!B5</f>
        <v>170574</v>
      </c>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2017</v>
      </c>
      <c r="B19" s="112">
        <v>0</v>
      </c>
      <c r="C19" s="2271" t="s">
        <v>2018</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2019</v>
      </c>
      <c r="B20" s="113">
        <v>2</v>
      </c>
      <c r="C20" s="2271" t="s">
        <v>2020</v>
      </c>
      <c r="D20" s="2272"/>
      <c r="E20" s="2271"/>
      <c r="F20" s="2271"/>
      <c r="G20" s="2271"/>
      <c r="H20" s="2271"/>
      <c r="I20" s="2271"/>
      <c r="J20" s="2271"/>
      <c r="K20" s="168"/>
      <c r="L20" s="168"/>
      <c r="M20" s="1579"/>
      <c r="N20" s="1579"/>
      <c r="O20" s="1579"/>
      <c r="P20" s="1579"/>
      <c r="Q20" s="1579"/>
      <c r="R20" s="1579"/>
      <c r="S20" s="1579"/>
      <c r="T20" s="1579"/>
      <c r="U20" s="1579"/>
      <c r="V20" s="2959" t="s">
        <v>3072</v>
      </c>
      <c r="W20" s="2959" t="s">
        <v>3073</v>
      </c>
      <c r="X20" s="1579"/>
      <c r="Y20" s="1579"/>
      <c r="Z20" s="1579"/>
      <c r="AA20" s="1579"/>
      <c r="AB20" s="1579"/>
      <c r="AC20" s="1579"/>
      <c r="AD20" s="1579"/>
      <c r="AE20" s="1579"/>
      <c r="AF20" s="1579"/>
      <c r="AG20" s="1579"/>
      <c r="AH20" s="1579"/>
      <c r="AI20" s="1579"/>
      <c r="AJ20" s="1579"/>
      <c r="AK20" s="1579"/>
      <c r="AL20" s="1579"/>
      <c r="AM20" s="1579"/>
    </row>
    <row r="21" spans="1:67" ht="14.25">
      <c r="A21" s="2312" t="s">
        <v>2021</v>
      </c>
      <c r="B21" s="113">
        <v>2</v>
      </c>
      <c r="C21" s="2271"/>
      <c r="D21" s="2272"/>
      <c r="E21" s="2271"/>
      <c r="F21" s="2271"/>
      <c r="G21" s="2271"/>
      <c r="H21" s="2271"/>
      <c r="I21" s="2271"/>
      <c r="J21" s="2271"/>
      <c r="K21" s="168"/>
      <c r="L21" s="168"/>
      <c r="M21" s="1579"/>
      <c r="N21" s="1579"/>
      <c r="O21" s="1579"/>
      <c r="P21" s="1579"/>
      <c r="Q21" s="1579"/>
      <c r="R21" s="1579"/>
      <c r="S21" s="1579"/>
      <c r="T21" s="1579"/>
      <c r="U21" s="1579" t="s">
        <v>3069</v>
      </c>
      <c r="V21" s="2960">
        <f>面积!E382</f>
        <v>4317.1499999999996</v>
      </c>
      <c r="W21" s="1579">
        <v>10</v>
      </c>
      <c r="X21" s="1579"/>
      <c r="Y21" s="1579"/>
      <c r="Z21" s="1579"/>
      <c r="AA21" s="1579"/>
      <c r="AB21" s="1579"/>
      <c r="AC21" s="1579"/>
      <c r="AD21" s="1579"/>
      <c r="AE21" s="1579"/>
      <c r="AF21" s="1579"/>
      <c r="AG21" s="1579"/>
      <c r="AH21" s="1579"/>
      <c r="AI21" s="1579"/>
      <c r="AJ21" s="1579"/>
      <c r="AK21" s="1579"/>
      <c r="AL21" s="1579"/>
      <c r="AM21" s="1579"/>
    </row>
    <row r="22" spans="1:67" ht="14.25">
      <c r="A22" s="2311" t="s">
        <v>2022</v>
      </c>
      <c r="B22" s="114">
        <f>B19+B20</f>
        <v>2</v>
      </c>
      <c r="C22" s="2271"/>
      <c r="D22" s="2272"/>
      <c r="E22" s="2271"/>
      <c r="F22" s="2271"/>
      <c r="G22" s="2271"/>
      <c r="H22" s="2271"/>
      <c r="I22" s="2271"/>
      <c r="J22" s="2271"/>
      <c r="K22" s="168"/>
      <c r="L22" s="168"/>
      <c r="M22" s="1579"/>
      <c r="N22" s="1579"/>
      <c r="O22" s="1579"/>
      <c r="P22" s="1579"/>
      <c r="Q22" s="1579"/>
      <c r="R22" s="1579"/>
      <c r="S22" s="1579"/>
      <c r="T22" s="1579"/>
      <c r="U22" s="1579" t="s">
        <v>3070</v>
      </c>
      <c r="V22" s="2960">
        <f>面积!E383</f>
        <v>4989.13</v>
      </c>
      <c r="W22" s="1579">
        <v>7</v>
      </c>
      <c r="X22" s="1579"/>
      <c r="Y22" s="1579"/>
      <c r="Z22" s="1579"/>
      <c r="AA22" s="1579"/>
      <c r="AB22" s="1579"/>
      <c r="AC22" s="1579"/>
      <c r="AD22" s="1579"/>
      <c r="AE22" s="1579"/>
      <c r="AF22" s="1579"/>
      <c r="AG22" s="1579"/>
      <c r="AH22" s="1579"/>
      <c r="AI22" s="1579"/>
      <c r="AJ22" s="1579"/>
      <c r="AK22" s="1579"/>
      <c r="AL22" s="1579"/>
      <c r="AM22" s="1579"/>
    </row>
    <row r="23" spans="1:67" ht="14.25">
      <c r="A23" s="2312" t="s">
        <v>2023</v>
      </c>
      <c r="B23" s="114">
        <f>B19+B21</f>
        <v>2</v>
      </c>
      <c r="C23" s="2271"/>
      <c r="D23" s="2272"/>
      <c r="E23" s="2271"/>
      <c r="F23" s="2271"/>
      <c r="G23" s="2271"/>
      <c r="H23" s="2271"/>
      <c r="I23" s="2271"/>
      <c r="J23" s="2271"/>
      <c r="K23" s="168"/>
      <c r="L23" s="168"/>
      <c r="M23" s="1579"/>
      <c r="N23" s="1579"/>
      <c r="O23" s="1579"/>
      <c r="P23" s="1579"/>
      <c r="Q23" s="1579"/>
      <c r="R23" s="1579"/>
      <c r="S23" s="1579"/>
      <c r="T23" s="1579"/>
      <c r="U23" s="1579" t="s">
        <v>3071</v>
      </c>
      <c r="V23" s="2960">
        <f>面积!E384</f>
        <v>4662.26</v>
      </c>
      <c r="W23" s="1579">
        <v>5</v>
      </c>
      <c r="X23" s="1579"/>
      <c r="Y23" s="1579"/>
      <c r="Z23" s="1579"/>
      <c r="AA23" s="1579"/>
      <c r="AB23" s="1579"/>
      <c r="AC23" s="1579"/>
      <c r="AD23" s="1579"/>
      <c r="AE23" s="1579"/>
      <c r="AF23" s="1579"/>
      <c r="AG23" s="1579"/>
      <c r="AH23" s="1579"/>
      <c r="AI23" s="1579"/>
      <c r="AJ23" s="1579"/>
      <c r="AK23" s="1579"/>
      <c r="AL23" s="1579"/>
      <c r="AM23" s="1579"/>
    </row>
    <row r="24" spans="1:67" ht="15" thickBot="1">
      <c r="A24" s="2313" t="s">
        <v>2024</v>
      </c>
      <c r="B24" s="115">
        <f>B20-B21</f>
        <v>0</v>
      </c>
      <c r="C24" s="2271"/>
      <c r="D24" s="2272"/>
      <c r="E24" s="2271"/>
      <c r="F24" s="2271"/>
      <c r="G24" s="2271"/>
      <c r="H24" s="2271"/>
      <c r="I24" s="2271"/>
      <c r="J24" s="2271"/>
      <c r="K24" s="168"/>
      <c r="L24" s="168"/>
      <c r="M24" s="1579"/>
      <c r="N24" s="1579"/>
      <c r="O24" s="1579"/>
      <c r="P24" s="1579"/>
      <c r="Q24" s="1579"/>
      <c r="R24" s="1579"/>
      <c r="S24" s="1579"/>
      <c r="T24" s="1579"/>
      <c r="U24" s="2959" t="s">
        <v>3074</v>
      </c>
      <c r="V24" s="2960">
        <f>SUM(V21:V23)</f>
        <v>13968.539999999999</v>
      </c>
      <c r="W24" s="1579">
        <f>ROUND((W21*V21+W22*V22+W23*V23)/V24,2)</f>
        <v>7.26</v>
      </c>
      <c r="X24" s="1579">
        <f ca="1">'收益法-商业2'!B3</f>
        <v>48847</v>
      </c>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2025</v>
      </c>
      <c r="B26" s="2314" t="s">
        <v>2026</v>
      </c>
      <c r="C26" s="2315" t="s">
        <v>2027</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2028</v>
      </c>
      <c r="B27" s="116">
        <v>160</v>
      </c>
      <c r="C27" s="1762" t="s">
        <v>2029</v>
      </c>
      <c r="D27" s="2317"/>
      <c r="E27" s="1426"/>
      <c r="F27" s="1426"/>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2030</v>
      </c>
      <c r="B28" s="119">
        <v>200</v>
      </c>
      <c r="C28" s="2320"/>
      <c r="D28" s="2317"/>
      <c r="E28" s="1426"/>
      <c r="F28" s="1426"/>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2031</v>
      </c>
      <c r="B29" s="121"/>
      <c r="C29" s="1762" t="s">
        <v>2032</v>
      </c>
      <c r="D29" s="2317"/>
      <c r="E29" s="1426"/>
      <c r="F29" s="1426"/>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2033</v>
      </c>
      <c r="B30" s="723">
        <v>200</v>
      </c>
      <c r="C30" s="2320"/>
      <c r="D30" s="2317"/>
      <c r="E30" s="1426"/>
      <c r="F30" s="1426"/>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2034</v>
      </c>
      <c r="B31" s="120">
        <f>B30-B32</f>
        <v>200</v>
      </c>
      <c r="C31" s="1762"/>
      <c r="D31" s="2317"/>
      <c r="E31" s="1426"/>
      <c r="F31" s="1426"/>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2035</v>
      </c>
      <c r="B32" s="724">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2036</v>
      </c>
      <c r="B33" s="725">
        <v>0.03</v>
      </c>
      <c r="C33" s="1761" t="s">
        <v>2037</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2038</v>
      </c>
      <c r="B34" s="122">
        <v>0</v>
      </c>
      <c r="C34" s="1761" t="s">
        <v>2039</v>
      </c>
      <c r="D34" s="2272" t="s">
        <v>2040</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2041</v>
      </c>
      <c r="B35" s="119">
        <v>200</v>
      </c>
      <c r="C35" s="1761" t="s">
        <v>2042</v>
      </c>
      <c r="D35" s="2317"/>
      <c r="E35" s="1426"/>
      <c r="F35" s="1426"/>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2043</v>
      </c>
      <c r="B36" s="123">
        <v>1.4999999999999999E-2</v>
      </c>
      <c r="C36" s="1761" t="s">
        <v>2044</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2045</v>
      </c>
      <c r="B37" s="124">
        <v>0.02</v>
      </c>
      <c r="C37" s="1761" t="s">
        <v>2046</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2047</v>
      </c>
      <c r="B38" s="122">
        <v>0.03</v>
      </c>
      <c r="C38" s="1761" t="s">
        <v>2046</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2048</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2049</v>
      </c>
      <c r="B40" s="1299">
        <f ca="1">存贷款利率!G1</f>
        <v>4.7500000000000001E-2</v>
      </c>
      <c r="C40" s="1761" t="s">
        <v>2050</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2051</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2052</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2053</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2054</v>
      </c>
      <c r="B44" s="128">
        <v>7.0000000000000007E-2</v>
      </c>
      <c r="C44" s="1761" t="s">
        <v>2055</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2056</v>
      </c>
      <c r="B45" s="126">
        <v>0.03</v>
      </c>
      <c r="C45" s="1762" t="s">
        <v>2057</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2058</v>
      </c>
      <c r="B46" s="126">
        <v>0.02</v>
      </c>
      <c r="C46" s="1762" t="s">
        <v>2059</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2060</v>
      </c>
      <c r="B47" s="129">
        <v>0</v>
      </c>
      <c r="C47" s="1762" t="s">
        <v>2061</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2062</v>
      </c>
      <c r="B48" s="130">
        <v>0.03</v>
      </c>
      <c r="C48" s="1769" t="s">
        <v>2063</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2064</v>
      </c>
      <c r="B49" s="126">
        <v>5.0000000000000001E-4</v>
      </c>
      <c r="C49" s="1769" t="s">
        <v>2065</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2066</v>
      </c>
      <c r="B50" s="131">
        <v>1.2E-2</v>
      </c>
      <c r="C50" s="1426"/>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2067</v>
      </c>
      <c r="B51" s="132">
        <v>0.12</v>
      </c>
      <c r="C51" s="1426"/>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2068</v>
      </c>
      <c r="B52" s="133">
        <f>SUMIF(A54:A63,B53,B54:B63)</f>
        <v>3</v>
      </c>
      <c r="C52" s="1426"/>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2069</v>
      </c>
      <c r="B53" s="2330" t="s">
        <v>523</v>
      </c>
      <c r="C53" s="1426" t="s">
        <v>2070</v>
      </c>
      <c r="D53" s="2331" t="s">
        <v>2071</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2072</v>
      </c>
      <c r="B54" s="84">
        <v>30</v>
      </c>
      <c r="C54" s="1426">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2073</v>
      </c>
      <c r="B55" s="84">
        <v>24</v>
      </c>
      <c r="C55" s="1426">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2074</v>
      </c>
      <c r="B56" s="84">
        <v>18</v>
      </c>
      <c r="C56" s="1426">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2075</v>
      </c>
      <c r="B57" s="84">
        <v>12</v>
      </c>
      <c r="C57" s="1426">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2076</v>
      </c>
      <c r="B58" s="84">
        <v>3</v>
      </c>
      <c r="C58" s="1426">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2077</v>
      </c>
      <c r="B59" s="84">
        <v>1.5</v>
      </c>
      <c r="C59" s="1426">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2078</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2079</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2080</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2081</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20" t="s">
        <v>2082</v>
      </c>
      <c r="B1" s="3121"/>
      <c r="C1" s="3121"/>
      <c r="D1" s="3121"/>
      <c r="E1" s="3121"/>
      <c r="F1" s="3121"/>
      <c r="G1" s="312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7"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3"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3" t="s">
        <v>2094</v>
      </c>
      <c r="C5" s="2368" t="s">
        <v>2095</v>
      </c>
      <c r="D5" s="2365"/>
      <c r="E5" s="2369"/>
      <c r="F5" s="1793" t="s">
        <v>2096</v>
      </c>
      <c r="G5" s="2370" t="s">
        <v>2097</v>
      </c>
      <c r="H5" s="2362"/>
      <c r="I5" s="2362"/>
      <c r="J5" s="2362"/>
      <c r="K5" s="2362"/>
      <c r="L5" s="2362"/>
      <c r="M5" s="2362"/>
      <c r="N5" s="2362"/>
      <c r="O5" s="2362"/>
      <c r="P5" s="2362"/>
      <c r="Q5" s="2362"/>
      <c r="R5" s="2362"/>
    </row>
    <row r="6" spans="1:29" ht="54">
      <c r="A6" s="431"/>
      <c r="B6" s="1793" t="s">
        <v>2098</v>
      </c>
      <c r="C6" s="2370" t="s">
        <v>2093</v>
      </c>
      <c r="D6" s="2365"/>
      <c r="E6" s="2369"/>
      <c r="F6" s="1793" t="s">
        <v>2099</v>
      </c>
      <c r="G6" s="2370" t="s">
        <v>2100</v>
      </c>
      <c r="H6" s="2362"/>
      <c r="I6" s="2362"/>
      <c r="J6" s="2362"/>
      <c r="K6" s="2362"/>
      <c r="L6" s="2362"/>
      <c r="M6" s="2362"/>
      <c r="N6" s="2362"/>
      <c r="O6" s="2362"/>
      <c r="P6" s="2362"/>
      <c r="Q6" s="2362"/>
      <c r="R6" s="2362"/>
    </row>
    <row r="7" spans="1:29" ht="41.25" thickBot="1">
      <c r="A7" s="431"/>
      <c r="B7" s="1793"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3" t="s">
        <v>2099</v>
      </c>
      <c r="C8" s="2370" t="s">
        <v>2100</v>
      </c>
      <c r="D8" s="2371"/>
      <c r="E8" s="2371"/>
      <c r="F8" s="1132"/>
      <c r="G8" s="1132"/>
      <c r="H8" s="2362"/>
      <c r="I8" s="2362"/>
      <c r="J8" s="2362"/>
      <c r="K8" s="2362"/>
      <c r="L8" s="2362"/>
      <c r="M8" s="2362"/>
      <c r="N8" s="2362"/>
      <c r="O8" s="2362"/>
      <c r="P8" s="2362"/>
      <c r="Q8" s="2362"/>
      <c r="R8" s="2362"/>
    </row>
    <row r="9" spans="1:29" ht="27">
      <c r="A9" s="431"/>
      <c r="B9" s="1793" t="s">
        <v>2103</v>
      </c>
      <c r="C9" s="2368" t="s">
        <v>2104</v>
      </c>
      <c r="D9" s="2365"/>
      <c r="E9" s="2371"/>
      <c r="F9" s="1132"/>
      <c r="G9" s="1132"/>
      <c r="H9" s="2362"/>
      <c r="I9" s="2362"/>
      <c r="J9" s="2362"/>
      <c r="K9" s="2362"/>
      <c r="L9" s="2362"/>
      <c r="M9" s="2362"/>
      <c r="N9" s="2362"/>
      <c r="O9" s="2362"/>
      <c r="P9" s="2362"/>
      <c r="Q9" s="2362"/>
      <c r="R9" s="2362"/>
    </row>
    <row r="10" spans="1:29" s="117" customFormat="1" ht="15.75" thickBot="1">
      <c r="A10" s="2375"/>
      <c r="B10" s="2376" t="s">
        <v>2105</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6" t="s">
        <v>2086</v>
      </c>
      <c r="C15" s="2397" t="str">
        <f>C3</f>
        <v>估价对象周边居住用地比例、居住小区规模和社区发展完善程度，综合评价居住社区成熟度一般</v>
      </c>
      <c r="D15" s="2365"/>
      <c r="E15" s="2398" t="s">
        <v>2110</v>
      </c>
      <c r="F15" s="1266" t="s">
        <v>2111</v>
      </c>
      <c r="G15" s="135" t="str">
        <f>G3</f>
        <v>估价对象位于XX开发区，园区建设成熟度XX，产业集聚程度XX</v>
      </c>
    </row>
    <row r="16" spans="1:29" ht="42.75">
      <c r="A16" s="644"/>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4"/>
      <c r="B17" s="2399" t="s">
        <v>2094</v>
      </c>
      <c r="C17" s="2400" t="str">
        <f>C5</f>
        <v>估价对象位于XX商圈，周边办公楼项目较多，入驻率高，办公集聚程度较好</v>
      </c>
      <c r="D17" s="2371"/>
      <c r="E17" s="2401"/>
      <c r="F17" s="2402" t="s">
        <v>2112</v>
      </c>
      <c r="G17" s="1567"/>
    </row>
    <row r="18" spans="1:18" ht="57">
      <c r="A18" s="644"/>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4"/>
      <c r="B19" s="2402" t="s">
        <v>2113</v>
      </c>
      <c r="C19" s="1567"/>
      <c r="D19" s="2365"/>
      <c r="E19" s="2401"/>
      <c r="F19" s="1793" t="s">
        <v>2096</v>
      </c>
      <c r="G19" s="136" t="str">
        <f>G5</f>
        <v>估价对象所在区域公共配套设施齐备情况</v>
      </c>
    </row>
    <row r="20" spans="1:18" ht="28.5">
      <c r="A20" s="644"/>
      <c r="B20" s="2402" t="s">
        <v>2114</v>
      </c>
      <c r="C20" s="2400" t="str">
        <f>C9</f>
        <v>区域自然环境：；人文环境；综合评价环境状况一般</v>
      </c>
      <c r="D20" s="2371"/>
      <c r="E20" s="2401"/>
      <c r="F20" s="1793" t="s">
        <v>2115</v>
      </c>
      <c r="G20" s="136" t="str">
        <f>G6</f>
        <v>估价对象所在区域基础设施水平</v>
      </c>
    </row>
    <row r="21" spans="1:18" ht="28.5">
      <c r="A21" s="644"/>
      <c r="B21" s="1793" t="s">
        <v>2096</v>
      </c>
      <c r="C21" s="136" t="str">
        <f>C7</f>
        <v>估价对象所在区域公共配套设施齐备情况</v>
      </c>
      <c r="D21" s="2365"/>
      <c r="E21" s="2401"/>
      <c r="F21" s="2402" t="s">
        <v>2116</v>
      </c>
      <c r="G21" s="2403"/>
    </row>
    <row r="22" spans="1:18" ht="13.5" customHeight="1">
      <c r="A22" s="644"/>
      <c r="B22" s="1793" t="s">
        <v>2099</v>
      </c>
      <c r="C22" s="136" t="str">
        <f>C8</f>
        <v>估价对象所在区域基础设施水平</v>
      </c>
      <c r="D22" s="2365"/>
      <c r="E22" s="2401"/>
      <c r="F22" s="2402" t="s">
        <v>2105</v>
      </c>
      <c r="G22" s="1567"/>
    </row>
    <row r="23" spans="1:18" s="2362" customFormat="1" ht="15.75" thickBot="1">
      <c r="A23" s="644"/>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36" customWidth="1"/>
    <col min="2" max="9" width="15.75" style="1736" customWidth="1"/>
    <col min="10" max="16384" width="9" style="1736"/>
  </cols>
  <sheetData>
    <row r="1" spans="1:10" ht="16.5">
      <c r="A1" s="1741" t="s">
        <v>1365</v>
      </c>
      <c r="B1" s="1741">
        <f>SUM(B14:B23)</f>
        <v>42325.20999999997</v>
      </c>
      <c r="C1" s="1740"/>
      <c r="D1" s="1740"/>
      <c r="E1" s="1740"/>
      <c r="F1" s="1740"/>
      <c r="G1" s="1738"/>
    </row>
    <row r="2" spans="1:10" ht="16.5">
      <c r="A2" s="1741" t="s">
        <v>1353</v>
      </c>
      <c r="B2" s="1741">
        <f>SUM(C14:C23)</f>
        <v>166.35</v>
      </c>
      <c r="C2" s="1740"/>
      <c r="D2" s="1740"/>
      <c r="E2" s="1740"/>
      <c r="F2" s="1740"/>
      <c r="G2" s="1738"/>
    </row>
    <row r="3" spans="1:10" ht="16.5">
      <c r="A3" s="1741" t="s">
        <v>1362</v>
      </c>
      <c r="B3" s="1742">
        <f>项目基本情况!D3</f>
        <v>43228</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170574</v>
      </c>
      <c r="C5" s="1741">
        <f ca="1">ROUND(B5*10000/$B$1,0)</f>
        <v>40301</v>
      </c>
      <c r="D5" s="1741">
        <f ca="1">ROUND(B5*10000/$B$2,0)</f>
        <v>10253922</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f ca="1">SUM(H14:H23)</f>
        <v>3387</v>
      </c>
      <c r="C7" s="1741">
        <f ca="1">ROUND(B7*10000/$B$1,0)</f>
        <v>800</v>
      </c>
      <c r="D7" s="1741">
        <f ca="1">ROUND(B7*10000/$B$2,0)</f>
        <v>203607</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'结果表-商业'!B118</f>
        <v>582.23</v>
      </c>
      <c r="C14" s="1739">
        <f>'结果表-商业'!C118</f>
        <v>166.35</v>
      </c>
      <c r="D14" s="1739">
        <f ca="1">'结果表-商业'!H118</f>
        <v>2982</v>
      </c>
      <c r="E14" s="1739">
        <f ca="1">ROUND(D14*10000/B14,0)</f>
        <v>51217</v>
      </c>
      <c r="F14" s="1739">
        <f ca="1">ROUND(D14*10000/C14,0)</f>
        <v>179261</v>
      </c>
      <c r="G14" s="1739" t="str">
        <f>'结果表-商业'!D122</f>
        <v>——</v>
      </c>
      <c r="H14" s="1739">
        <f ca="1">'结果表-商业'!D124</f>
        <v>2982</v>
      </c>
      <c r="I14" s="1739" t="str">
        <f>'结果表-商业'!D126</f>
        <v>——</v>
      </c>
      <c r="J14" s="1738"/>
    </row>
    <row r="15" spans="1:10" ht="16.5">
      <c r="A15" s="1737" t="s">
        <v>1349</v>
      </c>
      <c r="B15" s="2993">
        <f>'数据-汇总表'!F22</f>
        <v>106.79</v>
      </c>
      <c r="C15" s="2993">
        <v>0</v>
      </c>
      <c r="D15" s="2993">
        <f ca="1">'结果表-办公'!H101</f>
        <v>405</v>
      </c>
      <c r="E15" s="1739">
        <f t="shared" ref="E15:E23" ca="1" si="0">ROUND(D15*10000/B15,0)</f>
        <v>37925</v>
      </c>
      <c r="F15" s="1739" t="e">
        <f t="shared" ref="F15:F23" ca="1" si="1">ROUND(D15*10000/C15,0)</f>
        <v>#DIV/0!</v>
      </c>
      <c r="G15" s="2993"/>
      <c r="H15" s="2993">
        <f ca="1">D15</f>
        <v>405</v>
      </c>
      <c r="I15" s="2993"/>
      <c r="J15" s="1738"/>
    </row>
    <row r="16" spans="1:10" ht="16.5">
      <c r="A16" s="1737" t="s">
        <v>1348</v>
      </c>
      <c r="B16" s="2993">
        <f>'典型户型修正-商业'!B22-B14</f>
        <v>13386.309999999998</v>
      </c>
      <c r="C16" s="2993">
        <v>0</v>
      </c>
      <c r="D16" s="2993">
        <f ca="1">'典型户型修正-商业'!S22-D14</f>
        <v>51441</v>
      </c>
      <c r="E16" s="1739">
        <f t="shared" ca="1" si="0"/>
        <v>38428</v>
      </c>
      <c r="F16" s="1739" t="e">
        <f t="shared" ca="1" si="1"/>
        <v>#DIV/0!</v>
      </c>
      <c r="G16" s="1745"/>
      <c r="H16" s="1745"/>
      <c r="I16" s="1744"/>
    </row>
    <row r="17" spans="1:9" ht="16.5">
      <c r="A17" s="1737" t="s">
        <v>1347</v>
      </c>
      <c r="B17" s="2993">
        <f>'典型户型修正-办公'!B22-B15</f>
        <v>28249.879999999972</v>
      </c>
      <c r="C17" s="2993">
        <v>0</v>
      </c>
      <c r="D17" s="2993">
        <f ca="1">'典型户型修正-办公'!S22-D15</f>
        <v>115746</v>
      </c>
      <c r="E17" s="1739">
        <f t="shared" ca="1" si="0"/>
        <v>40972</v>
      </c>
      <c r="F17" s="1739" t="e">
        <f t="shared" ca="1"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5" zoomScaleNormal="100" zoomScaleSheetLayoutView="100" zoomScalePageLayoutView="80" workbookViewId="0">
      <selection activeCell="H101" sqref="H10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2119</v>
      </c>
      <c r="B1" s="2413"/>
      <c r="C1" s="2414" t="s">
        <v>4104</v>
      </c>
      <c r="D1" s="2413"/>
      <c r="E1" s="2413"/>
      <c r="F1" s="2415" t="s">
        <v>2120</v>
      </c>
      <c r="G1" s="2065" t="s">
        <v>3052</v>
      </c>
      <c r="H1" s="2416" t="str">
        <f>IF(G1="现房","——","估价对象范围")</f>
        <v>——</v>
      </c>
      <c r="I1" s="2417" t="s">
        <v>3705</v>
      </c>
    </row>
    <row r="2" spans="1:12" ht="21.75" customHeight="1" thickBot="1">
      <c r="A2" s="3194" t="str">
        <f>项目基本情况!S2</f>
        <v>北京市通州区临河里1号楼1-3层商业用房、1单元4-18层办公用房房地产</v>
      </c>
      <c r="B2" s="3195"/>
      <c r="C2" s="3195"/>
      <c r="D2" s="3195"/>
      <c r="E2" s="3195"/>
      <c r="F2" s="3195"/>
      <c r="G2" s="3195"/>
      <c r="H2" s="3195"/>
      <c r="I2" s="3196"/>
    </row>
    <row r="3" spans="1:12" ht="12.75">
      <c r="A3" s="3197" t="s">
        <v>2121</v>
      </c>
      <c r="B3" s="3198"/>
      <c r="C3" s="3198"/>
      <c r="D3" s="3198"/>
      <c r="E3" s="3198"/>
      <c r="F3" s="3198"/>
      <c r="G3" s="3198"/>
      <c r="H3" s="3198"/>
      <c r="I3" s="3198"/>
    </row>
    <row r="4" spans="1:12" ht="14.25">
      <c r="A4" s="2420" t="s">
        <v>2122</v>
      </c>
      <c r="B4" s="2421" t="s">
        <v>2123</v>
      </c>
      <c r="C4" s="2422" t="s">
        <v>4107</v>
      </c>
      <c r="D4" s="2422" t="s">
        <v>3075</v>
      </c>
      <c r="E4" s="3178" t="s">
        <v>2124</v>
      </c>
      <c r="F4" s="3191"/>
      <c r="G4" s="3191"/>
      <c r="H4" s="3191"/>
      <c r="I4" s="3179"/>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69" t="s">
        <v>2125</v>
      </c>
      <c r="B5" s="3095">
        <v>25</v>
      </c>
      <c r="C5" s="3199"/>
      <c r="D5" s="3187"/>
      <c r="E5" s="140" t="s">
        <v>2126</v>
      </c>
      <c r="F5" s="2424"/>
      <c r="G5" s="2424"/>
      <c r="H5" s="2424"/>
      <c r="I5" s="1829"/>
    </row>
    <row r="6" spans="1:12" ht="12.75">
      <c r="A6" s="3169"/>
      <c r="B6" s="3095"/>
      <c r="C6" s="3201"/>
      <c r="D6" s="3187"/>
      <c r="E6" s="140" t="s">
        <v>2127</v>
      </c>
      <c r="F6" s="2424"/>
      <c r="G6" s="2424"/>
      <c r="H6" s="2424"/>
      <c r="I6" s="1829"/>
    </row>
    <row r="7" spans="1:12" ht="12.75">
      <c r="A7" s="3169"/>
      <c r="B7" s="3095"/>
      <c r="C7" s="3200"/>
      <c r="D7" s="3187"/>
      <c r="E7" s="140" t="s">
        <v>2128</v>
      </c>
      <c r="F7" s="2424"/>
      <c r="G7" s="2424"/>
      <c r="H7" s="2424"/>
      <c r="I7" s="1829"/>
    </row>
    <row r="8" spans="1:12" ht="12.75">
      <c r="A8" s="3169" t="s">
        <v>2129</v>
      </c>
      <c r="B8" s="3095">
        <v>15</v>
      </c>
      <c r="C8" s="3199"/>
      <c r="D8" s="3187"/>
      <c r="E8" s="140" t="s">
        <v>2130</v>
      </c>
      <c r="F8" s="2424"/>
      <c r="G8" s="2424"/>
      <c r="H8" s="2424"/>
      <c r="I8" s="1829"/>
    </row>
    <row r="9" spans="1:12" ht="12.75">
      <c r="A9" s="3169"/>
      <c r="B9" s="3095"/>
      <c r="C9" s="3200"/>
      <c r="D9" s="3187"/>
      <c r="E9" s="140" t="s">
        <v>2131</v>
      </c>
      <c r="F9" s="2424"/>
      <c r="G9" s="2424"/>
      <c r="H9" s="2424"/>
      <c r="I9" s="1829"/>
    </row>
    <row r="10" spans="1:12" ht="12.75">
      <c r="A10" s="3169" t="s">
        <v>2132</v>
      </c>
      <c r="B10" s="3095">
        <v>15</v>
      </c>
      <c r="C10" s="3199"/>
      <c r="D10" s="3187"/>
      <c r="E10" s="140" t="s">
        <v>2133</v>
      </c>
      <c r="F10" s="2424"/>
      <c r="G10" s="2424"/>
      <c r="H10" s="2424"/>
      <c r="I10" s="1829"/>
    </row>
    <row r="11" spans="1:12" ht="12.75">
      <c r="A11" s="3169"/>
      <c r="B11" s="3095"/>
      <c r="C11" s="3200"/>
      <c r="D11" s="3187"/>
      <c r="E11" s="140" t="s">
        <v>2134</v>
      </c>
      <c r="F11" s="2424"/>
      <c r="G11" s="2424"/>
      <c r="H11" s="2424"/>
      <c r="I11" s="1829"/>
    </row>
    <row r="12" spans="1:12" ht="12.75">
      <c r="A12" s="3169" t="s">
        <v>2135</v>
      </c>
      <c r="B12" s="3095">
        <v>15</v>
      </c>
      <c r="C12" s="3199"/>
      <c r="D12" s="3187"/>
      <c r="E12" s="140" t="s">
        <v>2136</v>
      </c>
      <c r="F12" s="2424"/>
      <c r="G12" s="2424"/>
      <c r="H12" s="2424"/>
      <c r="I12" s="1829"/>
    </row>
    <row r="13" spans="1:12" ht="12.75">
      <c r="A13" s="3169"/>
      <c r="B13" s="3095"/>
      <c r="C13" s="3200"/>
      <c r="D13" s="3187"/>
      <c r="E13" s="140" t="s">
        <v>2137</v>
      </c>
      <c r="F13" s="2424"/>
      <c r="G13" s="2424"/>
      <c r="H13" s="2424"/>
      <c r="I13" s="1829"/>
    </row>
    <row r="14" spans="1:12" ht="12.75">
      <c r="A14" s="3169" t="s">
        <v>2138</v>
      </c>
      <c r="B14" s="3095">
        <v>30</v>
      </c>
      <c r="C14" s="3199">
        <v>5</v>
      </c>
      <c r="D14" s="3187">
        <v>5</v>
      </c>
      <c r="E14" s="140" t="s">
        <v>2139</v>
      </c>
      <c r="F14" s="2424"/>
      <c r="G14" s="2424"/>
      <c r="H14" s="2424"/>
      <c r="I14" s="1829"/>
    </row>
    <row r="15" spans="1:12" ht="12.75">
      <c r="A15" s="3169"/>
      <c r="B15" s="3095"/>
      <c r="C15" s="3201"/>
      <c r="D15" s="3187"/>
      <c r="E15" s="140" t="s">
        <v>2140</v>
      </c>
      <c r="F15" s="2424"/>
      <c r="G15" s="2424"/>
      <c r="H15" s="2424"/>
      <c r="I15" s="1829"/>
    </row>
    <row r="16" spans="1:12" ht="12.75">
      <c r="A16" s="3169"/>
      <c r="B16" s="3095"/>
      <c r="C16" s="3200"/>
      <c r="D16" s="3187"/>
      <c r="E16" s="140" t="s">
        <v>2141</v>
      </c>
      <c r="F16" s="2424"/>
      <c r="G16" s="2424"/>
      <c r="H16" s="2424"/>
      <c r="I16" s="1829"/>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582.23</v>
      </c>
      <c r="M18" s="2423">
        <f>IF(C1="",'数据-汇总表'!E3,SUMIF(项目类型,C1,'数据-汇总表'!E17:E26))</f>
        <v>582.23</v>
      </c>
    </row>
    <row r="19" spans="1:35" ht="15">
      <c r="A19" s="2429" t="s">
        <v>2147</v>
      </c>
      <c r="B19" s="2430" t="s">
        <v>2148</v>
      </c>
      <c r="C19" s="143">
        <f ca="1">SUMIF(INDIRECT("'"&amp;C4&amp;"'"&amp;"!A:A"),'结果表-商业'!B19,INDIRECT("'"&amp;C4&amp;"'"&amp;"!B:B"))</f>
        <v>3103</v>
      </c>
      <c r="D19" s="144">
        <f ca="1">SUMIF(INDIRECT("'"&amp;D4&amp;"'"&amp;"!A:A"),'结果表-商业'!B19,INDIRECT("'"&amp;D4&amp;"'"&amp;"!B:B"))</f>
        <v>2860</v>
      </c>
      <c r="E19" s="2429" t="s">
        <v>2149</v>
      </c>
      <c r="F19" s="2430" t="s">
        <v>2148</v>
      </c>
      <c r="G19" s="145">
        <f ca="1">ROUND(C19*$C$18+D19*$D$18,0)</f>
        <v>2982</v>
      </c>
      <c r="H19" s="2431" t="s">
        <v>2150</v>
      </c>
      <c r="I19" s="138"/>
      <c r="K19" s="2423" t="s">
        <v>2151</v>
      </c>
      <c r="L19" s="2423">
        <f>IF(C1="",'数据-汇总表'!D3,SUMIF(项目类型,C1,'数据-汇总表'!D17:D26)+SUMIF(项目类型,C1,'数据-汇总表'!H17:H27))</f>
        <v>166.35</v>
      </c>
      <c r="M19" s="2423">
        <f>IF(C1="",'数据-汇总表'!D3,SUMIF(项目类型,C1,'数据-汇总表'!D17:D26))</f>
        <v>166.35</v>
      </c>
    </row>
    <row r="20" spans="1:35" ht="15">
      <c r="A20" s="2432"/>
      <c r="B20" s="1246" t="s">
        <v>2152</v>
      </c>
      <c r="C20" s="146">
        <f ca="1">SUMIF(INDIRECT("'"&amp;C4&amp;"'"&amp;"!A:A"),'结果表-商业'!B20,INDIRECT("'"&amp;C4&amp;"'"&amp;"!B:B"))</f>
        <v>53289</v>
      </c>
      <c r="D20" s="147">
        <f ca="1">SUMIF(INDIRECT("'"&amp;D4&amp;"'"&amp;"!A:A"),'结果表-商业'!B20,INDIRECT("'"&amp;D4&amp;"'"&amp;"!B:B"))</f>
        <v>49117</v>
      </c>
      <c r="E20" s="2432"/>
      <c r="F20" s="1246" t="s">
        <v>2152</v>
      </c>
      <c r="G20" s="148">
        <f ca="1">ROUND(C20*$C$18+D20*$D$18,0)</f>
        <v>51203</v>
      </c>
      <c r="H20" s="979" t="s">
        <v>2153</v>
      </c>
      <c r="I20" s="138"/>
    </row>
    <row r="21" spans="1:35" ht="15" customHeight="1" thickBot="1">
      <c r="A21" s="999"/>
      <c r="B21" s="2433" t="s">
        <v>2154</v>
      </c>
      <c r="C21" s="788">
        <f ca="1">ROUND(C19*10000/L19,0)</f>
        <v>186534</v>
      </c>
      <c r="D21" s="789">
        <f ca="1">ROUND(D19*10000/L19,0)</f>
        <v>171927</v>
      </c>
      <c r="E21" s="999"/>
      <c r="F21" s="2433" t="s">
        <v>2154</v>
      </c>
      <c r="G21" s="149">
        <f ca="1">ROUND(G19*10000/L19,0)</f>
        <v>179261</v>
      </c>
      <c r="H21" s="2434" t="s">
        <v>2153</v>
      </c>
      <c r="I21" s="138"/>
    </row>
    <row r="22" spans="1:35" ht="15" thickBot="1">
      <c r="A22" s="2275" t="s">
        <v>2155</v>
      </c>
      <c r="B22" s="2435"/>
      <c r="C22" s="2436"/>
      <c r="D22" s="790">
        <f ca="1">IF(C19&lt;D19,D19/C19-1,C19/D19-1)</f>
        <v>8.4965034965035047E-2</v>
      </c>
      <c r="E22" s="138"/>
      <c r="F22" s="138"/>
      <c r="G22" s="138">
        <f ca="1">'结果表-办公'!G19</f>
        <v>405</v>
      </c>
      <c r="H22" s="138"/>
      <c r="I22" s="138"/>
    </row>
    <row r="23" spans="1:35" ht="13.5" thickBot="1">
      <c r="A23" s="2413"/>
      <c r="B23" s="2413"/>
      <c r="C23" s="2413"/>
      <c r="D23" s="2413"/>
      <c r="E23" s="138"/>
      <c r="F23" s="138"/>
      <c r="G23" s="138">
        <f ca="1">G19+G22</f>
        <v>3387</v>
      </c>
      <c r="H23" s="138"/>
      <c r="I23" s="138"/>
    </row>
    <row r="24" spans="1:35" ht="14.25">
      <c r="A24" s="3208" t="s">
        <v>2156</v>
      </c>
      <c r="B24" s="2430" t="s">
        <v>2148</v>
      </c>
      <c r="C24" s="145">
        <f>IF(B30=0,0,D30)</f>
        <v>0</v>
      </c>
      <c r="D24" s="2437"/>
      <c r="E24" s="138"/>
      <c r="F24" s="138"/>
      <c r="G24" s="138"/>
      <c r="H24" s="138"/>
      <c r="I24" s="138"/>
    </row>
    <row r="25" spans="1:35" ht="14.25">
      <c r="A25" s="3209"/>
      <c r="B25" s="1246"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c r="C30" s="151"/>
      <c r="D30" s="151"/>
      <c r="E30" s="2922" t="s">
        <v>3033</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2162</v>
      </c>
      <c r="B32" s="2443"/>
      <c r="C32" s="153">
        <f ca="1">IF(D32="总价",G19-C24,G20-C25)</f>
        <v>2982</v>
      </c>
      <c r="D32" s="2444" t="s">
        <v>2163</v>
      </c>
      <c r="E32" s="138"/>
      <c r="F32" s="138"/>
      <c r="G32" s="138"/>
      <c r="H32" s="138"/>
      <c r="I32" s="138"/>
    </row>
    <row r="33" spans="1:15" ht="15">
      <c r="A33" s="956" t="s">
        <v>2164</v>
      </c>
      <c r="B33" s="2445"/>
      <c r="C33" s="2446" t="s">
        <v>3137</v>
      </c>
      <c r="D33" s="2447" t="s">
        <v>3102</v>
      </c>
      <c r="E33" s="2448" t="s">
        <v>2165</v>
      </c>
      <c r="F33" s="2449" t="str">
        <f>IF(D32="楼面单价","取值（单价）","取值（总价）")</f>
        <v>取值（总价）</v>
      </c>
      <c r="G33" s="138"/>
      <c r="H33" s="138"/>
      <c r="I33" s="138"/>
    </row>
    <row r="34" spans="1:15" ht="15">
      <c r="A34" s="2450"/>
      <c r="B34" s="2451" t="s">
        <v>2166</v>
      </c>
      <c r="C34" s="157">
        <f ca="1">IF(C33="自定义",F34,C32-C35)</f>
        <v>2389</v>
      </c>
      <c r="D34" s="1054">
        <f ca="1">IF(C33="自定义",ROUND(C34/C32,3),IF(C33="收益比率",SUMIF(INDIRECT("'"&amp;D33&amp;"'"&amp;"!b:b"),"土地收益比率",INDIRECT("'"&amp;D33&amp;"'"&amp;"!c:c")),SUMIF(INDIRECT("'"&amp;D33&amp;"'"&amp;"!b:b"),"土地成本比率",INDIRECT("'"&amp;D33&amp;"'"&amp;"!c:c"))))</f>
        <v>0.80099999999999993</v>
      </c>
      <c r="E34" s="2452" t="s">
        <v>2167</v>
      </c>
      <c r="F34" s="1734"/>
      <c r="G34" s="138"/>
      <c r="H34" s="138"/>
      <c r="I34" s="138"/>
    </row>
    <row r="35" spans="1:15" ht="15.75" thickBot="1">
      <c r="A35" s="2453"/>
      <c r="B35" s="2454" t="s">
        <v>2168</v>
      </c>
      <c r="C35" s="1440">
        <f ca="1">IF(C33="自定义",F35,ROUND(C32*D35,0))</f>
        <v>593</v>
      </c>
      <c r="D35" s="1441">
        <f ca="1">IF(C33="自定义",ROUND(C35/C32,3),IF(C33="收益比率",SUMIF(INDIRECT("'"&amp;D33&amp;"'"&amp;"!b:b"),"建筑物收益比率",INDIRECT("'"&amp;D33&amp;"'"&amp;"!c:c")),SUMIF(INDIRECT("'"&amp;D33&amp;"'"&amp;"!b:b"),"建筑物成本比率",INDIRECT("'"&amp;D33&amp;"'"&amp;"!c:c"))))</f>
        <v>0.19900000000000001</v>
      </c>
      <c r="E35" s="2455" t="s">
        <v>2169</v>
      </c>
      <c r="F35" s="163"/>
      <c r="G35" s="138"/>
      <c r="H35" s="138"/>
      <c r="I35" s="138"/>
    </row>
    <row r="36" spans="1:15" ht="15.75" thickBot="1">
      <c r="A36" s="3188" t="s">
        <v>2170</v>
      </c>
      <c r="B36" s="2456" t="s">
        <v>2171</v>
      </c>
      <c r="C36" s="154"/>
      <c r="D36" s="2457"/>
      <c r="E36" s="2458"/>
      <c r="F36" s="2459"/>
      <c r="G36" s="138"/>
      <c r="H36" s="138"/>
      <c r="I36" s="138"/>
    </row>
    <row r="37" spans="1:15" ht="15.75" thickBot="1">
      <c r="A37" s="3189"/>
      <c r="B37" s="2261" t="s">
        <v>2172</v>
      </c>
      <c r="C37" s="156"/>
      <c r="D37" s="1391"/>
      <c r="E37" s="1391"/>
      <c r="F37" s="2459"/>
      <c r="G37" s="138"/>
      <c r="H37" s="138"/>
      <c r="I37" s="138"/>
    </row>
    <row r="38" spans="1:15" ht="15.75" thickBot="1">
      <c r="A38" s="3190"/>
      <c r="B38" s="2460" t="s">
        <v>2173</v>
      </c>
      <c r="C38" s="726"/>
      <c r="D38" s="2461" t="s">
        <v>2174</v>
      </c>
      <c r="E38" s="1391"/>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205" t="s">
        <v>2184</v>
      </c>
      <c r="B45" s="3206"/>
      <c r="C45" s="3207"/>
      <c r="D45" s="164">
        <f ca="1">ROUND(H101*F45,0)</f>
        <v>2982</v>
      </c>
      <c r="E45" s="165" t="s">
        <v>2185</v>
      </c>
      <c r="F45" s="166">
        <v>1</v>
      </c>
      <c r="G45" s="167" t="s">
        <v>2186</v>
      </c>
      <c r="H45" s="138"/>
      <c r="I45" s="138"/>
      <c r="J45" s="3124" t="s">
        <v>2187</v>
      </c>
      <c r="K45" s="3124"/>
      <c r="L45" s="3124"/>
      <c r="M45" s="3124"/>
      <c r="N45" s="3124"/>
      <c r="O45" s="3124"/>
    </row>
    <row r="46" spans="1:15" ht="14.25" customHeight="1">
      <c r="A46" s="3202" t="s">
        <v>2188</v>
      </c>
      <c r="B46" s="3203"/>
      <c r="C46" s="3203"/>
      <c r="D46" s="3203"/>
      <c r="E46" s="3203"/>
      <c r="F46" s="3203"/>
      <c r="G46" s="3204"/>
      <c r="H46" s="2475"/>
      <c r="I46" s="168"/>
      <c r="J46" s="1807">
        <v>1</v>
      </c>
      <c r="K46" s="3124" t="s">
        <v>2189</v>
      </c>
      <c r="L46" s="3124"/>
      <c r="M46" s="3125"/>
      <c r="N46" s="3125"/>
      <c r="O46" s="3125"/>
    </row>
    <row r="47" spans="1:15" ht="12" customHeight="1">
      <c r="A47" s="169" t="s">
        <v>2190</v>
      </c>
      <c r="B47" s="170"/>
      <c r="C47" s="171"/>
      <c r="D47" s="172" t="s">
        <v>2191</v>
      </c>
      <c r="E47" s="24" t="s">
        <v>2192</v>
      </c>
      <c r="F47" s="173" t="s">
        <v>2193</v>
      </c>
      <c r="G47" s="174" t="s">
        <v>2194</v>
      </c>
      <c r="H47" s="2475"/>
      <c r="I47" s="168"/>
      <c r="J47" s="1807">
        <v>2</v>
      </c>
      <c r="K47" s="3124" t="s">
        <v>2195</v>
      </c>
      <c r="L47" s="3124"/>
      <c r="M47" s="3126">
        <f>'数据-取费表'!B2</f>
        <v>43228</v>
      </c>
      <c r="N47" s="3126"/>
      <c r="O47" s="3126"/>
    </row>
    <row r="48" spans="1:15" ht="25.5">
      <c r="A48" s="3192" t="s">
        <v>2196</v>
      </c>
      <c r="B48" s="3193"/>
      <c r="C48" s="3193"/>
      <c r="D48" s="140">
        <f>IF(H48="情况1",0,IF(H48="情况2",D52,IF(H48="情况3",D53,IF(H48="情况4",D54))))</f>
        <v>0</v>
      </c>
      <c r="E48" s="1796" t="str">
        <f>IF(H48="情况4","(销售额-原购置价)×税（费）率","销售额×税（费）率")</f>
        <v>销售额×税（费）率</v>
      </c>
      <c r="F48" s="175" t="str">
        <f>IF(H48="情况1","免征",'数据-取费表'!B41)</f>
        <v>免征</v>
      </c>
      <c r="G48" s="2476" t="s">
        <v>2197</v>
      </c>
      <c r="H48" s="2477" t="s">
        <v>2198</v>
      </c>
      <c r="I48" s="2475"/>
      <c r="J48" s="1807">
        <v>3</v>
      </c>
      <c r="K48" s="3124" t="s">
        <v>2199</v>
      </c>
      <c r="L48" s="3124"/>
      <c r="M48" s="3127">
        <f ca="1">H101</f>
        <v>2982</v>
      </c>
      <c r="N48" s="3127"/>
      <c r="O48" s="3127"/>
    </row>
    <row r="49" spans="1:35" ht="25.5" customHeight="1">
      <c r="A49" s="176" t="s">
        <v>2200</v>
      </c>
      <c r="B49" s="3172" t="s">
        <v>2201</v>
      </c>
      <c r="C49" s="3172"/>
      <c r="D49" s="177">
        <v>0</v>
      </c>
      <c r="E49" s="23" t="s">
        <v>2202</v>
      </c>
      <c r="F49" s="28" t="s">
        <v>34</v>
      </c>
      <c r="G49" s="3153"/>
      <c r="H49" s="138"/>
      <c r="I49" s="2478"/>
      <c r="J49" s="1807">
        <v>4</v>
      </c>
      <c r="K49" s="3124" t="str">
        <f>IF(项目基本情况!E8="房地产抵押价值","房地产抵押价值","抵押担保权已注销时的房地产抵押价值")</f>
        <v>抵押担保权已注销时的房地产抵押价值</v>
      </c>
      <c r="L49" s="3124"/>
      <c r="M49" s="3127">
        <f ca="1">IF(项目基本情况!E8="房地产抵押价值",H107,H109)</f>
        <v>2982</v>
      </c>
      <c r="N49" s="3127"/>
      <c r="O49" s="3127"/>
    </row>
    <row r="50" spans="1:35" ht="25.5" customHeight="1">
      <c r="A50" s="178"/>
      <c r="B50" s="3172" t="s">
        <v>2203</v>
      </c>
      <c r="C50" s="3172"/>
      <c r="D50" s="179"/>
      <c r="E50" s="31"/>
      <c r="F50" s="180"/>
      <c r="G50" s="3154"/>
      <c r="H50" s="138"/>
      <c r="I50" s="2478"/>
      <c r="J50" s="3124" t="s">
        <v>2204</v>
      </c>
      <c r="K50" s="3124"/>
      <c r="L50" s="3124"/>
      <c r="M50" s="3124"/>
      <c r="N50" s="3124"/>
      <c r="O50" s="3124"/>
    </row>
    <row r="51" spans="1:35" ht="12" customHeight="1">
      <c r="A51" s="181"/>
      <c r="B51" s="3172" t="s">
        <v>2205</v>
      </c>
      <c r="C51" s="3172"/>
      <c r="D51" s="182"/>
      <c r="E51" s="30"/>
      <c r="F51" s="180"/>
      <c r="G51" s="3155"/>
      <c r="H51" s="138"/>
      <c r="I51" s="2478"/>
      <c r="J51" s="2479" t="s">
        <v>2206</v>
      </c>
      <c r="K51" s="3124" t="s">
        <v>2207</v>
      </c>
      <c r="L51" s="3124"/>
      <c r="M51" s="2479" t="s">
        <v>2208</v>
      </c>
      <c r="N51" s="2479" t="s">
        <v>2209</v>
      </c>
      <c r="O51" s="2479" t="s">
        <v>2210</v>
      </c>
    </row>
    <row r="52" spans="1:35" ht="24" customHeight="1">
      <c r="A52" s="183" t="s">
        <v>2211</v>
      </c>
      <c r="B52" s="3172" t="s">
        <v>2212</v>
      </c>
      <c r="C52" s="3172"/>
      <c r="D52" s="182">
        <f ca="1">ROUND(D45*'数据-取费表'!B41/(1+'数据-取费表'!C42),0)</f>
        <v>159</v>
      </c>
      <c r="E52" s="11" t="s">
        <v>2213</v>
      </c>
      <c r="F52" s="184">
        <f>'数据-取费表'!B41</f>
        <v>5.6000000000000001E-2</v>
      </c>
      <c r="G52" s="2480"/>
      <c r="H52" s="138"/>
      <c r="I52" s="2478"/>
      <c r="J52" s="1807">
        <v>1</v>
      </c>
      <c r="K52" s="3147" t="s">
        <v>2214</v>
      </c>
      <c r="L52" s="3147"/>
      <c r="M52" s="1749">
        <f>D48</f>
        <v>0</v>
      </c>
      <c r="N52" s="1807" t="str">
        <f>E48</f>
        <v>销售额×税（费）率</v>
      </c>
      <c r="O52" s="1750" t="str">
        <f>F48</f>
        <v>免征</v>
      </c>
    </row>
    <row r="53" spans="1:35" ht="12" customHeight="1">
      <c r="A53" s="183" t="s">
        <v>2215</v>
      </c>
      <c r="B53" s="3173" t="s">
        <v>2216</v>
      </c>
      <c r="C53" s="3174"/>
      <c r="D53" s="182">
        <f ca="1">ROUND(D45*'数据-取费表'!B41/(1+'数据-取费表'!C42),0)</f>
        <v>159</v>
      </c>
      <c r="E53" s="11" t="s">
        <v>2213</v>
      </c>
      <c r="F53" s="184">
        <f>'数据-取费表'!B41</f>
        <v>5.6000000000000001E-2</v>
      </c>
      <c r="G53" s="2480"/>
      <c r="H53" s="138"/>
      <c r="I53" s="2478"/>
      <c r="J53" s="1807">
        <v>2</v>
      </c>
      <c r="K53" s="3147" t="s">
        <v>2217</v>
      </c>
      <c r="L53" s="3147"/>
      <c r="M53" s="1749">
        <f t="shared" ref="M53:O54" ca="1" si="0">D55</f>
        <v>1</v>
      </c>
      <c r="N53" s="1807" t="str">
        <f t="shared" si="0"/>
        <v>销售额×税（费）率</v>
      </c>
      <c r="O53" s="1750">
        <f t="shared" si="0"/>
        <v>5.0000000000000001E-4</v>
      </c>
    </row>
    <row r="54" spans="1:35" ht="12" customHeight="1">
      <c r="A54" s="183" t="s">
        <v>2218</v>
      </c>
      <c r="B54" s="3173" t="s">
        <v>2219</v>
      </c>
      <c r="C54" s="3174"/>
      <c r="D54" s="182">
        <f ca="1">C68</f>
        <v>159</v>
      </c>
      <c r="E54" s="30" t="s">
        <v>2220</v>
      </c>
      <c r="F54" s="184">
        <f>'数据-取费表'!B41</f>
        <v>5.6000000000000001E-2</v>
      </c>
      <c r="G54" s="2480"/>
      <c r="H54" s="2481"/>
      <c r="I54" s="2478"/>
      <c r="J54" s="1807">
        <v>3</v>
      </c>
      <c r="K54" s="3147" t="s">
        <v>2221</v>
      </c>
      <c r="L54" s="3147"/>
      <c r="M54" s="1749">
        <f t="shared" ca="1" si="0"/>
        <v>1688</v>
      </c>
      <c r="N54" s="1807" t="str">
        <f t="shared" si="0"/>
        <v>增值额×税（费）率</v>
      </c>
      <c r="O54" s="1751" t="str">
        <f t="shared" si="0"/>
        <v>——</v>
      </c>
    </row>
    <row r="55" spans="1:35" ht="24" customHeight="1">
      <c r="A55" s="3211" t="s">
        <v>2222</v>
      </c>
      <c r="B55" s="3193"/>
      <c r="C55" s="3193"/>
      <c r="D55" s="185">
        <f ca="1">IF(H55="个人住宅",0,ROUND(D45*I55,0))</f>
        <v>1</v>
      </c>
      <c r="E55" s="11" t="s">
        <v>2223</v>
      </c>
      <c r="F55" s="184">
        <f>IF(H55="正常",I55,"免征")</f>
        <v>5.0000000000000001E-4</v>
      </c>
      <c r="G55" s="2480"/>
      <c r="H55" s="2477" t="s">
        <v>2224</v>
      </c>
      <c r="I55" s="186">
        <f>'数据-取费表'!B49</f>
        <v>5.0000000000000001E-4</v>
      </c>
      <c r="J55" s="1807" t="str">
        <f>IF(H59="非个人房产","",4)</f>
        <v/>
      </c>
      <c r="K55" s="3147" t="str">
        <f>IF(H59="非个人房产","——","个人所得税")</f>
        <v>——</v>
      </c>
      <c r="L55" s="3147"/>
      <c r="M55" s="1752" t="str">
        <f>D59</f>
        <v>——</v>
      </c>
      <c r="N55" s="1805" t="str">
        <f>E59</f>
        <v>——</v>
      </c>
      <c r="O55" s="1753" t="str">
        <f>F59</f>
        <v>——</v>
      </c>
    </row>
    <row r="56" spans="1:35" ht="24.75">
      <c r="A56" s="3211" t="s">
        <v>2225</v>
      </c>
      <c r="B56" s="3193"/>
      <c r="C56" s="3193"/>
      <c r="D56" s="185">
        <f ca="1">IF(H56="个人住宅",D57,D58)</f>
        <v>1688</v>
      </c>
      <c r="E56" s="11" t="s">
        <v>2226</v>
      </c>
      <c r="F56" s="184" t="str">
        <f>IF(H56="正常",F58,"免征")</f>
        <v>——</v>
      </c>
      <c r="G56" s="2482" t="s">
        <v>2227</v>
      </c>
      <c r="H56" s="2483" t="s">
        <v>2224</v>
      </c>
      <c r="I56" s="2484"/>
      <c r="J56" s="1807" t="str">
        <f>IF(项目基本情况!K6="上海银行",IF(J55="",4,J55+1),"")</f>
        <v/>
      </c>
      <c r="K56" s="3130" t="str">
        <f>IF(项目基本情况!K6="上海银行","其他处置费用","")</f>
        <v/>
      </c>
      <c r="L56" s="3131"/>
      <c r="M56" s="1749" t="str">
        <f>IF(项目基本情况!K6="上海银行",M69,"")</f>
        <v/>
      </c>
      <c r="N56" s="3133" t="str">
        <f>IF(项目基本情况!K6="上海银行","包含处置中涉及的律师、诉讼、拍卖、评估等费用","")</f>
        <v/>
      </c>
      <c r="O56" s="3134"/>
    </row>
    <row r="57" spans="1:35" ht="12.75">
      <c r="A57" s="183" t="s">
        <v>2200</v>
      </c>
      <c r="B57" s="3178" t="s">
        <v>2228</v>
      </c>
      <c r="C57" s="3179"/>
      <c r="D57" s="187">
        <v>0</v>
      </c>
      <c r="E57" s="23" t="s">
        <v>2202</v>
      </c>
      <c r="F57" s="155"/>
      <c r="G57" s="2480"/>
      <c r="H57" s="2484"/>
      <c r="I57" s="2484"/>
      <c r="J57" s="3147">
        <f>IF(AND(J55="",J56=""),4,IF(项目基本情况!K6="上海银行",'结果表-商业'!J56+1,'结果表-商业'!J55+1))</f>
        <v>4</v>
      </c>
      <c r="K57" s="3147" t="s">
        <v>2229</v>
      </c>
      <c r="L57" s="2485" t="s">
        <v>2230</v>
      </c>
      <c r="M57" s="1754"/>
      <c r="N57" s="1755">
        <f ca="1">SUMIF(M52:M56,"&lt;9e307")</f>
        <v>1689</v>
      </c>
      <c r="O57" s="2486"/>
      <c r="P57" s="1748">
        <f ca="1">N57/M49</f>
        <v>0.5663983903420523</v>
      </c>
    </row>
    <row r="58" spans="1:35" ht="24.75">
      <c r="A58" s="183" t="s">
        <v>2211</v>
      </c>
      <c r="B58" s="3178" t="s">
        <v>2231</v>
      </c>
      <c r="C58" s="3191"/>
      <c r="D58" s="185">
        <f ca="1">IF(H58="转让取得",C81,C97)</f>
        <v>1688</v>
      </c>
      <c r="E58" s="11" t="s">
        <v>2226</v>
      </c>
      <c r="F58" s="24" t="s">
        <v>34</v>
      </c>
      <c r="G58" s="2480"/>
      <c r="H58" s="2483" t="s">
        <v>2232</v>
      </c>
      <c r="I58" s="2484"/>
      <c r="J58" s="3147"/>
      <c r="K58" s="3147"/>
      <c r="L58" s="2485" t="s">
        <v>2233</v>
      </c>
      <c r="M58" s="1756"/>
      <c r="N58" s="2487" t="str">
        <f ca="1">NUMBERSTRING(INT(N57*10000),2)&amp;"元整"</f>
        <v>壹仟陆佰捌拾玖万元整</v>
      </c>
      <c r="O58" s="2488"/>
    </row>
    <row r="59" spans="1:35" ht="24.75" thickBot="1">
      <c r="A59" s="3151" t="s">
        <v>2234</v>
      </c>
      <c r="B59" s="3152"/>
      <c r="C59" s="3152"/>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149">
        <f>J57+1</f>
        <v>5</v>
      </c>
      <c r="K59" s="3147" t="s">
        <v>2236</v>
      </c>
      <c r="L59" s="1807" t="s">
        <v>2230</v>
      </c>
      <c r="M59" s="1757"/>
      <c r="N59" s="1758">
        <f ca="1">M49-N57</f>
        <v>1293</v>
      </c>
      <c r="O59" s="2490"/>
    </row>
    <row r="60" spans="1:35" ht="12" customHeight="1">
      <c r="A60" s="2491"/>
      <c r="B60" s="2413"/>
      <c r="C60" s="2413"/>
      <c r="D60" s="2413"/>
      <c r="E60" s="2161"/>
      <c r="F60" s="2484"/>
      <c r="G60" s="2484"/>
      <c r="H60" s="2492"/>
      <c r="I60" s="138"/>
      <c r="J60" s="3150"/>
      <c r="K60" s="3147"/>
      <c r="L60" s="2485" t="s">
        <v>2233</v>
      </c>
      <c r="M60" s="1756"/>
      <c r="N60" s="2487" t="str">
        <f ca="1">NUMBERSTRING(INT(N59*10000),2)&amp;"元整"</f>
        <v>壹仟贰佰玖拾叁万元整</v>
      </c>
      <c r="O60" s="2488"/>
    </row>
    <row r="61" spans="1:35" ht="13.5" thickBot="1">
      <c r="A61" s="3210" t="s">
        <v>2237</v>
      </c>
      <c r="B61" s="3210"/>
      <c r="C61" s="3210"/>
      <c r="D61" s="3210"/>
      <c r="E61" s="3210"/>
      <c r="F61" s="2484"/>
      <c r="G61" s="2484"/>
      <c r="H61" s="2492"/>
      <c r="I61" s="138"/>
      <c r="J61" s="1807">
        <f>J59+1</f>
        <v>6</v>
      </c>
      <c r="K61" s="3147" t="s">
        <v>2238</v>
      </c>
      <c r="L61" s="3147"/>
      <c r="M61" s="1759"/>
      <c r="N61" s="1760">
        <f ca="1">ROUND(N59*10000/'数据-汇总表'!E3,0)</f>
        <v>305</v>
      </c>
      <c r="O61" s="2493"/>
    </row>
    <row r="62" spans="1:35" ht="12.75">
      <c r="A62" s="3167" t="s">
        <v>2239</v>
      </c>
      <c r="B62" s="3168"/>
      <c r="C62" s="1799"/>
      <c r="D62" s="1799" t="s">
        <v>2240</v>
      </c>
      <c r="E62" s="192" t="s">
        <v>2241</v>
      </c>
      <c r="F62" s="2484"/>
      <c r="G62" s="2484"/>
      <c r="H62" s="2492"/>
      <c r="I62" s="138"/>
    </row>
    <row r="63" spans="1:35" ht="12.75">
      <c r="A63" s="203" t="s">
        <v>775</v>
      </c>
      <c r="B63" s="193" t="s">
        <v>2242</v>
      </c>
      <c r="C63" s="194">
        <f ca="1">ROUND((C64+C65)/(1+'数据-取费表'!C42),0)</f>
        <v>2840</v>
      </c>
      <c r="D63" s="195"/>
      <c r="E63" s="196"/>
      <c r="F63" s="2484"/>
      <c r="G63" s="2484"/>
      <c r="H63" s="2492"/>
      <c r="I63" s="138"/>
      <c r="J63" s="3132" t="s">
        <v>2243</v>
      </c>
      <c r="K63" s="2494" t="s">
        <v>2244</v>
      </c>
      <c r="L63" s="1747">
        <f ca="1">IF(M49&gt;10000,M49*0.5%,IF(AND(M49&gt;1000,M49&lt;=10000),M49*1%,IF(AND(M49&gt;100,M49&lt;=1000),M49*3%,IF(AND(M49&gt;10,M49&lt;=100),M49*5%,M49*8%))))</f>
        <v>29.82</v>
      </c>
      <c r="M63" s="24">
        <f ca="1">ROUND(L63,1)</f>
        <v>29.8</v>
      </c>
      <c r="Z63" s="2418"/>
      <c r="AI63" s="2419"/>
    </row>
    <row r="64" spans="1:35" ht="14.25" customHeight="1">
      <c r="A64" s="197" t="s">
        <v>770</v>
      </c>
      <c r="B64" s="198" t="s">
        <v>2245</v>
      </c>
      <c r="C64" s="199">
        <f ca="1">D45</f>
        <v>2982</v>
      </c>
      <c r="D64" s="200" t="s">
        <v>32</v>
      </c>
      <c r="E64" s="201"/>
      <c r="F64" s="2484"/>
      <c r="G64" s="2484"/>
      <c r="H64" s="2492"/>
      <c r="I64" s="138"/>
      <c r="J64" s="3132"/>
      <c r="K64" s="2494" t="s">
        <v>2246</v>
      </c>
      <c r="L64" s="1747">
        <f ca="1">IF(M49&gt;2000,M49*0.5%,IF(AND(M49&gt;1000,M49&lt;=2000),M49*0.6%,IF(AND(M49&gt;500,M49&lt;=1000),M49*0.7%,IF(AND(M49&gt;200,M49&lt;=500),M49*0.8%,IF(AND(M49&gt;100,M49&lt;=200),M49*0.9%,IF(AND(M49&gt;50,M49&lt;=100),M49*1%,IF(AND(M49&gt;20,M49&lt;=50),M49*1.5%,IF(AND(M49&gt;10,M49&lt;=20),M49*2%,IF(AND(M49&gt;1,M49&lt;=10),M49*2.5%)))))))))</f>
        <v>14.91</v>
      </c>
      <c r="M64" s="24">
        <f t="shared" ref="M64:M65" ca="1" si="1">ROUND(L64,1)</f>
        <v>14.9</v>
      </c>
      <c r="N64" s="138" t="s">
        <v>2247</v>
      </c>
      <c r="Z64" s="2418"/>
      <c r="AI64" s="2419"/>
    </row>
    <row r="65" spans="1:35" ht="14.25" customHeight="1">
      <c r="A65" s="197" t="s">
        <v>771</v>
      </c>
      <c r="B65" s="198" t="s">
        <v>2248</v>
      </c>
      <c r="C65" s="202"/>
      <c r="D65" s="200"/>
      <c r="E65" s="201"/>
      <c r="F65" s="2484"/>
      <c r="G65" s="2484"/>
      <c r="H65" s="2492"/>
      <c r="I65" s="138"/>
      <c r="J65" s="3132"/>
      <c r="K65" s="2494" t="s">
        <v>2249</v>
      </c>
      <c r="L65" s="1747">
        <f ca="1">IF(M49&gt;1000,M49*0.1%,IF(AND(M49&gt;500,M49&lt;=1000),M49*0.5%,IF(AND(M49&gt;50,M49&lt;=500),M49*1%,IF(AND(M49&gt;1,M49&lt;=50),M49*1.5%))))</f>
        <v>2.9820000000000002</v>
      </c>
      <c r="M65" s="24">
        <f t="shared" ca="1" si="1"/>
        <v>3</v>
      </c>
      <c r="N65" s="138" t="s">
        <v>2247</v>
      </c>
      <c r="Z65" s="2418"/>
      <c r="AI65" s="2419"/>
    </row>
    <row r="66" spans="1:35" ht="14.25" customHeight="1">
      <c r="A66" s="203" t="s">
        <v>772</v>
      </c>
      <c r="B66" s="204" t="s">
        <v>2250</v>
      </c>
      <c r="C66" s="205"/>
      <c r="D66" s="206" t="s">
        <v>32</v>
      </c>
      <c r="E66" s="1771" t="s">
        <v>1371</v>
      </c>
      <c r="F66" s="2484"/>
      <c r="G66" s="2484"/>
      <c r="H66" s="2492"/>
      <c r="I66" s="138"/>
      <c r="J66" s="3132"/>
      <c r="K66" s="2494" t="s">
        <v>2251</v>
      </c>
      <c r="L66" s="1747">
        <f ca="1">M49*0.5%</f>
        <v>14.91</v>
      </c>
      <c r="M66" s="24">
        <f ca="1">IF(L66&gt;0.5,0.5,ROUND(L66,0))</f>
        <v>0.5</v>
      </c>
      <c r="N66" s="138" t="s">
        <v>2252</v>
      </c>
      <c r="Z66" s="2418"/>
      <c r="AI66" s="2419"/>
    </row>
    <row r="67" spans="1:35" ht="14.25" customHeight="1">
      <c r="A67" s="203" t="s">
        <v>773</v>
      </c>
      <c r="B67" s="204" t="s">
        <v>2253</v>
      </c>
      <c r="C67" s="207">
        <f ca="1">C63-C66</f>
        <v>2840</v>
      </c>
      <c r="D67" s="200" t="s">
        <v>32</v>
      </c>
      <c r="E67" s="201"/>
      <c r="F67" s="2484"/>
      <c r="G67" s="2484"/>
      <c r="H67" s="2492"/>
      <c r="I67" s="138"/>
      <c r="J67" s="3132"/>
      <c r="K67" s="2494" t="s">
        <v>2254</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2255</v>
      </c>
      <c r="C68" s="210">
        <f ca="1">IF(C67&lt;=0,0,ROUND(C67*D68,0))</f>
        <v>159</v>
      </c>
      <c r="D68" s="211">
        <f>'数据-取费表'!B41</f>
        <v>5.6000000000000001E-2</v>
      </c>
      <c r="E68" s="212"/>
      <c r="F68" s="2484"/>
      <c r="G68" s="2484"/>
      <c r="H68" s="2492"/>
      <c r="I68" s="138"/>
      <c r="J68" s="3132"/>
      <c r="K68" s="2494" t="s">
        <v>2256</v>
      </c>
      <c r="L68" s="1747">
        <f ca="1">IF(M49&gt;10000,M49*0.5%,IF(AND(M49&gt;5000,M49&lt;=10000),M49*1%,IF(AND(M49&gt;1000,M49&lt;=5000),M49*2%,IF(AND(M49&gt;200,M49&lt;=1000),M49*3%,M49*5%))))</f>
        <v>59.64</v>
      </c>
      <c r="M68" s="24">
        <f ca="1">ROUND(L68,1)</f>
        <v>59.6</v>
      </c>
      <c r="Z68" s="2418"/>
      <c r="AI68" s="2419"/>
    </row>
    <row r="69" spans="1:35" s="2441" customFormat="1" ht="16.5" customHeight="1">
      <c r="A69" s="2495"/>
      <c r="B69" s="2496"/>
      <c r="C69" s="2497"/>
      <c r="D69" s="2498"/>
      <c r="E69" s="2499"/>
      <c r="F69" s="2161"/>
      <c r="G69" s="2161"/>
      <c r="H69" s="2160"/>
      <c r="I69" s="2413"/>
      <c r="J69" s="3132"/>
      <c r="K69" s="2494" t="s">
        <v>2257</v>
      </c>
      <c r="L69" s="2500"/>
      <c r="M69" s="24">
        <f ca="1">ROUND(SUM(M63:M68),0)</f>
        <v>110</v>
      </c>
      <c r="N69" s="1748">
        <f ca="1">M69/M49</f>
        <v>3.6887994634473509E-2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76" t="s">
        <v>2258</v>
      </c>
      <c r="B70" s="3177"/>
      <c r="C70" s="3177"/>
      <c r="D70" s="3177"/>
      <c r="E70" s="3177"/>
      <c r="F70" s="3177"/>
      <c r="G70" s="3177"/>
      <c r="H70" s="317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67" t="s">
        <v>2239</v>
      </c>
      <c r="B71" s="3168"/>
      <c r="C71" s="1799"/>
      <c r="D71" s="1799"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2259</v>
      </c>
      <c r="C72" s="207">
        <f ca="1">ROUND(D45/(1+'数据-取费表'!C42),0)</f>
        <v>2840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2260</v>
      </c>
      <c r="C73" s="207">
        <f ca="1">C74+C78</f>
        <v>17</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2261</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2266</v>
      </c>
      <c r="C76" s="200">
        <f>IF(F75="购房发票",ROUND(C75*H75*D76,0),0)</f>
        <v>0</v>
      </c>
      <c r="D76" s="222">
        <v>0.05</v>
      </c>
      <c r="E76" s="3173" t="s">
        <v>2267</v>
      </c>
      <c r="F76" s="3172"/>
      <c r="G76" s="3172"/>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2271</v>
      </c>
      <c r="C78" s="225">
        <f ca="1">ROUND(D45*D78/(1+'数据-取费表'!C42),0)</f>
        <v>17</v>
      </c>
      <c r="D78" s="226">
        <f>'数据-取费表'!B43</f>
        <v>6.000000000000001E-3</v>
      </c>
      <c r="E78" s="3164" t="s">
        <v>2272</v>
      </c>
      <c r="F78" s="3165"/>
      <c r="G78" s="3165"/>
      <c r="H78" s="316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2273</v>
      </c>
      <c r="C79" s="207">
        <f ca="1">C72-C73</f>
        <v>2823</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2274</v>
      </c>
      <c r="C80" s="227">
        <f ca="1">IF(C79&lt;=0,0,C79/C73)</f>
        <v>166.05882352941177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2275</v>
      </c>
      <c r="C81" s="228">
        <f ca="1">ROUND(IF(C79&lt;=0,0,IF(C80&gt;=200%,C79*60%-C73*35%,IF(C80&gt;=100%,C79*50%-C73*15%,IF(C80&gt;=50%,C79*40%-C73*5%,IF(C80&lt;50%,C79*30%,0))))),0)</f>
        <v>1688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6" t="s">
        <v>2276</v>
      </c>
      <c r="B83" s="3177"/>
      <c r="C83" s="3177"/>
      <c r="D83" s="3177"/>
      <c r="E83" s="3177"/>
      <c r="F83" s="3177"/>
      <c r="G83" s="3177"/>
      <c r="H83" s="317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67" t="s">
        <v>2239</v>
      </c>
      <c r="B84" s="3168"/>
      <c r="C84" s="1799"/>
      <c r="D84" s="1799"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2259</v>
      </c>
      <c r="C85" s="207">
        <f ca="1">ROUND(D45/(1+'数据-取费表'!C42),0)</f>
        <v>2840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2260</v>
      </c>
      <c r="C86" s="207">
        <f ca="1">IF(H88="仅含出让金",C87+C90+C91+C92+C93+C94,C87+C91+C92+C93+C94)</f>
        <v>17</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2278</v>
      </c>
      <c r="C88" s="236"/>
      <c r="D88" s="226"/>
      <c r="E88" s="237" t="s">
        <v>2279</v>
      </c>
      <c r="F88" s="1795"/>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2268</v>
      </c>
      <c r="C89" s="225">
        <f>ROUND(C88*D89,0)</f>
        <v>0</v>
      </c>
      <c r="D89" s="226">
        <f>'数据-取费表'!B48+'数据-取费表'!B49</f>
        <v>3.0499999999999999E-2</v>
      </c>
      <c r="E89" s="237" t="s">
        <v>2281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2283</v>
      </c>
      <c r="B91" s="198" t="s">
        <v>2284</v>
      </c>
      <c r="C91" s="225">
        <f>IF(H91="——",成本法!C33,I91)</f>
        <v>0</v>
      </c>
      <c r="D91" s="226"/>
      <c r="E91" s="3164" t="s">
        <v>2285</v>
      </c>
      <c r="F91" s="3165"/>
      <c r="G91" s="3165"/>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2287</v>
      </c>
      <c r="B92" s="198" t="s">
        <v>2288</v>
      </c>
      <c r="C92" s="225">
        <f>ROUND((C87+C90+C91)*D92,0)</f>
        <v>0</v>
      </c>
      <c r="D92" s="226">
        <v>0.1</v>
      </c>
      <c r="E92" s="3164" t="s">
        <v>2289</v>
      </c>
      <c r="F92" s="3165"/>
      <c r="G92" s="3165"/>
      <c r="H92" s="316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2290</v>
      </c>
      <c r="B93" s="198" t="s">
        <v>2271</v>
      </c>
      <c r="C93" s="225">
        <f ca="1">ROUND(D45*D93/(1+'数据-取费表'!C42),0)</f>
        <v>17</v>
      </c>
      <c r="D93" s="226">
        <f>'数据-取费表'!B43</f>
        <v>6.000000000000001E-3</v>
      </c>
      <c r="E93" s="3164" t="s">
        <v>2272</v>
      </c>
      <c r="F93" s="3165"/>
      <c r="G93" s="3165"/>
      <c r="H93" s="316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2291</v>
      </c>
      <c r="B94" s="198" t="s">
        <v>2292</v>
      </c>
      <c r="C94" s="236">
        <f>ROUND((C87+C90+C91)*D94,0)</f>
        <v>0</v>
      </c>
      <c r="D94" s="226">
        <v>0.2</v>
      </c>
      <c r="E94" s="3212" t="s">
        <v>2293</v>
      </c>
      <c r="F94" s="3213"/>
      <c r="G94" s="3213"/>
      <c r="H94" s="321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2273</v>
      </c>
      <c r="C95" s="207">
        <f ca="1">ROUND(C85-C86,0)</f>
        <v>2823</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2274</v>
      </c>
      <c r="C96" s="227">
        <f ca="1">IF(C95&lt;=0,0,C95/C86)</f>
        <v>166.05882352941177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2275</v>
      </c>
      <c r="C97" s="228">
        <f ca="1">ROUND(IF(C95&lt;=0,0,IF(C96&gt;=200%,C95*60%-C86*35%,IF(C96&gt;=100%,C95*50%-C86*15%,IF(C96&gt;=50%,C95*40%-C86*5%,IF(C96&lt;50%,C95*30%,0))))),0)</f>
        <v>1688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116" t="s">
        <v>2295</v>
      </c>
      <c r="B100" s="3117"/>
      <c r="C100" s="3117"/>
      <c r="D100" s="3148"/>
      <c r="E100" s="3117" t="s">
        <v>2296</v>
      </c>
      <c r="F100" s="3117"/>
      <c r="G100" s="3117"/>
      <c r="H100" s="3148"/>
      <c r="I100" s="138"/>
    </row>
    <row r="101" spans="1:35" ht="18.75" customHeight="1">
      <c r="A101" s="3156" t="s">
        <v>2297</v>
      </c>
      <c r="B101" s="3157"/>
      <c r="C101" s="735" t="str">
        <f>C4</f>
        <v>比较法-商业</v>
      </c>
      <c r="D101" s="736" t="str">
        <f>D4</f>
        <v>收益法-商业</v>
      </c>
      <c r="E101" s="3128" t="s">
        <v>2298</v>
      </c>
      <c r="F101" s="3129"/>
      <c r="G101" s="2515" t="s">
        <v>2299</v>
      </c>
      <c r="H101" s="1044">
        <f ca="1">H118</f>
        <v>2982</v>
      </c>
      <c r="I101" s="138"/>
    </row>
    <row r="102" spans="1:35" ht="18.75" customHeight="1">
      <c r="A102" s="3158" t="s">
        <v>2300</v>
      </c>
      <c r="B102" s="2515" t="s">
        <v>2299</v>
      </c>
      <c r="C102" s="735">
        <f ca="1">C19</f>
        <v>3103</v>
      </c>
      <c r="D102" s="736">
        <f ca="1">D19</f>
        <v>2860</v>
      </c>
      <c r="E102" s="3128"/>
      <c r="F102" s="3129"/>
      <c r="G102" s="2515" t="s">
        <v>2301</v>
      </c>
      <c r="H102" s="371">
        <f ca="1">I118</f>
        <v>51217</v>
      </c>
      <c r="I102" s="138"/>
    </row>
    <row r="103" spans="1:35" ht="42.75" customHeight="1">
      <c r="A103" s="3158"/>
      <c r="B103" s="2515" t="s">
        <v>2301</v>
      </c>
      <c r="C103" s="737">
        <f ca="1">C20</f>
        <v>53289</v>
      </c>
      <c r="D103" s="738">
        <f ca="1">D20</f>
        <v>49117</v>
      </c>
      <c r="E103" s="3122" t="s">
        <v>2302</v>
      </c>
      <c r="F103" s="3123"/>
      <c r="G103" s="2516" t="s">
        <v>2303</v>
      </c>
      <c r="H103" s="1044">
        <f>IF(D36="正常操作",H104+H105+H106,H105+H106)</f>
        <v>0</v>
      </c>
      <c r="I103" s="138"/>
    </row>
    <row r="104" spans="1:35" ht="18.75" customHeight="1">
      <c r="A104" s="3158" t="s">
        <v>2304</v>
      </c>
      <c r="B104" s="2517" t="s">
        <v>2299</v>
      </c>
      <c r="C104" s="739">
        <f ca="1">H118</f>
        <v>2982</v>
      </c>
      <c r="D104" s="740"/>
      <c r="E104" s="2261" t="s">
        <v>2305</v>
      </c>
      <c r="F104" s="2253"/>
      <c r="G104" s="2516" t="s">
        <v>2303</v>
      </c>
      <c r="H104" s="1045">
        <f>IF(D36="同一抵押权人同一抵押物续贷",C36&amp;"（未扣减，详见特别提示）",C36)</f>
        <v>0</v>
      </c>
      <c r="I104" s="138"/>
    </row>
    <row r="105" spans="1:35" ht="18.75" customHeight="1" thickBot="1">
      <c r="A105" s="3170"/>
      <c r="B105" s="2518" t="s">
        <v>2301</v>
      </c>
      <c r="C105" s="741">
        <f ca="1">I118</f>
        <v>51217</v>
      </c>
      <c r="D105" s="742"/>
      <c r="E105" s="2261" t="s">
        <v>2306</v>
      </c>
      <c r="F105" s="2253"/>
      <c r="G105" s="2516" t="s">
        <v>2303</v>
      </c>
      <c r="H105" s="1045">
        <f>C37</f>
        <v>0</v>
      </c>
      <c r="I105" s="138"/>
    </row>
    <row r="106" spans="1:35" ht="18.75" customHeight="1">
      <c r="A106" s="2413" t="s">
        <v>2307</v>
      </c>
      <c r="B106" s="2413"/>
      <c r="C106" s="2413"/>
      <c r="D106" s="2413"/>
      <c r="E106" s="2519" t="s">
        <v>2308</v>
      </c>
      <c r="F106" s="2253"/>
      <c r="G106" s="2516" t="s">
        <v>2303</v>
      </c>
      <c r="H106" s="1045">
        <f>C38</f>
        <v>0</v>
      </c>
      <c r="I106" s="138"/>
    </row>
    <row r="107" spans="1:35" ht="18.75" customHeight="1">
      <c r="A107" s="138"/>
      <c r="B107" s="138"/>
      <c r="C107" s="138"/>
      <c r="D107" s="138"/>
      <c r="E107" s="3159" t="str">
        <f>IF(项目基本情况!E8="已注销","——","3.房地产抵押价值")</f>
        <v>——</v>
      </c>
      <c r="F107" s="3129"/>
      <c r="G107" s="2515" t="s">
        <v>2299</v>
      </c>
      <c r="H107" s="1044" t="str">
        <f>IF(E107="——","——",H101-H103)</f>
        <v>——</v>
      </c>
      <c r="I107" s="138"/>
    </row>
    <row r="108" spans="1:35" ht="18.75" customHeight="1">
      <c r="A108" s="138"/>
      <c r="B108" s="138"/>
      <c r="C108" s="138"/>
      <c r="D108" s="138"/>
      <c r="E108" s="3159"/>
      <c r="F108" s="3129"/>
      <c r="G108" s="2515" t="s">
        <v>2301</v>
      </c>
      <c r="H108" s="371" t="e">
        <f>ROUND(H107*10000/'数据-汇总表'!E3,0)</f>
        <v>#VALUE!</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3.抵押担保权已注销时的房地产抵押价值</v>
      </c>
      <c r="F109" s="3129"/>
      <c r="G109" s="2515" t="s">
        <v>2299</v>
      </c>
      <c r="H109" s="348">
        <f ca="1">IF(E109="——","——",H101-H105-H106)</f>
        <v>2982</v>
      </c>
      <c r="I109" s="138"/>
    </row>
    <row r="110" spans="1:35" ht="18.75" customHeight="1">
      <c r="A110" s="138"/>
      <c r="B110" s="138"/>
      <c r="C110" s="138"/>
      <c r="D110" s="138"/>
      <c r="E110" s="3159"/>
      <c r="F110" s="3129"/>
      <c r="G110" s="2515" t="s">
        <v>2301</v>
      </c>
      <c r="H110" s="371">
        <f ca="1">IF(H109="——","——",ROUND(H109*10000/'数据-汇总表'!E3,0))</f>
        <v>705</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5" t="s">
        <v>2299</v>
      </c>
      <c r="H111" s="1044" t="str">
        <f>IF(E111="——","——",N59)</f>
        <v>——</v>
      </c>
      <c r="I111" s="138"/>
    </row>
    <row r="112" spans="1:35" ht="18.75" customHeight="1" thickBot="1">
      <c r="A112" s="138"/>
      <c r="B112" s="138"/>
      <c r="C112" s="138"/>
      <c r="D112" s="138"/>
      <c r="E112" s="3162"/>
      <c r="F112" s="3163"/>
      <c r="G112" s="2520" t="s">
        <v>2301</v>
      </c>
      <c r="H112" s="789" t="str">
        <f>IF(E111="——","——",N61)</f>
        <v>——</v>
      </c>
      <c r="I112" s="138"/>
    </row>
    <row r="113" spans="1:11" ht="18.75" customHeight="1">
      <c r="A113" s="138"/>
      <c r="B113" s="138"/>
      <c r="C113" s="138"/>
      <c r="D113" s="138"/>
      <c r="E113" s="3171" t="s">
        <v>2307</v>
      </c>
      <c r="F113" s="3171"/>
      <c r="G113" s="3171"/>
      <c r="H113" s="3171"/>
      <c r="I113" s="138"/>
    </row>
    <row r="114" spans="1:11" ht="3.75" customHeight="1">
      <c r="A114" s="2413"/>
      <c r="B114" s="2413"/>
      <c r="C114" s="2413"/>
      <c r="D114" s="2413"/>
      <c r="E114" s="2491"/>
      <c r="F114" s="2491"/>
      <c r="G114" s="2491"/>
      <c r="H114" s="2491"/>
      <c r="I114" s="2413"/>
    </row>
    <row r="115" spans="1:11" ht="18.75" customHeight="1">
      <c r="A115" s="3184" t="s">
        <v>2309</v>
      </c>
      <c r="B115" s="3185"/>
      <c r="C115" s="3185"/>
      <c r="D115" s="3185"/>
      <c r="E115" s="3185"/>
      <c r="F115" s="3185"/>
      <c r="G115" s="3185"/>
      <c r="H115" s="3185"/>
      <c r="I115" s="3186"/>
    </row>
    <row r="116" spans="1:11" ht="27" customHeight="1">
      <c r="A116" s="3095" t="s">
        <v>2310</v>
      </c>
      <c r="B116" s="3138" t="s">
        <v>2311</v>
      </c>
      <c r="C116" s="3138" t="s">
        <v>2312</v>
      </c>
      <c r="D116" s="3144" t="s">
        <v>2313</v>
      </c>
      <c r="E116" s="3145"/>
      <c r="F116" s="3180" t="s">
        <v>2314</v>
      </c>
      <c r="G116" s="3180"/>
      <c r="H116" s="3095" t="s">
        <v>2315</v>
      </c>
      <c r="I116" s="3095"/>
    </row>
    <row r="117" spans="1:11" ht="18.75" customHeight="1">
      <c r="A117" s="3095"/>
      <c r="B117" s="3139"/>
      <c r="C117" s="3139"/>
      <c r="D117" s="1793" t="s">
        <v>2316</v>
      </c>
      <c r="E117" s="1793" t="s">
        <v>2317</v>
      </c>
      <c r="F117" s="1793" t="s">
        <v>2316</v>
      </c>
      <c r="G117" s="1793" t="s">
        <v>2318</v>
      </c>
      <c r="H117" s="1793" t="s">
        <v>2316</v>
      </c>
      <c r="I117" s="1793" t="s">
        <v>2318</v>
      </c>
    </row>
    <row r="118" spans="1:11" ht="24.75" customHeight="1">
      <c r="A118" s="2521" t="str">
        <f>项目基本情况!S2</f>
        <v>北京市通州区临河里1号楼1-3层商业用房、1单元4-18层办公用房房地产</v>
      </c>
      <c r="B118" s="1793">
        <f>M18</f>
        <v>582.23</v>
      </c>
      <c r="C118" s="1793">
        <f>M19</f>
        <v>166.35</v>
      </c>
      <c r="D118" s="1793">
        <f ca="1">ROUND(IF(D32="总价",C34,E118*B118/10000),0)</f>
        <v>2389</v>
      </c>
      <c r="E118" s="1793">
        <f ca="1">ROUND(IF(C33="自定义",IF(D32="楼面单价",C34,D118*10000/B118),I118-G118),0)</f>
        <v>41032</v>
      </c>
      <c r="F118" s="1793">
        <f ca="1">ROUND(IF(D32="总价",C35,G118*B118/10000),0)</f>
        <v>593</v>
      </c>
      <c r="G118" s="1793">
        <f ca="1">ROUND(IF(D32="楼面单价",C35,F118*10000/B118),0)</f>
        <v>10185</v>
      </c>
      <c r="H118" s="1793">
        <f ca="1">ROUND(IF(D32="总价",C32,I118*B118/10000),0)</f>
        <v>2982</v>
      </c>
      <c r="I118" s="1793">
        <f ca="1">ROUND(IF(D32="楼面单价",C32,H118*10000/B118),0)</f>
        <v>51217</v>
      </c>
    </row>
    <row r="119" spans="1:11" ht="18.75" customHeight="1">
      <c r="A119" s="3095" t="s">
        <v>2319</v>
      </c>
      <c r="B119" s="3095"/>
      <c r="C119" s="3095"/>
      <c r="D119" s="3140" t="str">
        <f ca="1">NUMBERSTRING(INT(D118*10000),2)&amp;"元整"</f>
        <v>贰仟叁佰捌拾玖万元整</v>
      </c>
      <c r="E119" s="3141"/>
      <c r="F119" s="3140" t="str">
        <f ca="1">NUMBERSTRING(INT(F118*10000),2)&amp;"元整"</f>
        <v>伍佰玖拾叁万元整</v>
      </c>
      <c r="G119" s="3141"/>
      <c r="H119" s="3140" t="str">
        <f ca="1">NUMBERSTRING(INT(H118*10000),2)&amp;"元整"</f>
        <v>贰仟玖佰捌拾贰万元整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81" t="s">
        <v>2319</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
      </c>
      <c r="B122" s="3146"/>
      <c r="C122" s="3146"/>
      <c r="D122" s="3135" t="str">
        <f>H107</f>
        <v>——</v>
      </c>
      <c r="E122" s="3136"/>
      <c r="F122" s="3136"/>
      <c r="G122" s="3136"/>
      <c r="H122" s="3136"/>
      <c r="I122" s="3137"/>
    </row>
    <row r="123" spans="1:11" ht="18.75" customHeight="1">
      <c r="A123" s="3095" t="s">
        <v>2319</v>
      </c>
      <c r="B123" s="3095"/>
      <c r="C123" s="3095"/>
      <c r="D123" s="3140" t="e">
        <f>NUMBERSTRING(INT(D122*10000),2)&amp;"元整"</f>
        <v>#VALUE!</v>
      </c>
      <c r="E123" s="3142"/>
      <c r="F123" s="3142"/>
      <c r="G123" s="3142"/>
      <c r="H123" s="3142"/>
      <c r="I123" s="3141"/>
    </row>
    <row r="124" spans="1:11" ht="18.75" customHeight="1">
      <c r="A124" s="3146" t="str">
        <f>IF(项目基本情况!B9="房地产市场价值","",MID(E109,3,LEN(E109)-2))</f>
        <v>抵押担保权已注销时的房地产抵押价值</v>
      </c>
      <c r="B124" s="3146"/>
      <c r="C124" s="3146"/>
      <c r="D124" s="3135">
        <f ca="1">H109</f>
        <v>2982</v>
      </c>
      <c r="E124" s="3136"/>
      <c r="F124" s="3136"/>
      <c r="G124" s="3136"/>
      <c r="H124" s="3136"/>
      <c r="I124" s="3137"/>
    </row>
    <row r="125" spans="1:11" ht="18.75" customHeight="1">
      <c r="A125" s="3095" t="s">
        <v>2319</v>
      </c>
      <c r="B125" s="3095"/>
      <c r="C125" s="3095"/>
      <c r="D125" s="3140" t="str">
        <f ca="1">NUMBERSTRING(INT(D124*10000),2)&amp;"元整"</f>
        <v>贰仟玖佰捌拾贰万元整</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2319</v>
      </c>
      <c r="B127" s="3095"/>
      <c r="C127" s="3095"/>
      <c r="D127" s="3140" t="e">
        <f>NUMBERSTRING(INT(D126*10000),2)&amp;"元整"</f>
        <v>#VALUE!</v>
      </c>
      <c r="E127" s="3142"/>
      <c r="F127" s="3142"/>
      <c r="G127" s="3142"/>
      <c r="H127" s="3142"/>
      <c r="I127" s="3141"/>
    </row>
    <row r="128" spans="1:11" ht="21.75" customHeight="1">
      <c r="A128" s="3143" t="s">
        <v>2320</v>
      </c>
      <c r="B128" s="3143"/>
      <c r="C128" s="3143"/>
      <c r="D128" s="3143"/>
      <c r="E128" s="3143"/>
      <c r="F128" s="3143"/>
      <c r="G128" s="3143"/>
      <c r="H128" s="3143"/>
      <c r="I128" s="3143"/>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2323</v>
      </c>
      <c r="G135" s="2539"/>
      <c r="H135" s="2539"/>
      <c r="I135" s="2540" t="s">
        <v>2324</v>
      </c>
    </row>
    <row r="136" spans="1:35" ht="21.75" customHeight="1">
      <c r="A136" s="794"/>
      <c r="B136" s="2541"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2326</v>
      </c>
    </row>
    <row r="139" spans="1:35" ht="21.75" customHeight="1">
      <c r="A139" s="794"/>
      <c r="B139" s="2541" t="s">
        <v>2327</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2326</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8" sqref="D18"/>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9" t="str">
        <f>项目基本情况!B1</f>
        <v>北京市通州区临河里1号楼1-3层商业用房、1单元4-18层办公用房房地产抵押价值预评估</v>
      </c>
      <c r="C37" s="3029"/>
      <c r="D37" s="3029"/>
      <c r="E37" s="3029"/>
      <c r="F37" s="3029"/>
      <c r="G37" s="3029"/>
      <c r="H37" s="3029"/>
      <c r="I37" s="3029"/>
    </row>
    <row r="38" spans="1:9">
      <c r="A38" s="1015"/>
      <c r="B38" s="1015"/>
    </row>
    <row r="39" spans="1:9">
      <c r="A39" s="1013" t="s">
        <v>818</v>
      </c>
      <c r="B39" s="1013" t="s">
        <v>820</v>
      </c>
    </row>
    <row r="40" spans="1:9">
      <c r="A40" s="1013"/>
      <c r="B40" s="1939" t="str">
        <f>项目基本情况!B5</f>
        <v>中粮信托有限责任公司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8">
        <f>MATCH(B1,'数据-取费表'!A6:A16,0)+5</f>
        <v>10</v>
      </c>
    </row>
    <row r="2" spans="1:9" s="244" customFormat="1" ht="18" customHeight="1">
      <c r="A2" s="245" t="s">
        <v>2329</v>
      </c>
      <c r="B2" s="246">
        <f ca="1">IF(D2="——",C52,C52-E2)</f>
        <v>97747</v>
      </c>
      <c r="C2" s="243" t="s">
        <v>2330</v>
      </c>
      <c r="D2" s="2544" t="s">
        <v>70</v>
      </c>
      <c r="E2" s="1439"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23094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52972</v>
      </c>
      <c r="D5" s="255" t="s">
        <v>2336</v>
      </c>
      <c r="E5" s="256" t="s">
        <v>2337</v>
      </c>
      <c r="F5" s="256" t="s">
        <v>2338</v>
      </c>
      <c r="G5" s="257"/>
    </row>
    <row r="6" spans="1:9" s="258" customFormat="1" ht="13.5" customHeight="1">
      <c r="A6" s="948" t="s">
        <v>2339</v>
      </c>
      <c r="B6" s="259" t="s">
        <v>2340</v>
      </c>
      <c r="C6" s="260">
        <f>'土地比较法-住宅、综合'!B2</f>
        <v>51404</v>
      </c>
      <c r="D6" s="261"/>
      <c r="E6" s="262"/>
      <c r="F6" s="262"/>
      <c r="G6" s="263"/>
    </row>
    <row r="7" spans="1:9" s="258" customFormat="1" ht="13.5" customHeight="1">
      <c r="A7" s="948" t="s">
        <v>2341</v>
      </c>
      <c r="B7" s="259" t="s">
        <v>2342</v>
      </c>
      <c r="C7" s="264">
        <f>ROUND(C6*F7,0)</f>
        <v>1568</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47" t="s">
        <v>3099</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48" t="s">
        <v>3100</v>
      </c>
      <c r="H9" s="1389"/>
      <c r="I9" s="2549" t="s">
        <v>2346</v>
      </c>
    </row>
    <row r="10" spans="1:9" s="258" customFormat="1" ht="13.5" customHeight="1">
      <c r="A10" s="949" t="s">
        <v>801</v>
      </c>
      <c r="B10" s="268" t="s">
        <v>2347</v>
      </c>
      <c r="C10" s="269">
        <f ca="1">ROUND(D10*E10/10000,0)</f>
        <v>847</v>
      </c>
      <c r="D10" s="1031">
        <f ca="1">IF(B1="",'数据-汇总表'!E6,IF(INDIRECT("'数据-取费表'!c"&amp;$G$1)="住宅",INDIRECT("'数据-取费表'!s"&amp;$G$1),INDIRECT("'数据-取费表'!k"&amp;$G$1)+INDIRECT("'数据-取费表'!s"&amp;$G$1)))</f>
        <v>42325.20999999997</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42325.20999999997</v>
      </c>
      <c r="E19" s="255">
        <f>'数据-取费表'!B31</f>
        <v>200</v>
      </c>
      <c r="F19" s="275"/>
      <c r="G19" s="2547" t="s">
        <v>3101</v>
      </c>
    </row>
    <row r="20" spans="1:7" s="258" customFormat="1" ht="13.5" customHeight="1">
      <c r="A20" s="299" t="s">
        <v>2360</v>
      </c>
      <c r="B20" s="254" t="s">
        <v>2361</v>
      </c>
      <c r="C20" s="276">
        <f>ROUND((C5+C19)*F20,0)</f>
        <v>1059</v>
      </c>
      <c r="D20" s="276"/>
      <c r="E20" s="276"/>
      <c r="F20" s="277">
        <f>'数据-取费表'!B37</f>
        <v>0.02</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3">
        <f ca="1">ROUND(SUM(C23:C25),0)</f>
        <v>5202</v>
      </c>
      <c r="D22" s="279">
        <f ca="1">C26</f>
        <v>1.4E-3</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5152</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50</v>
      </c>
      <c r="D25" s="282"/>
      <c r="E25" s="285"/>
      <c r="F25" s="283"/>
      <c r="G25" s="286" t="s">
        <v>2377</v>
      </c>
    </row>
    <row r="26" spans="1:7" s="258" customFormat="1">
      <c r="A26" s="950"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11887</v>
      </c>
      <c r="D27" s="279">
        <f ca="1">C29</f>
        <v>6.6E-3</v>
      </c>
      <c r="E27" s="280" t="s">
        <v>2381</v>
      </c>
      <c r="F27" s="290">
        <f ca="1">IF(B1="",'数据-取费表'!Q16,INDIRECT("'数据-取费表'!q"&amp;$G$1))</f>
        <v>0.22</v>
      </c>
      <c r="G27" s="291" t="s">
        <v>2382</v>
      </c>
    </row>
    <row r="28" spans="1:7" s="258" customFormat="1" ht="13.5" customHeight="1">
      <c r="A28" s="950" t="s">
        <v>791</v>
      </c>
      <c r="B28" s="292" t="s">
        <v>2383</v>
      </c>
      <c r="C28" s="293">
        <f ca="1">ROUND((C5+C19+C20)*F27*'数据-取费表'!B21/'数据-取费表'!B20,0)</f>
        <v>11887</v>
      </c>
      <c r="D28" s="279"/>
      <c r="E28" s="280"/>
      <c r="F28" s="290"/>
      <c r="G28" s="291"/>
    </row>
    <row r="29" spans="1:7" s="258" customFormat="1" ht="13.5" customHeight="1">
      <c r="A29" s="950" t="s">
        <v>792</v>
      </c>
      <c r="B29" s="292" t="s">
        <v>2384</v>
      </c>
      <c r="C29" s="282">
        <f ca="1">ROUND(C21*F27*'数据-取费表'!B21/'数据-取费表'!B20,4)</f>
        <v>6.6E-3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78266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14116</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12698</v>
      </c>
      <c r="D34" s="261"/>
      <c r="E34" s="264"/>
      <c r="F34" s="301">
        <f ca="1">IF('数据-取费表'!B24=0,1,IF(B1="",'数据-取费表'!N16,INDIRECT("'数据-取费表'!n"&amp;$G$1)))</f>
        <v>1</v>
      </c>
      <c r="G34" s="263" t="s">
        <v>2393</v>
      </c>
    </row>
    <row r="35" spans="1:7" ht="13.5" customHeight="1">
      <c r="A35" s="950" t="s">
        <v>796</v>
      </c>
      <c r="B35" s="259" t="s">
        <v>2394</v>
      </c>
      <c r="C35" s="264">
        <f ca="1">ROUND(C34*F35,0)</f>
        <v>381</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847</v>
      </c>
      <c r="D37" s="261">
        <f ca="1">D19</f>
        <v>42325.20999999997</v>
      </c>
      <c r="E37" s="293">
        <f>'数据-取费表'!B35</f>
        <v>200</v>
      </c>
      <c r="F37" s="303"/>
      <c r="G37" s="305" t="s">
        <v>2399</v>
      </c>
    </row>
    <row r="38" spans="1:7" ht="13.5" customHeight="1">
      <c r="A38" s="950" t="s">
        <v>799</v>
      </c>
      <c r="B38" s="259" t="s">
        <v>2400</v>
      </c>
      <c r="C38" s="264">
        <f ca="1">ROUND(C34*F38,0)</f>
        <v>190</v>
      </c>
      <c r="D38" s="264"/>
      <c r="E38" s="264"/>
      <c r="F38" s="303">
        <f>'数据-取费表'!B36</f>
        <v>1.4999999999999999E-2</v>
      </c>
      <c r="G38" s="263" t="s">
        <v>2395</v>
      </c>
    </row>
    <row r="39" spans="1:7" s="258" customFormat="1" ht="13.5" customHeight="1">
      <c r="A39" s="299" t="s">
        <v>2401</v>
      </c>
      <c r="B39" s="254" t="s">
        <v>2402</v>
      </c>
      <c r="C39" s="276">
        <f ca="1">ROUND(C33*F20,0)</f>
        <v>282</v>
      </c>
      <c r="D39" s="276"/>
      <c r="E39" s="276"/>
      <c r="F39" s="277"/>
      <c r="G39" s="278" t="s">
        <v>2403</v>
      </c>
    </row>
    <row r="40" spans="1:7" s="258" customFormat="1" ht="13.5" customHeight="1">
      <c r="A40" s="299" t="s">
        <v>2404</v>
      </c>
      <c r="B40" s="254" t="s">
        <v>2405</v>
      </c>
      <c r="C40" s="1726">
        <f>F21</f>
        <v>0.03</v>
      </c>
      <c r="D40" s="280" t="s">
        <v>2406</v>
      </c>
      <c r="E40" s="276"/>
      <c r="F40" s="277"/>
      <c r="G40" s="278" t="s">
        <v>2407</v>
      </c>
    </row>
    <row r="41" spans="1:7" s="258" customFormat="1" ht="13.5" customHeight="1">
      <c r="A41" s="299" t="s">
        <v>2408</v>
      </c>
      <c r="B41" s="254" t="s">
        <v>2409</v>
      </c>
      <c r="C41" s="276">
        <f ca="1">ROUND(SUM(C42:C43),0)</f>
        <v>684</v>
      </c>
      <c r="D41" s="279">
        <f ca="1">C44</f>
        <v>1.4E-3</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671</v>
      </c>
      <c r="D42" s="282"/>
      <c r="E42" s="282"/>
      <c r="F42" s="283"/>
      <c r="G42" s="3215" t="s">
        <v>2411</v>
      </c>
    </row>
    <row r="43" spans="1:7" ht="13.5" customHeight="1">
      <c r="A43" s="950" t="s">
        <v>792</v>
      </c>
      <c r="B43" s="259" t="s">
        <v>2412</v>
      </c>
      <c r="C43" s="282">
        <f ca="1">ROUND(IF('数据-取费表'!B22&lt;=1,C39*F22*'数据-取费表'!B21/2,C39*(POWER((1+F22),'数据-取费表'!B21/2)-1)),0)</f>
        <v>13</v>
      </c>
      <c r="D43" s="282"/>
      <c r="E43" s="282"/>
      <c r="F43" s="283"/>
      <c r="G43" s="3216"/>
    </row>
    <row r="44" spans="1:7" ht="13.5" customHeight="1">
      <c r="A44" s="950" t="s">
        <v>793</v>
      </c>
      <c r="B44" s="259" t="s">
        <v>2413</v>
      </c>
      <c r="C44" s="282">
        <f ca="1">ROUND(IF('数据-取费表'!B22&lt;=1,C40*F22*'数据-取费表'!B21/2,C40*(POWER((1+F22),'数据-取费表'!B21/2)-1)),4)</f>
        <v>1.4E-3</v>
      </c>
      <c r="D44" s="282"/>
      <c r="E44" s="282"/>
      <c r="F44" s="283"/>
      <c r="G44" s="3217"/>
    </row>
    <row r="45" spans="1:7" s="258" customFormat="1" ht="13.5" customHeight="1">
      <c r="A45" s="299" t="s">
        <v>2414</v>
      </c>
      <c r="B45" s="288" t="s">
        <v>2380</v>
      </c>
      <c r="C45" s="289">
        <f ca="1">C46</f>
        <v>3168</v>
      </c>
      <c r="D45" s="279">
        <f ca="1">C47</f>
        <v>6.6E-3</v>
      </c>
      <c r="E45" s="280" t="s">
        <v>2406</v>
      </c>
      <c r="F45" s="290"/>
      <c r="G45" s="291" t="s">
        <v>2415</v>
      </c>
    </row>
    <row r="46" spans="1:7" s="258" customFormat="1" ht="13.5" customHeight="1">
      <c r="A46" s="950" t="s">
        <v>791</v>
      </c>
      <c r="B46" s="292" t="s">
        <v>2416</v>
      </c>
      <c r="C46" s="293">
        <f ca="1">ROUND((C33+C39)*F27,0)</f>
        <v>3168</v>
      </c>
      <c r="D46" s="307"/>
      <c r="E46" s="280"/>
      <c r="F46" s="290"/>
      <c r="G46" s="291"/>
    </row>
    <row r="47" spans="1:7" s="258" customFormat="1" ht="13.5" customHeight="1">
      <c r="A47" s="950" t="s">
        <v>792</v>
      </c>
      <c r="B47" s="292" t="s">
        <v>2417</v>
      </c>
      <c r="C47" s="282">
        <f ca="1">ROUND(C40*F27,4)</f>
        <v>6.6E-3</v>
      </c>
      <c r="D47" s="307"/>
      <c r="E47" s="280"/>
      <c r="F47" s="290"/>
      <c r="G47" s="291"/>
    </row>
    <row r="48" spans="1:7" s="258" customFormat="1" ht="13.5" customHeight="1">
      <c r="A48" s="299" t="s">
        <v>2379</v>
      </c>
      <c r="B48" s="254" t="s">
        <v>2418</v>
      </c>
      <c r="C48" s="1726">
        <f>ROUND(F30/(1+'数据-取费表'!C42),4)</f>
        <v>5.33E-2</v>
      </c>
      <c r="D48" s="280" t="s">
        <v>2406</v>
      </c>
      <c r="E48" s="276"/>
      <c r="F48" s="281"/>
      <c r="G48" s="278" t="s">
        <v>2419</v>
      </c>
    </row>
    <row r="49" spans="1:7" ht="16.5" customHeight="1">
      <c r="A49" s="299" t="s">
        <v>2385</v>
      </c>
      <c r="B49" s="254" t="s">
        <v>2420</v>
      </c>
      <c r="C49" s="276">
        <f ca="1">ROUND((C33+C39+C41+C45)/(1-C40-D41-D45-C48),0)</f>
        <v>20084</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19481</v>
      </c>
      <c r="D51" s="276"/>
      <c r="E51" s="276"/>
      <c r="F51" s="308"/>
      <c r="G51" s="278" t="s">
        <v>2427</v>
      </c>
    </row>
    <row r="52" spans="1:7" s="252" customFormat="1" ht="16.5" thickBot="1">
      <c r="A52" s="309" t="s">
        <v>2428</v>
      </c>
      <c r="B52" s="310"/>
      <c r="C52" s="311">
        <f ca="1">C31+C51</f>
        <v>97747</v>
      </c>
      <c r="D52" s="310"/>
      <c r="E52" s="310"/>
      <c r="F52" s="310"/>
      <c r="G52" s="312"/>
    </row>
    <row r="55" spans="1:7" ht="15">
      <c r="B55" s="314" t="s">
        <v>2429</v>
      </c>
      <c r="C55" s="315"/>
    </row>
    <row r="56" spans="1:7">
      <c r="B56" s="317" t="s">
        <v>1513</v>
      </c>
      <c r="C56" s="319">
        <f ca="1">1-C57</f>
        <v>0.80099999999999993</v>
      </c>
    </row>
    <row r="57" spans="1:7">
      <c r="B57" s="317" t="s">
        <v>1514</v>
      </c>
      <c r="C57" s="318">
        <f ca="1">ROUND(C51/C52,3)</f>
        <v>0.19900000000000001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8">
        <f>MATCH(B1,'数据-取费表'!A6:A16,0)+5</f>
        <v>10</v>
      </c>
      <c r="H1" s="1281" t="str">
        <f>IF(ISERROR(FIND("住宅",B1)),"非住宅","住宅")</f>
        <v>非住宅</v>
      </c>
    </row>
    <row r="2" spans="1:8" s="244" customFormat="1" ht="18" customHeight="1">
      <c r="A2" s="245" t="s">
        <v>2329</v>
      </c>
      <c r="B2" s="246">
        <f ca="1">ROUND(IF(D2="——",C52/10000,C52/10000-E2),0)</f>
        <v>21982</v>
      </c>
      <c r="C2" s="243" t="s">
        <v>2330</v>
      </c>
      <c r="D2" s="2544" t="s">
        <v>70</v>
      </c>
      <c r="E2" s="1439"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5194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8465042</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8465042</v>
      </c>
      <c r="D8" s="266"/>
      <c r="E8" s="264"/>
      <c r="F8" s="265"/>
      <c r="G8" s="2547"/>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8465042</v>
      </c>
      <c r="D10" s="1031">
        <f ca="1">IF(B1="",'数据-汇总表'!E6,IF(INDIRECT("'数据-取费表'!c"&amp;$G$1)="住宅",INDIRECT("'数据-取费表'!s"&amp;$G$1),INDIRECT("'数据-取费表'!k"&amp;$G$1)+INDIRECT("'数据-取费表'!s"&amp;$G$1)))</f>
        <v>42325.20999999997</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8465042</v>
      </c>
      <c r="D19" s="1035">
        <f ca="1">D9+D10</f>
        <v>42325.20999999997</v>
      </c>
      <c r="E19" s="255">
        <f>'数据-取费表'!B31</f>
        <v>200</v>
      </c>
      <c r="F19" s="275"/>
      <c r="G19" s="2547"/>
    </row>
    <row r="20" spans="1:7" s="258" customFormat="1" ht="13.5" customHeight="1">
      <c r="A20" s="299" t="s">
        <v>2441</v>
      </c>
      <c r="B20" s="254" t="s">
        <v>2442</v>
      </c>
      <c r="C20" s="276">
        <f ca="1">ROUND((C5+C19)*F20,0)</f>
        <v>338602</v>
      </c>
      <c r="D20" s="276"/>
      <c r="E20" s="276"/>
      <c r="F20" s="277">
        <f>'数据-取费表'!B37</f>
        <v>0.02</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79">
        <f ca="1">ROUND(SUM(C23:C25),0)</f>
        <v>1662640</v>
      </c>
      <c r="D22" s="279">
        <f ca="1">C26</f>
        <v>1.4E-3</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823278</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823278</v>
      </c>
      <c r="D24" s="282"/>
      <c r="E24" s="282"/>
      <c r="F24" s="283"/>
      <c r="G24" s="284" t="s">
        <v>2453</v>
      </c>
    </row>
    <row r="25" spans="1:7" s="258" customFormat="1" ht="24">
      <c r="A25" s="950" t="s">
        <v>2343</v>
      </c>
      <c r="B25" s="259" t="s">
        <v>2454</v>
      </c>
      <c r="C25" s="1380">
        <f ca="1">ROUND(IF('数据-取费表'!B22&lt;=1,C20*F22*'数据-取费表'!B22/2,C20*(POWER((1+F22),'数据-取费表'!B22/2)-1)),0)</f>
        <v>16084</v>
      </c>
      <c r="D25" s="282"/>
      <c r="E25" s="285"/>
      <c r="F25" s="283"/>
      <c r="G25" s="286" t="s">
        <v>2455</v>
      </c>
    </row>
    <row r="26" spans="1:7" s="258" customFormat="1">
      <c r="A26" s="950"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3799111</v>
      </c>
      <c r="D27" s="279">
        <f ca="1">C29</f>
        <v>6.6E-3</v>
      </c>
      <c r="E27" s="280" t="s">
        <v>2381</v>
      </c>
      <c r="F27" s="290">
        <f ca="1">IF(B1="",'数据-取费表'!Q16,INDIRECT("'数据-取费表'!q"&amp;$G$1))</f>
        <v>0.22</v>
      </c>
      <c r="G27" s="291" t="s">
        <v>2382</v>
      </c>
    </row>
    <row r="28" spans="1:7" s="258" customFormat="1" ht="13.5" customHeight="1">
      <c r="A28" s="950" t="s">
        <v>791</v>
      </c>
      <c r="B28" s="292" t="s">
        <v>2383</v>
      </c>
      <c r="C28" s="293">
        <f ca="1">ROUND((C5+C19+C20)*F27,0)</f>
        <v>3799111</v>
      </c>
      <c r="D28" s="279"/>
      <c r="E28" s="280"/>
      <c r="F28" s="290"/>
      <c r="G28" s="291"/>
    </row>
    <row r="29" spans="1:7" s="258" customFormat="1" ht="13.5" customHeight="1">
      <c r="A29" s="950" t="s">
        <v>792</v>
      </c>
      <c r="B29" s="292" t="s">
        <v>2384</v>
      </c>
      <c r="C29" s="282">
        <f ca="1">ROUND(C21*F27,4)</f>
        <v>6.6E-3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25014237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141154575</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126975630</v>
      </c>
      <c r="D34" s="261"/>
      <c r="E34" s="264"/>
      <c r="F34" s="301"/>
      <c r="G34" s="263"/>
    </row>
    <row r="35" spans="1:7" ht="13.5" customHeight="1">
      <c r="A35" s="950" t="s">
        <v>796</v>
      </c>
      <c r="B35" s="259" t="s">
        <v>2394</v>
      </c>
      <c r="C35" s="264">
        <f ca="1">ROUND(C34*F35,0)</f>
        <v>3809269</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8465042</v>
      </c>
      <c r="D37" s="261">
        <f ca="1">D19</f>
        <v>42325.20999999997</v>
      </c>
      <c r="E37" s="293">
        <f>'数据-取费表'!B35</f>
        <v>200</v>
      </c>
      <c r="F37" s="303"/>
      <c r="G37" s="305"/>
    </row>
    <row r="38" spans="1:7" ht="13.5" customHeight="1">
      <c r="A38" s="950" t="s">
        <v>799</v>
      </c>
      <c r="B38" s="259" t="s">
        <v>2400</v>
      </c>
      <c r="C38" s="264">
        <f ca="1">ROUND(C34*F38,0)</f>
        <v>1904634</v>
      </c>
      <c r="D38" s="264"/>
      <c r="E38" s="264"/>
      <c r="F38" s="303">
        <f>'数据-取费表'!B36</f>
        <v>1.4999999999999999E-2</v>
      </c>
      <c r="G38" s="263" t="s">
        <v>2395</v>
      </c>
    </row>
    <row r="39" spans="1:7" s="258" customFormat="1" ht="13.5" customHeight="1">
      <c r="A39" s="299" t="s">
        <v>2401</v>
      </c>
      <c r="B39" s="254" t="s">
        <v>2402</v>
      </c>
      <c r="C39" s="276">
        <f ca="1">ROUND(C33*F20,0)</f>
        <v>2823092</v>
      </c>
      <c r="D39" s="276"/>
      <c r="E39" s="276"/>
      <c r="F39" s="277"/>
      <c r="G39" s="278" t="s">
        <v>2403</v>
      </c>
    </row>
    <row r="40" spans="1:7" s="258" customFormat="1" ht="13.5" customHeight="1">
      <c r="A40" s="299" t="s">
        <v>2404</v>
      </c>
      <c r="B40" s="254" t="s">
        <v>2405</v>
      </c>
      <c r="C40" s="1726">
        <f>F21</f>
        <v>0.03</v>
      </c>
      <c r="D40" s="280" t="s">
        <v>2406</v>
      </c>
      <c r="E40" s="276"/>
      <c r="F40" s="277"/>
      <c r="G40" s="278" t="s">
        <v>2407</v>
      </c>
    </row>
    <row r="41" spans="1:7" s="258" customFormat="1" ht="13.5" customHeight="1">
      <c r="A41" s="299" t="s">
        <v>2408</v>
      </c>
      <c r="B41" s="254" t="s">
        <v>2409</v>
      </c>
      <c r="C41" s="276">
        <f ca="1">ROUND(SUM(C42:C43),0)</f>
        <v>6838939</v>
      </c>
      <c r="D41" s="279">
        <f ca="1">C44</f>
        <v>1.4E-3</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6704842</v>
      </c>
      <c r="D42" s="282"/>
      <c r="E42" s="282"/>
      <c r="F42" s="283"/>
      <c r="G42" s="3215" t="s">
        <v>2458</v>
      </c>
    </row>
    <row r="43" spans="1:7" ht="13.5" customHeight="1">
      <c r="A43" s="950" t="s">
        <v>792</v>
      </c>
      <c r="B43" s="259" t="s">
        <v>2412</v>
      </c>
      <c r="C43" s="282">
        <f ca="1">ROUND(IF('数据-取费表'!B22&lt;=1,C39*F22*'数据-取费表'!B20/2,C39*(POWER((1+F22),'数据-取费表'!B20/2)-1)),0)</f>
        <v>134097</v>
      </c>
      <c r="D43" s="282"/>
      <c r="E43" s="282"/>
      <c r="F43" s="283"/>
      <c r="G43" s="3216"/>
    </row>
    <row r="44" spans="1:7" ht="13.5" customHeight="1">
      <c r="A44" s="950" t="s">
        <v>793</v>
      </c>
      <c r="B44" s="259" t="s">
        <v>2413</v>
      </c>
      <c r="C44" s="282">
        <f ca="1">ROUND(IF('数据-取费表'!B22&lt;=1,C40*F22*'数据-取费表'!B20/2,C40*(POWER((1+F22),'数据-取费表'!B20/2)-1)),4)</f>
        <v>1.4E-3</v>
      </c>
      <c r="D44" s="282"/>
      <c r="E44" s="282"/>
      <c r="F44" s="283"/>
      <c r="G44" s="3217"/>
    </row>
    <row r="45" spans="1:7" s="258" customFormat="1" ht="13.5" customHeight="1">
      <c r="A45" s="299" t="s">
        <v>2414</v>
      </c>
      <c r="B45" s="288" t="s">
        <v>2380</v>
      </c>
      <c r="C45" s="289">
        <f ca="1">C46</f>
        <v>31675087</v>
      </c>
      <c r="D45" s="279">
        <f ca="1">C47</f>
        <v>6.6E-3</v>
      </c>
      <c r="E45" s="280" t="s">
        <v>2406</v>
      </c>
      <c r="F45" s="290"/>
      <c r="G45" s="291" t="s">
        <v>2415</v>
      </c>
    </row>
    <row r="46" spans="1:7" s="258" customFormat="1" ht="13.5" customHeight="1">
      <c r="A46" s="950" t="s">
        <v>791</v>
      </c>
      <c r="B46" s="292" t="s">
        <v>2416</v>
      </c>
      <c r="C46" s="293">
        <f ca="1">ROUND((C33+C39)*F27,0)</f>
        <v>31675087</v>
      </c>
      <c r="D46" s="307"/>
      <c r="E46" s="280"/>
      <c r="F46" s="290"/>
      <c r="G46" s="291"/>
    </row>
    <row r="47" spans="1:7" s="258" customFormat="1" ht="13.5" customHeight="1">
      <c r="A47" s="950" t="s">
        <v>792</v>
      </c>
      <c r="B47" s="292" t="s">
        <v>2417</v>
      </c>
      <c r="C47" s="282">
        <f ca="1">ROUND(C40*F27,4)</f>
        <v>6.6E-3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200827218</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194802401</v>
      </c>
      <c r="D51" s="276"/>
      <c r="E51" s="276"/>
      <c r="F51" s="308"/>
      <c r="G51" s="278" t="s">
        <v>2427</v>
      </c>
    </row>
    <row r="52" spans="1:7" s="252" customFormat="1" ht="16.5" thickBot="1">
      <c r="A52" s="309" t="s">
        <v>2428</v>
      </c>
      <c r="B52" s="310"/>
      <c r="C52" s="311">
        <f ca="1">C31+C51</f>
        <v>219816638</v>
      </c>
      <c r="D52" s="310"/>
      <c r="E52" s="310"/>
      <c r="F52" s="310"/>
      <c r="G52" s="312"/>
    </row>
    <row r="55" spans="1:7" ht="15">
      <c r="B55" s="314" t="s">
        <v>2429</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79"/>
      <c r="C1" s="1580"/>
      <c r="D1" s="1578"/>
      <c r="E1" s="320"/>
      <c r="F1" s="320"/>
      <c r="G1" s="1579"/>
      <c r="H1" s="320"/>
      <c r="I1" s="320"/>
      <c r="J1" s="320"/>
      <c r="K1" s="320">
        <f>MATCH(C1,'数据-取费表'!A6:A16,0)+5</f>
        <v>10</v>
      </c>
    </row>
    <row r="2" spans="1:33" ht="18" customHeight="1">
      <c r="A2" s="245" t="s">
        <v>2329</v>
      </c>
      <c r="B2" s="248">
        <f ca="1">C32</f>
        <v>-1024</v>
      </c>
      <c r="C2" s="320" t="s">
        <v>2462</v>
      </c>
      <c r="D2" s="320"/>
      <c r="E2" s="320"/>
      <c r="F2" s="320"/>
      <c r="G2" s="320"/>
      <c r="H2" s="320"/>
      <c r="I2" s="320"/>
      <c r="J2" s="320"/>
      <c r="K2" s="320"/>
    </row>
    <row r="3" spans="1:33" ht="18" customHeight="1" thickBot="1">
      <c r="A3" s="247" t="s">
        <v>2331</v>
      </c>
      <c r="B3" s="248">
        <f ca="1">ROUND(B2*10000/IF(C1="",'数据-汇总表'!E3,INDIRECT("'数据-取费表'!K"&amp;$K$1)),0)</f>
        <v>-242</v>
      </c>
      <c r="C3" s="320" t="s">
        <v>2463</v>
      </c>
      <c r="D3" s="320"/>
      <c r="E3" s="320"/>
      <c r="F3" s="320"/>
      <c r="G3" s="320"/>
      <c r="H3" s="320"/>
      <c r="I3" s="320"/>
      <c r="J3" s="320"/>
      <c r="K3" s="320"/>
    </row>
    <row r="4" spans="1:33" s="955" customFormat="1" ht="16.5" customHeight="1">
      <c r="A4" s="952" t="s">
        <v>2464</v>
      </c>
      <c r="B4" s="953"/>
      <c r="C4" s="995">
        <f>SUM(C8:K8)</f>
        <v>0</v>
      </c>
      <c r="D4" s="953"/>
      <c r="E4" s="953"/>
      <c r="F4" s="953"/>
      <c r="G4" s="953"/>
      <c r="H4" s="953"/>
      <c r="I4" s="953"/>
      <c r="J4" s="953"/>
      <c r="K4" s="954"/>
    </row>
    <row r="5" spans="1:33" s="959" customFormat="1" ht="24.75">
      <c r="A5" s="956" t="s">
        <v>2465</v>
      </c>
      <c r="B5" s="957" t="s">
        <v>2466</v>
      </c>
      <c r="C5" s="2551" t="s">
        <v>2467</v>
      </c>
      <c r="D5" s="2551" t="s">
        <v>2468</v>
      </c>
      <c r="E5" s="2551" t="s">
        <v>2469</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2473</v>
      </c>
      <c r="B8" s="177" t="s">
        <v>2474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2475</v>
      </c>
      <c r="B9" s="953"/>
      <c r="C9" s="953"/>
      <c r="D9" s="953"/>
      <c r="E9" s="953"/>
      <c r="F9" s="953"/>
      <c r="G9" s="953"/>
      <c r="H9" s="953"/>
      <c r="I9" s="953"/>
      <c r="J9" s="953"/>
      <c r="K9" s="954"/>
    </row>
    <row r="10" spans="1:33" s="969" customFormat="1" ht="13.5" customHeight="1">
      <c r="A10" s="956" t="s">
        <v>2476</v>
      </c>
      <c r="B10" s="8" t="s">
        <v>2477</v>
      </c>
      <c r="C10" s="965" t="s">
        <v>2478</v>
      </c>
      <c r="D10" s="966" t="s">
        <v>2479</v>
      </c>
      <c r="E10" s="966" t="s">
        <v>2480</v>
      </c>
      <c r="F10" s="966" t="s">
        <v>2481</v>
      </c>
      <c r="G10" s="8"/>
      <c r="H10" s="967"/>
      <c r="I10" s="967"/>
      <c r="J10" s="967"/>
      <c r="K10" s="968"/>
    </row>
    <row r="11" spans="1:33" s="974" customFormat="1" ht="13.5" customHeight="1">
      <c r="A11" s="970" t="s">
        <v>1334</v>
      </c>
      <c r="B11" s="971" t="s">
        <v>2482</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2483</v>
      </c>
      <c r="C12" s="24">
        <f ca="1">ROUND(C11*F12,0)</f>
        <v>0</v>
      </c>
      <c r="D12" s="972"/>
      <c r="E12" s="375"/>
      <c r="F12" s="975">
        <f>'数据-取费表'!B33</f>
        <v>0.03</v>
      </c>
      <c r="G12" s="8" t="s">
        <v>2484</v>
      </c>
      <c r="H12" s="967"/>
      <c r="I12" s="967"/>
      <c r="J12" s="967"/>
      <c r="K12" s="968"/>
    </row>
    <row r="13" spans="1:33" s="974" customFormat="1" ht="13.5" customHeight="1">
      <c r="A13" s="970" t="s">
        <v>1336</v>
      </c>
      <c r="B13" s="971" t="s">
        <v>2485</v>
      </c>
      <c r="C13" s="24">
        <f ca="1">ROUND(IF(C1="",SUMIF('数据-取费表'!C:C,"住宅",'数据-取费表'!P:P)*F13,IF(INDIRECT("'数据-取费表'!c"&amp;$K$1)="住宅",INDIRECT("'数据-取费表'!P"&amp;$K$1)*F13,0)),0)</f>
        <v>0</v>
      </c>
      <c r="D13" s="1032"/>
      <c r="E13" s="375"/>
      <c r="F13" s="975">
        <f>'数据-取费表'!B34</f>
        <v>0</v>
      </c>
      <c r="G13" s="8" t="s">
        <v>2486</v>
      </c>
      <c r="H13" s="967"/>
      <c r="I13" s="967"/>
      <c r="J13" s="967"/>
      <c r="K13" s="968"/>
    </row>
    <row r="14" spans="1:33" s="976" customFormat="1" ht="13.5" customHeight="1">
      <c r="A14" s="970" t="s">
        <v>1337</v>
      </c>
      <c r="B14" s="971" t="s">
        <v>2487</v>
      </c>
      <c r="C14" s="24">
        <f ca="1">ROUND(D14*E14*F11/10000,0)</f>
        <v>0</v>
      </c>
      <c r="D14" s="1032">
        <f ca="1">IF(C1="",'数据-汇总表'!E3,INDIRECT("'数据-取费表'!K"&amp;$K$1)+INDIRECT("'数据-取费表'!S"&amp;$K$1))</f>
        <v>42325.20999999997</v>
      </c>
      <c r="E14" s="24">
        <f>'数据-取费表'!B35</f>
        <v>200</v>
      </c>
      <c r="F14" s="975"/>
      <c r="G14" s="8" t="s">
        <v>2488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2489</v>
      </c>
      <c r="C15" s="982">
        <f ca="1">ROUND(C11*F15,0)</f>
        <v>0</v>
      </c>
      <c r="D15" s="977"/>
      <c r="E15" s="982"/>
      <c r="F15" s="983">
        <f>'数据-取费表'!B36</f>
        <v>1.4999999999999999E-2</v>
      </c>
      <c r="G15" s="140" t="s">
        <v>2490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2491</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2492</v>
      </c>
      <c r="C17" s="24">
        <f ca="1">ROUND(D17*E17/10000,0)</f>
        <v>0</v>
      </c>
      <c r="D17" s="1032">
        <f ca="1">D14</f>
        <v>42325.20999999997</v>
      </c>
      <c r="E17" s="24">
        <f>'数据-取费表'!B32</f>
        <v>0</v>
      </c>
      <c r="F17" s="977"/>
      <c r="G17" s="140" t="s">
        <v>2493</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2494</v>
      </c>
      <c r="C18" s="24">
        <f ca="1">C19+C20-IF(C1="",'数据-取费表'!B29,IF(G18="已全部缴纳",C19+C20,H18))</f>
        <v>847</v>
      </c>
      <c r="D18" s="1032"/>
      <c r="E18" s="24"/>
      <c r="F18" s="975"/>
      <c r="G18" s="2553"/>
      <c r="H18" s="1575"/>
      <c r="I18" s="2554" t="s">
        <v>2495</v>
      </c>
      <c r="J18" s="978"/>
      <c r="K18" s="979"/>
    </row>
    <row r="19" spans="1:33" s="974" customFormat="1" ht="13.5" customHeight="1">
      <c r="A19" s="970" t="s">
        <v>805</v>
      </c>
      <c r="B19" s="971" t="s">
        <v>2496</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2497</v>
      </c>
      <c r="C20" s="24">
        <f ca="1">ROUND(D20*E20/10000,0)</f>
        <v>847</v>
      </c>
      <c r="D20" s="1032">
        <f ca="1">IF(C1="",'数据-汇总表'!E6,IF(INDIRECT("'数据-取费表'!c"&amp;$K$1)="住宅",INDIRECT("'数据-取费表'!s"&amp;$K$1),INDIRECT("'数据-取费表'!k"&amp;$K$1)+INDIRECT("'数据-取费表'!s"&amp;$K$1)))</f>
        <v>42325.20999999997</v>
      </c>
      <c r="E20" s="24">
        <f>'数据-取费表'!B28</f>
        <v>200</v>
      </c>
      <c r="F20" s="975"/>
      <c r="G20" s="15"/>
      <c r="H20" s="980"/>
      <c r="I20" s="980"/>
      <c r="J20" s="980"/>
      <c r="K20" s="981"/>
    </row>
    <row r="21" spans="1:33" s="974" customFormat="1" ht="13.5" customHeight="1">
      <c r="A21" s="960" t="s">
        <v>802</v>
      </c>
      <c r="B21" s="984" t="s">
        <v>2498</v>
      </c>
      <c r="C21" s="985">
        <f ca="1">C16+C17+C18</f>
        <v>847</v>
      </c>
      <c r="D21" s="986"/>
      <c r="E21" s="325"/>
      <c r="F21" s="325"/>
      <c r="G21" s="140" t="s">
        <v>2499</v>
      </c>
      <c r="H21" s="978"/>
      <c r="I21" s="978"/>
      <c r="J21" s="978"/>
      <c r="K21" s="979"/>
    </row>
    <row r="22" spans="1:33" s="974" customFormat="1" ht="13.5" customHeight="1">
      <c r="A22" s="960" t="s">
        <v>2471</v>
      </c>
      <c r="B22" s="984" t="s">
        <v>2500</v>
      </c>
      <c r="C22" s="985">
        <f ca="1">ROUND(C21*F22,0)</f>
        <v>17</v>
      </c>
      <c r="D22" s="325"/>
      <c r="E22" s="325"/>
      <c r="F22" s="987">
        <f>'数据-取费表'!B37</f>
        <v>0.02</v>
      </c>
      <c r="G22" s="8" t="s">
        <v>2501</v>
      </c>
      <c r="H22" s="967"/>
      <c r="I22" s="967"/>
      <c r="J22" s="967"/>
      <c r="K22" s="968"/>
    </row>
    <row r="23" spans="1:33" s="974" customFormat="1" ht="13.5" customHeight="1">
      <c r="A23" s="960" t="s">
        <v>2473</v>
      </c>
      <c r="B23" s="984" t="s">
        <v>2502</v>
      </c>
      <c r="C23" s="985">
        <f ca="1">ROUND(C4*F23*F11,0)</f>
        <v>0</v>
      </c>
      <c r="D23" s="325"/>
      <c r="E23" s="325"/>
      <c r="F23" s="987">
        <f>'数据-取费表'!B38</f>
        <v>0.03</v>
      </c>
      <c r="G23" s="8" t="s">
        <v>2503</v>
      </c>
      <c r="H23" s="967"/>
      <c r="I23" s="967"/>
      <c r="J23" s="967"/>
      <c r="K23" s="968"/>
    </row>
    <row r="24" spans="1:33" s="974" customFormat="1" ht="13.5" customHeight="1">
      <c r="A24" s="960" t="s">
        <v>2504</v>
      </c>
      <c r="B24" s="984" t="s">
        <v>2505</v>
      </c>
      <c r="C24" s="324">
        <f>ROUND(F24/(1+'数据-取费表'!C42),4)</f>
        <v>2.9000000000000001E-2</v>
      </c>
      <c r="D24" s="325" t="s">
        <v>15</v>
      </c>
      <c r="E24" s="325"/>
      <c r="F24" s="987">
        <f>'数据-取费表'!B48+'数据-取费表'!B49</f>
        <v>3.0499999999999999E-2</v>
      </c>
      <c r="G24" s="8" t="s">
        <v>2506</v>
      </c>
      <c r="H24" s="989"/>
      <c r="I24" s="989"/>
      <c r="J24" s="989"/>
      <c r="K24" s="990"/>
    </row>
    <row r="25" spans="1:33" s="974" customFormat="1" ht="13.5" customHeight="1">
      <c r="A25" s="960" t="s">
        <v>2507</v>
      </c>
      <c r="B25" s="986" t="s">
        <v>2508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2511</v>
      </c>
      <c r="B28" s="2556" t="s">
        <v>2512</v>
      </c>
      <c r="C28" s="331">
        <f ca="1">C30</f>
        <v>190</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2513</v>
      </c>
      <c r="C29" s="328">
        <f ca="1">ROUND((1+C24)*F28*'数据-取费表'!B24/'数据-取费表'!B20,4)</f>
        <v>0</v>
      </c>
      <c r="D29" s="328"/>
      <c r="E29" s="329"/>
      <c r="F29" s="334"/>
      <c r="G29" s="140" t="s">
        <v>2514</v>
      </c>
      <c r="H29" s="978"/>
      <c r="I29" s="978"/>
      <c r="J29" s="978"/>
      <c r="K29" s="979"/>
    </row>
    <row r="30" spans="1:33" s="335" customFormat="1" ht="13.5" customHeight="1">
      <c r="A30" s="970" t="s">
        <v>804</v>
      </c>
      <c r="B30" s="993" t="s">
        <v>2515</v>
      </c>
      <c r="C30" s="336">
        <f ca="1">ROUND((C21+C22+C23)*F28,0)</f>
        <v>190</v>
      </c>
      <c r="D30" s="328"/>
      <c r="E30" s="329"/>
      <c r="F30" s="334"/>
      <c r="G30" s="140"/>
      <c r="H30" s="978"/>
      <c r="I30" s="978"/>
      <c r="J30" s="978"/>
      <c r="K30" s="979"/>
    </row>
    <row r="31" spans="1:33" s="974" customFormat="1" ht="13.5" customHeight="1" thickBot="1">
      <c r="A31" s="2557" t="s">
        <v>2516</v>
      </c>
      <c r="B31" s="1004" t="s">
        <v>2517</v>
      </c>
      <c r="C31" s="1005">
        <f>ROUND(C4*F31/(1+'数据-取费表'!C42),0)</f>
        <v>0</v>
      </c>
      <c r="D31" s="1006"/>
      <c r="E31" s="1007"/>
      <c r="F31" s="1008">
        <f>'数据-取费表'!B41</f>
        <v>5.6000000000000001E-2</v>
      </c>
      <c r="G31" s="1009" t="s">
        <v>2518</v>
      </c>
      <c r="H31" s="1010"/>
      <c r="I31" s="1010"/>
      <c r="J31" s="1010"/>
      <c r="K31" s="1011"/>
    </row>
    <row r="32" spans="1:33" s="969" customFormat="1" ht="13.5" customHeight="1" thickBot="1">
      <c r="A32" s="999" t="s">
        <v>2519</v>
      </c>
      <c r="B32" s="1000"/>
      <c r="C32" s="1001">
        <f ca="1">ROUND((C4-C21-C22-C23-C25-C28-C31)/(1+C24+D25+D28),0)</f>
        <v>-1024</v>
      </c>
      <c r="D32" s="1000"/>
      <c r="E32" s="1000"/>
      <c r="F32" s="1000"/>
      <c r="G32" s="1002" t="s">
        <v>2520</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K40" sqref="K4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25" style="403" customWidth="1"/>
    <col min="17" max="17" width="19.5" style="403" customWidth="1"/>
    <col min="18" max="18" width="6.125" style="403" customWidth="1"/>
    <col min="19" max="19" width="8.125" style="403" customWidth="1"/>
    <col min="20" max="20" width="8.75" style="403" customWidth="1"/>
    <col min="21"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2329</v>
      </c>
      <c r="B2" s="670">
        <f>F66</f>
        <v>51404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2331</v>
      </c>
      <c r="B3" s="609">
        <f>ROUND(IF(D3="",B2*10000/'数据-汇总表'!E3,B2*10000/D3),0)</f>
        <v>12145</v>
      </c>
      <c r="C3" s="247" t="s">
        <v>2747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19" t="s">
        <v>2650</v>
      </c>
      <c r="AC4" s="3218" t="s">
        <v>2651</v>
      </c>
    </row>
    <row r="5" spans="1:30" ht="15.75" thickBot="1">
      <c r="A5" s="404"/>
      <c r="B5" s="405"/>
      <c r="C5" s="3229" t="s">
        <v>2544</v>
      </c>
      <c r="D5" s="3230"/>
      <c r="E5" s="3227" t="s">
        <v>2545</v>
      </c>
      <c r="F5" s="3228"/>
      <c r="G5" s="3229" t="s">
        <v>2546</v>
      </c>
      <c r="H5" s="3230"/>
      <c r="I5" s="3229" t="s">
        <v>2547</v>
      </c>
      <c r="J5" s="3230"/>
      <c r="K5" s="610"/>
      <c r="L5" s="1129"/>
      <c r="M5" s="1130"/>
      <c r="N5" s="1130"/>
      <c r="O5" s="1130"/>
      <c r="P5" s="3242"/>
      <c r="Q5" s="3243"/>
      <c r="R5" s="3225"/>
      <c r="S5" s="3226"/>
      <c r="T5" s="3225"/>
      <c r="U5" s="3226"/>
      <c r="V5" s="3248"/>
      <c r="W5" s="3248"/>
      <c r="X5" s="1811"/>
      <c r="Y5" s="3225"/>
      <c r="Z5" s="3226"/>
      <c r="AA5" s="3219"/>
      <c r="AB5" s="3219"/>
      <c r="AC5" s="3219"/>
    </row>
    <row r="6" spans="1:30" ht="15.75" hidden="1" thickBot="1">
      <c r="A6" s="406"/>
      <c r="B6" s="407"/>
      <c r="C6" s="3231" t="s">
        <v>2548</v>
      </c>
      <c r="D6" s="3232"/>
      <c r="E6" s="3233" t="s">
        <v>2548</v>
      </c>
      <c r="F6" s="3234"/>
      <c r="G6" s="3231" t="s">
        <v>2548</v>
      </c>
      <c r="H6" s="3232"/>
      <c r="I6" s="3231" t="s">
        <v>2548</v>
      </c>
      <c r="J6" s="3232"/>
      <c r="K6" s="610" t="s">
        <v>2549</v>
      </c>
      <c r="L6" s="1129"/>
      <c r="M6" s="1130"/>
      <c r="N6" s="1130"/>
      <c r="O6" s="1130"/>
      <c r="P6" s="3244"/>
      <c r="Q6" s="3245"/>
      <c r="R6" s="3225"/>
      <c r="S6" s="3226"/>
      <c r="T6" s="3246"/>
      <c r="U6" s="3247"/>
      <c r="V6" s="3248"/>
      <c r="W6" s="3248"/>
      <c r="X6" s="1811"/>
      <c r="Y6" s="3246"/>
      <c r="Z6" s="3247"/>
      <c r="AA6" s="3220"/>
      <c r="AB6" s="3220"/>
      <c r="AC6" s="3220"/>
    </row>
    <row r="7" spans="1:30" s="117" customFormat="1" ht="15.75" thickBot="1">
      <c r="A7" s="408" t="s">
        <v>2550</v>
      </c>
      <c r="B7" s="409"/>
      <c r="C7" s="410">
        <f>'数据-取费表'!B2</f>
        <v>43228</v>
      </c>
      <c r="D7" s="411">
        <v>100</v>
      </c>
      <c r="E7" s="412">
        <v>41855</v>
      </c>
      <c r="F7" s="413">
        <f>SUMIF(70:70,YEAR(E7)&amp;"-"&amp;INT((MONTH(E7)+2)/3),71:71)</f>
        <v>85</v>
      </c>
      <c r="G7" s="2693">
        <v>41765</v>
      </c>
      <c r="H7" s="411">
        <f>SUMIF(70:70,YEAR(G7)&amp;"-"&amp;INT((MONTH(G7)+2)/3),71:71)</f>
        <v>84</v>
      </c>
      <c r="I7" s="2693">
        <v>41862</v>
      </c>
      <c r="J7" s="411">
        <f>SUMIF(70:70,YEAR(I7)&amp;"-"&amp;INT((MONTH(I7)+2)/3),71:71)</f>
        <v>85</v>
      </c>
      <c r="K7" s="611"/>
      <c r="L7" s="1131"/>
      <c r="M7" s="1132"/>
      <c r="N7" s="1132"/>
      <c r="O7" s="1132"/>
      <c r="P7" s="3221" t="s">
        <v>2551</v>
      </c>
      <c r="Q7" s="3249"/>
      <c r="R7" s="769" t="s">
        <v>17</v>
      </c>
      <c r="S7" s="770">
        <f t="shared" ref="S7:S15" si="0">F7</f>
        <v>85</v>
      </c>
      <c r="T7" s="769" t="s">
        <v>17</v>
      </c>
      <c r="U7" s="770">
        <f t="shared" ref="U7:U15" si="1">H7</f>
        <v>84</v>
      </c>
      <c r="V7" s="769" t="s">
        <v>17</v>
      </c>
      <c r="W7" s="770">
        <f t="shared" ref="W7:W15" si="2">J7</f>
        <v>85</v>
      </c>
      <c r="X7" s="771"/>
      <c r="Y7" s="3221" t="s">
        <v>2551</v>
      </c>
      <c r="Z7" s="3222"/>
      <c r="AA7" s="772">
        <f>D7/F7</f>
        <v>1.1764705882352942</v>
      </c>
      <c r="AB7" s="772">
        <f>D7/H7</f>
        <v>1.1904761904761905</v>
      </c>
      <c r="AC7" s="772">
        <f>D7/J7</f>
        <v>1.1764705882352942</v>
      </c>
    </row>
    <row r="8" spans="1:30" s="117" customFormat="1" ht="15.75" thickBot="1">
      <c r="A8" s="408" t="s">
        <v>2552</v>
      </c>
      <c r="B8" s="409"/>
      <c r="C8" s="414" t="s">
        <v>2553</v>
      </c>
      <c r="D8" s="411">
        <v>100</v>
      </c>
      <c r="E8" s="414" t="s">
        <v>2553</v>
      </c>
      <c r="F8" s="413">
        <f>SUMIF(73:73,E8,74:74)-SUMIF(73:73,C8,74:74)+100</f>
        <v>100</v>
      </c>
      <c r="G8" s="414" t="s">
        <v>2553</v>
      </c>
      <c r="H8" s="411">
        <f>SUMIF(73:73,G8,74:74)-SUMIF(73:73,C8,74:74)+100</f>
        <v>100</v>
      </c>
      <c r="I8" s="414" t="s">
        <v>2553</v>
      </c>
      <c r="J8" s="411">
        <f>SUMIF(73:73,I8,74:74)-SUMIF(73:73,C8,74:74)+100</f>
        <v>100</v>
      </c>
      <c r="K8" s="611"/>
      <c r="L8" s="1131"/>
      <c r="M8" s="1132"/>
      <c r="N8" s="1132"/>
      <c r="O8" s="1132"/>
      <c r="P8" s="3221" t="s">
        <v>2554</v>
      </c>
      <c r="Q8" s="3222"/>
      <c r="R8" s="769" t="s">
        <v>17</v>
      </c>
      <c r="S8" s="770">
        <f t="shared" si="0"/>
        <v>100</v>
      </c>
      <c r="T8" s="769" t="s">
        <v>17</v>
      </c>
      <c r="U8" s="770">
        <f t="shared" si="1"/>
        <v>100</v>
      </c>
      <c r="V8" s="769" t="s">
        <v>17</v>
      </c>
      <c r="W8" s="770">
        <f t="shared" si="2"/>
        <v>100</v>
      </c>
      <c r="X8" s="771"/>
      <c r="Y8" s="3221" t="s">
        <v>2554</v>
      </c>
      <c r="Z8" s="3222"/>
      <c r="AA8" s="772">
        <f t="shared" ref="AA8:AA45" si="3">D8/F8</f>
        <v>1</v>
      </c>
      <c r="AB8" s="772">
        <f t="shared" ref="AB8:AB45" si="4">D8/H8</f>
        <v>1</v>
      </c>
      <c r="AC8" s="772">
        <f t="shared" ref="AC8:AC45" si="5">D8/J8</f>
        <v>1</v>
      </c>
    </row>
    <row r="9" spans="1:30" s="117" customFormat="1">
      <c r="A9" s="415" t="s">
        <v>2555</v>
      </c>
      <c r="B9" s="71" t="s">
        <v>2556</v>
      </c>
      <c r="C9" s="2696" t="s">
        <v>3109</v>
      </c>
      <c r="D9" s="135">
        <v>100</v>
      </c>
      <c r="E9" s="2696" t="s">
        <v>3109</v>
      </c>
      <c r="F9" s="135">
        <f>SUMIF(75:75,E9,76:76)-SUMIF(75:75,C9,76:76)+100</f>
        <v>100</v>
      </c>
      <c r="G9" s="2696" t="s">
        <v>3109</v>
      </c>
      <c r="H9" s="135">
        <f>SUMIF(75:75,G9,76:76)-SUMIF(75:75,C9,76:76)+100</f>
        <v>100</v>
      </c>
      <c r="I9" s="2696" t="s">
        <v>3109</v>
      </c>
      <c r="J9" s="135">
        <f>SUMIF(75:75,I9,76:76)-SUMIF(75:75,C9,76:76)+100</f>
        <v>100</v>
      </c>
      <c r="K9" s="611"/>
      <c r="L9" s="1131"/>
      <c r="M9" s="1132"/>
      <c r="N9" s="1132"/>
      <c r="O9" s="1133"/>
      <c r="P9" s="3235"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772">
        <f t="shared" si="5"/>
        <v>1</v>
      </c>
    </row>
    <row r="10" spans="1:30" s="427" customFormat="1" ht="28.5">
      <c r="A10" s="421"/>
      <c r="B10" s="422" t="s">
        <v>2559</v>
      </c>
      <c r="C10" s="432" t="s">
        <v>3112</v>
      </c>
      <c r="D10" s="136">
        <v>100</v>
      </c>
      <c r="E10" s="465" t="s">
        <v>3111</v>
      </c>
      <c r="F10" s="136">
        <f>ROUND(100/'数据-取费表'!G16,0)</f>
        <v>114</v>
      </c>
      <c r="G10" s="465" t="s">
        <v>3111</v>
      </c>
      <c r="H10" s="136">
        <f>ROUND(100/'数据-取费表'!G16,0)</f>
        <v>114</v>
      </c>
      <c r="I10" s="465" t="s">
        <v>3111</v>
      </c>
      <c r="J10" s="136">
        <f>ROUND(100/'数据-取费表'!G16,0)</f>
        <v>114</v>
      </c>
      <c r="K10" s="671"/>
      <c r="L10" s="1134"/>
      <c r="M10" s="1135"/>
      <c r="N10" s="1135"/>
      <c r="O10" s="1136"/>
      <c r="P10" s="3235"/>
      <c r="Q10" s="1793" t="str">
        <f t="shared" si="6"/>
        <v>土地使用年限（年）</v>
      </c>
      <c r="R10" s="769" t="s">
        <v>17</v>
      </c>
      <c r="S10" s="770">
        <f t="shared" si="0"/>
        <v>114</v>
      </c>
      <c r="T10" s="769" t="s">
        <v>17</v>
      </c>
      <c r="U10" s="770">
        <f t="shared" si="1"/>
        <v>114</v>
      </c>
      <c r="V10" s="769" t="s">
        <v>17</v>
      </c>
      <c r="W10" s="770">
        <f t="shared" si="2"/>
        <v>114</v>
      </c>
      <c r="X10" s="771"/>
      <c r="Y10" s="3095"/>
      <c r="Z10" s="55" t="str">
        <f t="shared" si="7"/>
        <v>土地使用年限（年）</v>
      </c>
      <c r="AA10" s="772">
        <f t="shared" si="3"/>
        <v>0.8771929824561403</v>
      </c>
      <c r="AB10" s="772">
        <f t="shared" si="4"/>
        <v>0.8771929824561403</v>
      </c>
      <c r="AC10" s="772">
        <f t="shared" si="5"/>
        <v>0.8771929824561403</v>
      </c>
    </row>
    <row r="11" spans="1:30" ht="15">
      <c r="A11" s="428"/>
      <c r="B11" s="422" t="s">
        <v>2560</v>
      </c>
      <c r="C11" s="429">
        <v>3.5</v>
      </c>
      <c r="D11" s="136">
        <v>100</v>
      </c>
      <c r="E11" s="429">
        <v>6.43</v>
      </c>
      <c r="F11" s="136">
        <f>LOOKUP(E11,80:80,81:81)-LOOKUP(C11,80:80,81:81)+100</f>
        <v>106</v>
      </c>
      <c r="G11" s="430">
        <v>7.49</v>
      </c>
      <c r="H11" s="136">
        <f>LOOKUP(G11,80:80,81:81)-LOOKUP(C11,80:80,81:81)+100</f>
        <v>108</v>
      </c>
      <c r="I11" s="429">
        <v>3.49</v>
      </c>
      <c r="J11" s="136">
        <f>LOOKUP(I11,80:80,81:81)-LOOKUP(C11,80:80,81:81)+100</f>
        <v>100</v>
      </c>
      <c r="K11" s="672">
        <v>-2</v>
      </c>
      <c r="L11" s="1137"/>
      <c r="M11" s="1130"/>
      <c r="N11" s="1130"/>
      <c r="O11" s="1138"/>
      <c r="P11" s="3235"/>
      <c r="Q11" s="1793" t="str">
        <f t="shared" si="6"/>
        <v>容积率</v>
      </c>
      <c r="R11" s="769" t="s">
        <v>17</v>
      </c>
      <c r="S11" s="770">
        <f t="shared" si="0"/>
        <v>106</v>
      </c>
      <c r="T11" s="769" t="s">
        <v>17</v>
      </c>
      <c r="U11" s="770">
        <f t="shared" si="1"/>
        <v>108</v>
      </c>
      <c r="V11" s="769" t="s">
        <v>17</v>
      </c>
      <c r="W11" s="770">
        <f t="shared" si="2"/>
        <v>100</v>
      </c>
      <c r="X11" s="771"/>
      <c r="Y11" s="3095"/>
      <c r="Z11" s="55" t="str">
        <f t="shared" si="7"/>
        <v>容积率</v>
      </c>
      <c r="AA11" s="772">
        <f t="shared" si="3"/>
        <v>0.94339622641509435</v>
      </c>
      <c r="AB11" s="772">
        <f t="shared" si="4"/>
        <v>0.92592592592592593</v>
      </c>
      <c r="AC11" s="772">
        <f t="shared" si="5"/>
        <v>1</v>
      </c>
    </row>
    <row r="12" spans="1:30" s="117" customFormat="1" ht="15" hidden="1">
      <c r="A12" s="431"/>
      <c r="B12" s="2597"/>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235"/>
      <c r="Q12" s="1793">
        <f t="shared" si="6"/>
        <v>0</v>
      </c>
      <c r="R12" s="769" t="s">
        <v>17</v>
      </c>
      <c r="S12" s="770">
        <f t="shared" si="0"/>
        <v>100</v>
      </c>
      <c r="T12" s="769" t="s">
        <v>17</v>
      </c>
      <c r="U12" s="770">
        <f t="shared" si="1"/>
        <v>100</v>
      </c>
      <c r="V12" s="769" t="s">
        <v>17</v>
      </c>
      <c r="W12" s="770">
        <f t="shared" si="2"/>
        <v>100</v>
      </c>
      <c r="X12" s="771"/>
      <c r="Y12" s="3095"/>
      <c r="Z12" s="55">
        <f t="shared" si="7"/>
        <v>0</v>
      </c>
      <c r="AA12" s="772">
        <f>D12/F12</f>
        <v>1</v>
      </c>
      <c r="AB12" s="772">
        <f>D12/H12</f>
        <v>1</v>
      </c>
      <c r="AC12" s="772">
        <f>D12/J12</f>
        <v>1</v>
      </c>
    </row>
    <row r="13" spans="1:30" ht="15" hidden="1">
      <c r="A13" s="428"/>
      <c r="B13" s="2597"/>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235"/>
      <c r="Q13" s="1793">
        <f t="shared" si="6"/>
        <v>0</v>
      </c>
      <c r="R13" s="769" t="s">
        <v>17</v>
      </c>
      <c r="S13" s="770">
        <f t="shared" si="0"/>
        <v>100</v>
      </c>
      <c r="T13" s="769" t="s">
        <v>17</v>
      </c>
      <c r="U13" s="770">
        <f t="shared" si="1"/>
        <v>100</v>
      </c>
      <c r="V13" s="769" t="s">
        <v>17</v>
      </c>
      <c r="W13" s="770">
        <f t="shared" si="2"/>
        <v>100</v>
      </c>
      <c r="X13" s="771"/>
      <c r="Y13" s="3095"/>
      <c r="Z13" s="55">
        <f t="shared" si="7"/>
        <v>0</v>
      </c>
      <c r="AA13" s="772">
        <f>D13/F13</f>
        <v>1</v>
      </c>
      <c r="AB13" s="772">
        <f>D13/H13</f>
        <v>1</v>
      </c>
      <c r="AC13" s="772">
        <f>D13/J13</f>
        <v>1</v>
      </c>
    </row>
    <row r="14" spans="1:30" ht="15.75" hidden="1" thickBot="1">
      <c r="A14" s="436"/>
      <c r="B14" s="2599"/>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235"/>
      <c r="Q14" s="1793">
        <f t="shared" si="6"/>
        <v>0</v>
      </c>
      <c r="R14" s="769" t="s">
        <v>17</v>
      </c>
      <c r="S14" s="770">
        <f t="shared" si="0"/>
        <v>100</v>
      </c>
      <c r="T14" s="769" t="s">
        <v>17</v>
      </c>
      <c r="U14" s="770">
        <f t="shared" si="1"/>
        <v>100</v>
      </c>
      <c r="V14" s="769" t="s">
        <v>17</v>
      </c>
      <c r="W14" s="770">
        <f t="shared" si="2"/>
        <v>100</v>
      </c>
      <c r="X14" s="771"/>
      <c r="Y14" s="3095"/>
      <c r="Z14" s="55">
        <f t="shared" si="7"/>
        <v>0</v>
      </c>
      <c r="AA14" s="772">
        <f>D14/F14</f>
        <v>1</v>
      </c>
      <c r="AB14" s="772">
        <f>D14/H14</f>
        <v>1</v>
      </c>
      <c r="AC14" s="772">
        <f>D14/J14</f>
        <v>1</v>
      </c>
    </row>
    <row r="15" spans="1:30" ht="99.75" hidden="1">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250" t="s">
        <v>2562</v>
      </c>
      <c r="Q15" s="1808" t="str">
        <f t="shared" si="6"/>
        <v>居住社区成熟度</v>
      </c>
      <c r="R15" s="773" t="s">
        <v>17</v>
      </c>
      <c r="S15" s="774">
        <f t="shared" si="0"/>
        <v>100</v>
      </c>
      <c r="T15" s="773" t="s">
        <v>17</v>
      </c>
      <c r="U15" s="774">
        <f t="shared" si="1"/>
        <v>100</v>
      </c>
      <c r="V15" s="773" t="s">
        <v>17</v>
      </c>
      <c r="W15" s="774">
        <f t="shared" si="2"/>
        <v>100</v>
      </c>
      <c r="X15" s="1811"/>
      <c r="Y15" s="3250" t="s">
        <v>2562</v>
      </c>
      <c r="Z15" s="1812" t="str">
        <f t="shared" si="7"/>
        <v>居住社区成熟度</v>
      </c>
      <c r="AA15" s="1809">
        <f t="shared" si="3"/>
        <v>1</v>
      </c>
      <c r="AB15" s="1809">
        <f t="shared" si="4"/>
        <v>1</v>
      </c>
      <c r="AC15" s="1809">
        <f t="shared" si="5"/>
        <v>1</v>
      </c>
    </row>
    <row r="16" spans="1:30" ht="15" hidden="1">
      <c r="A16" s="428"/>
      <c r="B16" s="446"/>
      <c r="C16" s="447"/>
      <c r="D16" s="448"/>
      <c r="E16" s="2602"/>
      <c r="F16" s="448"/>
      <c r="G16" s="2602"/>
      <c r="H16" s="450"/>
      <c r="I16" s="2601"/>
      <c r="J16" s="448"/>
      <c r="K16" s="671"/>
      <c r="L16" s="1139"/>
      <c r="M16" s="1130"/>
      <c r="N16" s="1130"/>
      <c r="O16" s="1138"/>
      <c r="P16" s="3251"/>
      <c r="Q16" s="1808"/>
      <c r="R16" s="773"/>
      <c r="S16" s="774"/>
      <c r="T16" s="773"/>
      <c r="U16" s="774"/>
      <c r="V16" s="773"/>
      <c r="W16" s="774"/>
      <c r="X16" s="1811"/>
      <c r="Y16" s="3251"/>
      <c r="Z16" s="1812"/>
      <c r="AA16" s="1809">
        <v>1</v>
      </c>
      <c r="AB16" s="1809">
        <v>1</v>
      </c>
      <c r="AC16" s="1809">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3</v>
      </c>
      <c r="L17" s="1139"/>
      <c r="M17" s="1130"/>
      <c r="N17" s="1130"/>
      <c r="O17" s="1138"/>
      <c r="P17" s="3251"/>
      <c r="Q17" s="1808" t="str">
        <f>B17</f>
        <v>商业繁华度</v>
      </c>
      <c r="R17" s="773" t="s">
        <v>17</v>
      </c>
      <c r="S17" s="774">
        <f>F17</f>
        <v>100</v>
      </c>
      <c r="T17" s="773" t="s">
        <v>17</v>
      </c>
      <c r="U17" s="774">
        <f>H17</f>
        <v>100</v>
      </c>
      <c r="V17" s="773" t="s">
        <v>17</v>
      </c>
      <c r="W17" s="774">
        <f>J17</f>
        <v>100</v>
      </c>
      <c r="X17" s="1811"/>
      <c r="Y17" s="3251"/>
      <c r="Z17" s="1812" t="str">
        <f>Q17</f>
        <v>商业繁华度</v>
      </c>
      <c r="AA17" s="1809">
        <f t="shared" si="3"/>
        <v>1</v>
      </c>
      <c r="AB17" s="1809">
        <f t="shared" si="4"/>
        <v>1</v>
      </c>
      <c r="AC17" s="1809">
        <f t="shared" si="5"/>
        <v>1</v>
      </c>
    </row>
    <row r="18" spans="1:29" ht="15">
      <c r="A18" s="428"/>
      <c r="B18" s="456"/>
      <c r="C18" s="2605" t="s">
        <v>3092</v>
      </c>
      <c r="D18" s="450"/>
      <c r="E18" s="2607" t="s">
        <v>3092</v>
      </c>
      <c r="F18" s="450"/>
      <c r="G18" s="2607" t="s">
        <v>3092</v>
      </c>
      <c r="H18" s="448"/>
      <c r="I18" s="2607" t="s">
        <v>3092</v>
      </c>
      <c r="J18" s="448"/>
      <c r="K18" s="671"/>
      <c r="L18" s="1139"/>
      <c r="M18" s="1130"/>
      <c r="N18" s="1130"/>
      <c r="O18" s="1138"/>
      <c r="P18" s="3251"/>
      <c r="Q18" s="1808"/>
      <c r="R18" s="773"/>
      <c r="S18" s="774"/>
      <c r="T18" s="773"/>
      <c r="U18" s="774"/>
      <c r="V18" s="773"/>
      <c r="W18" s="774"/>
      <c r="X18" s="1811"/>
      <c r="Y18" s="3251"/>
      <c r="Z18" s="1812"/>
      <c r="AA18" s="1809">
        <v>1</v>
      </c>
      <c r="AB18" s="1809">
        <v>1</v>
      </c>
      <c r="AC18" s="1809">
        <v>1</v>
      </c>
    </row>
    <row r="19" spans="1:29" ht="71.25">
      <c r="A19" s="428"/>
      <c r="B19" s="451" t="s">
        <v>2688</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2">
        <v>3</v>
      </c>
      <c r="L19" s="1139"/>
      <c r="M19" s="1130"/>
      <c r="N19" s="1130"/>
      <c r="O19" s="1138"/>
      <c r="P19" s="3251"/>
      <c r="Q19" s="1808" t="str">
        <f>B19</f>
        <v>办公集聚程度</v>
      </c>
      <c r="R19" s="773" t="s">
        <v>17</v>
      </c>
      <c r="S19" s="774">
        <f>F19</f>
        <v>100</v>
      </c>
      <c r="T19" s="773" t="s">
        <v>17</v>
      </c>
      <c r="U19" s="774">
        <f>H19</f>
        <v>100</v>
      </c>
      <c r="V19" s="773" t="s">
        <v>17</v>
      </c>
      <c r="W19" s="774">
        <f>J19</f>
        <v>100</v>
      </c>
      <c r="X19" s="1811"/>
      <c r="Y19" s="3251"/>
      <c r="Z19" s="1812" t="str">
        <f>Q19</f>
        <v>办公集聚程度</v>
      </c>
      <c r="AA19" s="1809">
        <f t="shared" si="3"/>
        <v>1</v>
      </c>
      <c r="AB19" s="1809">
        <f t="shared" si="4"/>
        <v>1</v>
      </c>
      <c r="AC19" s="1809">
        <f t="shared" si="5"/>
        <v>1</v>
      </c>
    </row>
    <row r="20" spans="1:29" ht="15">
      <c r="A20" s="428"/>
      <c r="B20" s="456"/>
      <c r="C20" s="447" t="s">
        <v>3092</v>
      </c>
      <c r="D20" s="448"/>
      <c r="E20" s="2602" t="s">
        <v>3092</v>
      </c>
      <c r="F20" s="448"/>
      <c r="G20" s="2602" t="s">
        <v>3092</v>
      </c>
      <c r="H20" s="448"/>
      <c r="I20" s="2602" t="s">
        <v>3092</v>
      </c>
      <c r="J20" s="448"/>
      <c r="K20" s="671"/>
      <c r="L20" s="1139"/>
      <c r="M20" s="1130"/>
      <c r="N20" s="1130"/>
      <c r="O20" s="1138"/>
      <c r="P20" s="3251"/>
      <c r="Q20" s="1808"/>
      <c r="R20" s="773"/>
      <c r="S20" s="774"/>
      <c r="T20" s="773"/>
      <c r="U20" s="774"/>
      <c r="V20" s="773"/>
      <c r="W20" s="774"/>
      <c r="X20" s="1811"/>
      <c r="Y20" s="3251"/>
      <c r="Z20" s="1812"/>
      <c r="AA20" s="1809">
        <v>1</v>
      </c>
      <c r="AB20" s="1809">
        <v>1</v>
      </c>
      <c r="AC20" s="1809">
        <v>1</v>
      </c>
    </row>
    <row r="21" spans="1:29" ht="85.5">
      <c r="A21" s="428"/>
      <c r="B21" s="451" t="s">
        <v>2710</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2">
        <v>2</v>
      </c>
      <c r="L21" s="1139"/>
      <c r="M21" s="1130"/>
      <c r="N21" s="1130"/>
      <c r="O21" s="1138"/>
      <c r="P21" s="3251"/>
      <c r="Q21" s="1808" t="str">
        <f>B21</f>
        <v>交通便捷度</v>
      </c>
      <c r="R21" s="773" t="s">
        <v>17</v>
      </c>
      <c r="S21" s="774">
        <f>F21</f>
        <v>100</v>
      </c>
      <c r="T21" s="773" t="s">
        <v>17</v>
      </c>
      <c r="U21" s="774">
        <f>H21</f>
        <v>100</v>
      </c>
      <c r="V21" s="773" t="s">
        <v>17</v>
      </c>
      <c r="W21" s="774">
        <f>J21</f>
        <v>100</v>
      </c>
      <c r="X21" s="1811"/>
      <c r="Y21" s="3251"/>
      <c r="Z21" s="1812" t="str">
        <f>Q21</f>
        <v>交通便捷度</v>
      </c>
      <c r="AA21" s="1809">
        <f t="shared" si="3"/>
        <v>1</v>
      </c>
      <c r="AB21" s="1809">
        <f t="shared" si="4"/>
        <v>1</v>
      </c>
      <c r="AC21" s="1809">
        <f t="shared" si="5"/>
        <v>1</v>
      </c>
    </row>
    <row r="22" spans="1:29" ht="15">
      <c r="A22" s="428"/>
      <c r="B22" s="1383"/>
      <c r="C22" s="447" t="s">
        <v>3093</v>
      </c>
      <c r="D22" s="450"/>
      <c r="E22" s="2602" t="s">
        <v>3093</v>
      </c>
      <c r="F22" s="448"/>
      <c r="G22" s="2602" t="s">
        <v>3093</v>
      </c>
      <c r="H22" s="448"/>
      <c r="I22" s="2602" t="s">
        <v>3093</v>
      </c>
      <c r="J22" s="448"/>
      <c r="K22" s="671"/>
      <c r="L22" s="1139"/>
      <c r="M22" s="1130"/>
      <c r="N22" s="1130"/>
      <c r="O22" s="1138"/>
      <c r="P22" s="3251"/>
      <c r="Q22" s="1808"/>
      <c r="R22" s="773"/>
      <c r="S22" s="774"/>
      <c r="T22" s="773"/>
      <c r="U22" s="774"/>
      <c r="V22" s="773"/>
      <c r="W22" s="774"/>
      <c r="X22" s="1811"/>
      <c r="Y22" s="3251"/>
      <c r="Z22" s="1812"/>
      <c r="AA22" s="1809">
        <v>1</v>
      </c>
      <c r="AB22" s="1809">
        <v>1</v>
      </c>
      <c r="AC22" s="1809">
        <v>1</v>
      </c>
    </row>
    <row r="23" spans="1:29" ht="15">
      <c r="A23" s="404"/>
      <c r="B23" s="451" t="s">
        <v>2748</v>
      </c>
      <c r="C23" s="1388">
        <f>估价对象房地状况!C19</f>
        <v>0</v>
      </c>
      <c r="D23" s="455">
        <v>100</v>
      </c>
      <c r="E23" s="452"/>
      <c r="F23" s="455">
        <f>SUMIF(96:96,E24,97:97)-SUMIF(96:96,C24,97:97)+100</f>
        <v>100</v>
      </c>
      <c r="G23" s="452"/>
      <c r="H23" s="455">
        <f>SUMIF(96:96,G24,97:97)-SUMIF(96:96,C24,97:97)+100</f>
        <v>100</v>
      </c>
      <c r="I23" s="452"/>
      <c r="J23" s="455">
        <f>SUMIF(96:96,I24,97:97)-SUMIF(96:96,C24,97:97)+100</f>
        <v>100</v>
      </c>
      <c r="K23" s="672">
        <v>2</v>
      </c>
      <c r="L23" s="1139"/>
      <c r="M23" s="1130"/>
      <c r="N23" s="1130"/>
      <c r="O23" s="1138"/>
      <c r="P23" s="3251"/>
      <c r="Q23" s="1808" t="str">
        <f t="shared" ref="Q23:Q37" si="8">B23</f>
        <v>区域土地利用方向</v>
      </c>
      <c r="R23" s="773" t="s">
        <v>17</v>
      </c>
      <c r="S23" s="774">
        <f>F23</f>
        <v>100</v>
      </c>
      <c r="T23" s="773" t="s">
        <v>17</v>
      </c>
      <c r="U23" s="774">
        <f>H23</f>
        <v>100</v>
      </c>
      <c r="V23" s="773" t="s">
        <v>17</v>
      </c>
      <c r="W23" s="774">
        <f>J23</f>
        <v>100</v>
      </c>
      <c r="X23" s="1811"/>
      <c r="Y23" s="3251"/>
      <c r="Z23" s="1812" t="str">
        <f>Q23</f>
        <v>区域土地利用方向</v>
      </c>
      <c r="AA23" s="1809">
        <f t="shared" si="3"/>
        <v>1</v>
      </c>
      <c r="AB23" s="1809">
        <f t="shared" si="4"/>
        <v>1</v>
      </c>
      <c r="AC23" s="1809">
        <f t="shared" si="5"/>
        <v>1</v>
      </c>
    </row>
    <row r="24" spans="1:29" ht="15">
      <c r="A24" s="404"/>
      <c r="B24" s="456"/>
      <c r="C24" s="616" t="s">
        <v>3093</v>
      </c>
      <c r="D24" s="448"/>
      <c r="E24" s="2602" t="s">
        <v>3093</v>
      </c>
      <c r="F24" s="448"/>
      <c r="G24" s="2602" t="s">
        <v>3093</v>
      </c>
      <c r="H24" s="448"/>
      <c r="I24" s="2602" t="s">
        <v>3093</v>
      </c>
      <c r="J24" s="448"/>
      <c r="K24" s="808"/>
      <c r="L24" s="1139"/>
      <c r="M24" s="1130"/>
      <c r="N24" s="1130"/>
      <c r="O24" s="1138"/>
      <c r="P24" s="3251"/>
      <c r="Q24" s="1808"/>
      <c r="R24" s="773"/>
      <c r="S24" s="774"/>
      <c r="T24" s="773"/>
      <c r="U24" s="774"/>
      <c r="V24" s="773"/>
      <c r="W24" s="774"/>
      <c r="X24" s="1811"/>
      <c r="Y24" s="3251"/>
      <c r="Z24" s="1812"/>
      <c r="AA24" s="1809"/>
      <c r="AB24" s="1809"/>
      <c r="AC24" s="1809"/>
    </row>
    <row r="25" spans="1:29" ht="57">
      <c r="A25" s="404"/>
      <c r="B25" s="1383" t="s">
        <v>2749</v>
      </c>
      <c r="C25" s="2661"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2">
        <v>2</v>
      </c>
      <c r="L25" s="1139"/>
      <c r="M25" s="1130"/>
      <c r="N25" s="1130"/>
      <c r="O25" s="1138"/>
      <c r="P25" s="3251"/>
      <c r="Q25" s="1808" t="str">
        <f t="shared" si="8"/>
        <v>自然及人文环境状况</v>
      </c>
      <c r="R25" s="773" t="s">
        <v>17</v>
      </c>
      <c r="S25" s="774">
        <f>F25</f>
        <v>102</v>
      </c>
      <c r="T25" s="773" t="s">
        <v>17</v>
      </c>
      <c r="U25" s="774">
        <f>H25</f>
        <v>102</v>
      </c>
      <c r="V25" s="773" t="s">
        <v>17</v>
      </c>
      <c r="W25" s="774">
        <f>J25</f>
        <v>102</v>
      </c>
      <c r="X25" s="1811"/>
      <c r="Y25" s="3251"/>
      <c r="Z25" s="1812" t="str">
        <f>Q25</f>
        <v>自然及人文环境状况</v>
      </c>
      <c r="AA25" s="1809">
        <f t="shared" si="3"/>
        <v>0.98039215686274506</v>
      </c>
      <c r="AB25" s="1809">
        <f t="shared" si="4"/>
        <v>0.98039215686274506</v>
      </c>
      <c r="AC25" s="1809">
        <f t="shared" si="5"/>
        <v>0.98039215686274506</v>
      </c>
    </row>
    <row r="26" spans="1:29" ht="15">
      <c r="A26" s="404"/>
      <c r="B26" s="456"/>
      <c r="C26" s="447" t="s">
        <v>3092</v>
      </c>
      <c r="D26" s="448"/>
      <c r="E26" s="2608" t="s">
        <v>3093</v>
      </c>
      <c r="F26" s="448"/>
      <c r="G26" s="2608" t="s">
        <v>3093</v>
      </c>
      <c r="H26" s="448"/>
      <c r="I26" s="2608" t="s">
        <v>3093</v>
      </c>
      <c r="J26" s="448"/>
      <c r="K26" s="671"/>
      <c r="L26" s="1139"/>
      <c r="M26" s="1130"/>
      <c r="N26" s="1130"/>
      <c r="O26" s="1138"/>
      <c r="P26" s="3251"/>
      <c r="Q26" s="1808"/>
      <c r="R26" s="773"/>
      <c r="S26" s="774"/>
      <c r="T26" s="773"/>
      <c r="U26" s="774"/>
      <c r="V26" s="773"/>
      <c r="W26" s="774"/>
      <c r="X26" s="1811"/>
      <c r="Y26" s="3251"/>
      <c r="Z26" s="1812"/>
      <c r="AA26" s="1809">
        <v>1</v>
      </c>
      <c r="AB26" s="1809">
        <v>1</v>
      </c>
      <c r="AC26" s="1809">
        <v>1</v>
      </c>
    </row>
    <row r="27" spans="1:29" s="117" customFormat="1" ht="42.75">
      <c r="A27" s="648"/>
      <c r="B27" s="1383"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v>2</v>
      </c>
      <c r="L27" s="1131"/>
      <c r="M27" s="1132"/>
      <c r="N27" s="1132"/>
      <c r="O27" s="1133"/>
      <c r="P27" s="3251"/>
      <c r="Q27" s="1793" t="str">
        <f t="shared" si="8"/>
        <v>公共配套设施</v>
      </c>
      <c r="R27" s="769" t="s">
        <v>17</v>
      </c>
      <c r="S27" s="770">
        <f>F27</f>
        <v>100</v>
      </c>
      <c r="T27" s="769" t="s">
        <v>17</v>
      </c>
      <c r="U27" s="770">
        <f>H27</f>
        <v>100</v>
      </c>
      <c r="V27" s="769" t="s">
        <v>17</v>
      </c>
      <c r="W27" s="770">
        <f>J27</f>
        <v>100</v>
      </c>
      <c r="X27" s="771"/>
      <c r="Y27" s="3251"/>
      <c r="Z27" s="55" t="str">
        <f>Q27</f>
        <v>公共配套设施</v>
      </c>
      <c r="AA27" s="1809">
        <f>D27/F27</f>
        <v>1</v>
      </c>
      <c r="AB27" s="1809">
        <f>D27/H27</f>
        <v>1</v>
      </c>
      <c r="AC27" s="1809">
        <f>D27/J27</f>
        <v>1</v>
      </c>
    </row>
    <row r="28" spans="1:29" s="117" customFormat="1" ht="15">
      <c r="A28" s="648"/>
      <c r="B28" s="456"/>
      <c r="C28" s="2697" t="s">
        <v>3093</v>
      </c>
      <c r="D28" s="448"/>
      <c r="E28" s="2697" t="s">
        <v>3093</v>
      </c>
      <c r="F28" s="448"/>
      <c r="G28" s="2697" t="s">
        <v>3093</v>
      </c>
      <c r="H28" s="448"/>
      <c r="I28" s="2697" t="s">
        <v>3093</v>
      </c>
      <c r="J28" s="448"/>
      <c r="K28" s="671"/>
      <c r="L28" s="1131"/>
      <c r="M28" s="1132"/>
      <c r="N28" s="1132"/>
      <c r="O28" s="1133"/>
      <c r="P28" s="3251"/>
      <c r="Q28" s="1793"/>
      <c r="R28" s="769"/>
      <c r="S28" s="770"/>
      <c r="T28" s="769"/>
      <c r="U28" s="770"/>
      <c r="V28" s="769"/>
      <c r="W28" s="770"/>
      <c r="X28" s="771"/>
      <c r="Y28" s="3251"/>
      <c r="Z28" s="55"/>
      <c r="AA28" s="1809">
        <v>1</v>
      </c>
      <c r="AB28" s="1809">
        <v>1</v>
      </c>
      <c r="AC28" s="1809">
        <v>1</v>
      </c>
    </row>
    <row r="29" spans="1:29" s="117" customFormat="1" ht="28.5">
      <c r="A29" s="648"/>
      <c r="B29" s="1383"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v>2</v>
      </c>
      <c r="L29" s="1131"/>
      <c r="M29" s="1132"/>
      <c r="N29" s="1132"/>
      <c r="O29" s="1133"/>
      <c r="P29" s="3251"/>
      <c r="Q29" s="1793" t="str">
        <f t="shared" ref="Q29" si="9">B29</f>
        <v>基础设施水平</v>
      </c>
      <c r="R29" s="769" t="s">
        <v>17</v>
      </c>
      <c r="S29" s="770">
        <f>F29</f>
        <v>100</v>
      </c>
      <c r="T29" s="769" t="s">
        <v>17</v>
      </c>
      <c r="U29" s="770">
        <f>H29</f>
        <v>100</v>
      </c>
      <c r="V29" s="769" t="s">
        <v>17</v>
      </c>
      <c r="W29" s="770">
        <f>J29</f>
        <v>100</v>
      </c>
      <c r="X29" s="771"/>
      <c r="Y29" s="3251"/>
      <c r="Z29" s="55" t="str">
        <f>Q29</f>
        <v>基础设施水平</v>
      </c>
      <c r="AA29" s="1809">
        <f>D29/F29</f>
        <v>1</v>
      </c>
      <c r="AB29" s="1809">
        <f>D29/H29</f>
        <v>1</v>
      </c>
      <c r="AC29" s="1809">
        <f>D29/J29</f>
        <v>1</v>
      </c>
    </row>
    <row r="30" spans="1:29" s="117" customFormat="1" ht="15">
      <c r="A30" s="648"/>
      <c r="B30" s="456"/>
      <c r="C30" s="2697" t="s">
        <v>3113</v>
      </c>
      <c r="D30" s="448"/>
      <c r="E30" s="2697" t="s">
        <v>3113</v>
      </c>
      <c r="F30" s="448"/>
      <c r="G30" s="2697" t="s">
        <v>3113</v>
      </c>
      <c r="H30" s="448"/>
      <c r="I30" s="2697" t="s">
        <v>3113</v>
      </c>
      <c r="J30" s="448"/>
      <c r="K30" s="671"/>
      <c r="L30" s="1131"/>
      <c r="M30" s="1132"/>
      <c r="N30" s="1132"/>
      <c r="O30" s="1133"/>
      <c r="P30" s="3251"/>
      <c r="Q30" s="1793"/>
      <c r="R30" s="769"/>
      <c r="S30" s="770"/>
      <c r="T30" s="769"/>
      <c r="U30" s="770"/>
      <c r="V30" s="769"/>
      <c r="W30" s="770"/>
      <c r="X30" s="771"/>
      <c r="Y30" s="3251"/>
      <c r="Z30" s="55"/>
      <c r="AA30" s="1809">
        <v>1</v>
      </c>
      <c r="AB30" s="1809">
        <v>1</v>
      </c>
      <c r="AC30" s="1809">
        <v>1</v>
      </c>
    </row>
    <row r="31" spans="1:29" ht="15">
      <c r="A31" s="428"/>
      <c r="B31" s="456" t="s">
        <v>2658</v>
      </c>
      <c r="C31" s="616" t="s">
        <v>3114</v>
      </c>
      <c r="D31" s="435">
        <v>100</v>
      </c>
      <c r="E31" s="616" t="s">
        <v>3114</v>
      </c>
      <c r="F31" s="435">
        <f>SUMIF(104:104,E31,105:105)-SUMIF(104:104,C31,105:105)+100</f>
        <v>100</v>
      </c>
      <c r="G31" s="616" t="s">
        <v>3122</v>
      </c>
      <c r="H31" s="435">
        <f>SUMIF(104:104,G31,105:105)-SUMIF(104:104,C31,105:105)+100</f>
        <v>99</v>
      </c>
      <c r="I31" s="616" t="s">
        <v>3122</v>
      </c>
      <c r="J31" s="435">
        <f>SUMIF(104:104,I31,105:105)-SUMIF(104:104,C31,105:105)+100</f>
        <v>99</v>
      </c>
      <c r="K31" s="672">
        <v>1</v>
      </c>
      <c r="L31" s="1139"/>
      <c r="M31" s="1130"/>
      <c r="N31" s="1130"/>
      <c r="O31" s="1138"/>
      <c r="P31" s="3251"/>
      <c r="Q31" s="1808" t="str">
        <f t="shared" si="8"/>
        <v>临街状况</v>
      </c>
      <c r="R31" s="773" t="s">
        <v>17</v>
      </c>
      <c r="S31" s="774">
        <f t="shared" ref="S31:S45" si="10">F31</f>
        <v>100</v>
      </c>
      <c r="T31" s="773" t="s">
        <v>17</v>
      </c>
      <c r="U31" s="774">
        <f t="shared" ref="U31:U45" si="11">H31</f>
        <v>99</v>
      </c>
      <c r="V31" s="773" t="s">
        <v>17</v>
      </c>
      <c r="W31" s="774">
        <f t="shared" ref="W31:W45" si="12">J31</f>
        <v>99</v>
      </c>
      <c r="X31" s="1811"/>
      <c r="Y31" s="3251"/>
      <c r="Z31" s="1812" t="str">
        <f t="shared" ref="Z31:Z45" si="13">Q31</f>
        <v>临街状况</v>
      </c>
      <c r="AA31" s="1809">
        <f t="shared" si="3"/>
        <v>1</v>
      </c>
      <c r="AB31" s="1809">
        <f t="shared" si="4"/>
        <v>1.0101010101010102</v>
      </c>
      <c r="AC31" s="1809">
        <f t="shared" si="5"/>
        <v>1.0101010101010102</v>
      </c>
    </row>
    <row r="32" spans="1:29" ht="27">
      <c r="A32" s="428"/>
      <c r="B32" s="1383" t="s">
        <v>2692</v>
      </c>
      <c r="C32" s="454"/>
      <c r="D32" s="450">
        <v>100</v>
      </c>
      <c r="E32" s="452"/>
      <c r="F32" s="450">
        <f>SUMIF(106:106,E33,107:107)-SUMIF(106:106,C33,107:107)+100</f>
        <v>103</v>
      </c>
      <c r="G32" s="452"/>
      <c r="H32" s="450">
        <f>SUMIF(106:106,G33,107:107)-SUMIF(106:106,C33,107:107)+100</f>
        <v>100</v>
      </c>
      <c r="I32" s="454"/>
      <c r="J32" s="450">
        <f>SUMIF(106:106,I33,107:107)-SUMIF(106:106,C33,107:107)+100</f>
        <v>100</v>
      </c>
      <c r="K32" s="672">
        <v>1</v>
      </c>
      <c r="L32" s="1139"/>
      <c r="M32" s="1130"/>
      <c r="N32" s="1130"/>
      <c r="O32" s="1138"/>
      <c r="P32" s="3251"/>
      <c r="Q32" s="1808" t="str">
        <f t="shared" si="8"/>
        <v>毗邻道路的类型与等级</v>
      </c>
      <c r="R32" s="773" t="s">
        <v>17</v>
      </c>
      <c r="S32" s="774">
        <f t="shared" si="10"/>
        <v>103</v>
      </c>
      <c r="T32" s="773" t="s">
        <v>17</v>
      </c>
      <c r="U32" s="774">
        <f t="shared" si="11"/>
        <v>100</v>
      </c>
      <c r="V32" s="773" t="s">
        <v>17</v>
      </c>
      <c r="W32" s="774">
        <f t="shared" si="12"/>
        <v>100</v>
      </c>
      <c r="X32" s="1811"/>
      <c r="Y32" s="3251"/>
      <c r="Z32" s="1812" t="str">
        <f t="shared" si="13"/>
        <v>毗邻道路的类型与等级</v>
      </c>
      <c r="AA32" s="1809">
        <f t="shared" si="3"/>
        <v>0.970873786407767</v>
      </c>
      <c r="AB32" s="1809">
        <f t="shared" si="4"/>
        <v>1</v>
      </c>
      <c r="AC32" s="1809">
        <f t="shared" si="5"/>
        <v>1</v>
      </c>
    </row>
    <row r="33" spans="1:29" ht="15">
      <c r="A33" s="428"/>
      <c r="B33" s="456"/>
      <c r="C33" s="447" t="s">
        <v>3119</v>
      </c>
      <c r="D33" s="448"/>
      <c r="E33" s="2608" t="s">
        <v>3115</v>
      </c>
      <c r="F33" s="448"/>
      <c r="G33" s="2608" t="s">
        <v>3119</v>
      </c>
      <c r="H33" s="448"/>
      <c r="I33" s="2608" t="s">
        <v>3119</v>
      </c>
      <c r="J33" s="448"/>
      <c r="K33" s="613"/>
      <c r="L33" s="1139"/>
      <c r="M33" s="1130"/>
      <c r="N33" s="1130"/>
      <c r="O33" s="1138"/>
      <c r="P33" s="3251"/>
      <c r="Q33" s="1808"/>
      <c r="R33" s="773"/>
      <c r="S33" s="774"/>
      <c r="T33" s="773"/>
      <c r="U33" s="774"/>
      <c r="V33" s="773"/>
      <c r="W33" s="774"/>
      <c r="X33" s="1811"/>
      <c r="Y33" s="3251"/>
      <c r="Z33" s="1812"/>
      <c r="AA33" s="1809">
        <v>1</v>
      </c>
      <c r="AB33" s="1809">
        <v>1</v>
      </c>
      <c r="AC33" s="1809">
        <v>1</v>
      </c>
    </row>
    <row r="34" spans="1:29" ht="15.75" thickBot="1">
      <c r="A34" s="428"/>
      <c r="B34" s="422" t="s">
        <v>2750</v>
      </c>
      <c r="C34" s="616">
        <v>7</v>
      </c>
      <c r="D34" s="435">
        <v>100</v>
      </c>
      <c r="E34" s="633">
        <v>6</v>
      </c>
      <c r="F34" s="435">
        <f>SUMIF(108:108,E34,109:109)-SUMIF(108:108,C34,109:109)+100</f>
        <v>101</v>
      </c>
      <c r="G34" s="633">
        <v>6</v>
      </c>
      <c r="H34" s="435">
        <f>SUMIF(108:108,G34,109:109)-SUMIF(108:108,C34,109:109)+100</f>
        <v>101</v>
      </c>
      <c r="I34" s="633">
        <v>6</v>
      </c>
      <c r="J34" s="435">
        <f>SUMIF(108:108,I34,109:109)-SUMIF(108:108,C34,109:109)+100</f>
        <v>101</v>
      </c>
      <c r="K34" s="612">
        <v>1</v>
      </c>
      <c r="L34" s="1139"/>
      <c r="M34" s="1130"/>
      <c r="N34" s="1130"/>
      <c r="O34" s="1138"/>
      <c r="P34" s="3251"/>
      <c r="Q34" s="1808" t="str">
        <f t="shared" si="8"/>
        <v>土地级别</v>
      </c>
      <c r="R34" s="773" t="s">
        <v>17</v>
      </c>
      <c r="S34" s="774">
        <f t="shared" si="10"/>
        <v>101</v>
      </c>
      <c r="T34" s="773" t="s">
        <v>17</v>
      </c>
      <c r="U34" s="774">
        <f t="shared" si="11"/>
        <v>101</v>
      </c>
      <c r="V34" s="773" t="s">
        <v>17</v>
      </c>
      <c r="W34" s="774">
        <f t="shared" si="12"/>
        <v>101</v>
      </c>
      <c r="X34" s="1811"/>
      <c r="Y34" s="3251"/>
      <c r="Z34" s="1812" t="str">
        <f t="shared" si="13"/>
        <v>土地级别</v>
      </c>
      <c r="AA34" s="1809">
        <f t="shared" si="3"/>
        <v>0.99009900990099009</v>
      </c>
      <c r="AB34" s="1809">
        <f t="shared" si="4"/>
        <v>0.99009900990099009</v>
      </c>
      <c r="AC34" s="1809">
        <f t="shared" si="5"/>
        <v>0.99009900990099009</v>
      </c>
    </row>
    <row r="35" spans="1:29" ht="15" hidden="1">
      <c r="A35" s="404"/>
      <c r="B35" s="1385"/>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251"/>
      <c r="Q35" s="1808">
        <f t="shared" si="8"/>
        <v>0</v>
      </c>
      <c r="R35" s="773" t="s">
        <v>17</v>
      </c>
      <c r="S35" s="774">
        <f t="shared" si="10"/>
        <v>100</v>
      </c>
      <c r="T35" s="773" t="s">
        <v>17</v>
      </c>
      <c r="U35" s="774">
        <f t="shared" si="11"/>
        <v>100</v>
      </c>
      <c r="V35" s="773" t="s">
        <v>17</v>
      </c>
      <c r="W35" s="774">
        <f t="shared" si="12"/>
        <v>100</v>
      </c>
      <c r="X35" s="1811"/>
      <c r="Y35" s="3251"/>
      <c r="Z35" s="1812">
        <f t="shared" si="13"/>
        <v>0</v>
      </c>
      <c r="AA35" s="1809">
        <f t="shared" si="3"/>
        <v>1</v>
      </c>
      <c r="AB35" s="1809">
        <f t="shared" si="4"/>
        <v>1</v>
      </c>
      <c r="AC35" s="1809">
        <f t="shared" si="5"/>
        <v>1</v>
      </c>
    </row>
    <row r="36" spans="1:29" ht="15" hidden="1">
      <c r="A36" s="674"/>
      <c r="B36" s="1386"/>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52" t="s">
        <v>2567</v>
      </c>
      <c r="Q36" s="1808">
        <f t="shared" si="8"/>
        <v>0</v>
      </c>
      <c r="R36" s="773" t="s">
        <v>17</v>
      </c>
      <c r="S36" s="774">
        <f t="shared" si="10"/>
        <v>100</v>
      </c>
      <c r="T36" s="773" t="s">
        <v>17</v>
      </c>
      <c r="U36" s="774">
        <f t="shared" si="11"/>
        <v>100</v>
      </c>
      <c r="V36" s="773" t="s">
        <v>17</v>
      </c>
      <c r="W36" s="774">
        <f t="shared" si="12"/>
        <v>100</v>
      </c>
      <c r="X36" s="1811"/>
      <c r="Y36" s="3253" t="s">
        <v>2567</v>
      </c>
      <c r="Z36" s="1812">
        <f t="shared" si="13"/>
        <v>0</v>
      </c>
      <c r="AA36" s="1809">
        <f t="shared" si="3"/>
        <v>1</v>
      </c>
      <c r="AB36" s="1809">
        <f t="shared" si="4"/>
        <v>1</v>
      </c>
      <c r="AC36" s="1809">
        <f t="shared" si="5"/>
        <v>1</v>
      </c>
    </row>
    <row r="37" spans="1:29" s="471" customFormat="1" ht="15.75" hidden="1" thickBot="1">
      <c r="A37" s="675"/>
      <c r="B37" s="1387"/>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53"/>
      <c r="Q37" s="1808">
        <f t="shared" si="8"/>
        <v>0</v>
      </c>
      <c r="R37" s="776" t="s">
        <v>17</v>
      </c>
      <c r="S37" s="777">
        <f t="shared" si="10"/>
        <v>100</v>
      </c>
      <c r="T37" s="776" t="s">
        <v>17</v>
      </c>
      <c r="U37" s="777">
        <f t="shared" si="11"/>
        <v>100</v>
      </c>
      <c r="V37" s="776" t="s">
        <v>17</v>
      </c>
      <c r="W37" s="777">
        <f t="shared" si="12"/>
        <v>100</v>
      </c>
      <c r="X37" s="778"/>
      <c r="Y37" s="3253"/>
      <c r="Z37" s="779">
        <f t="shared" si="13"/>
        <v>0</v>
      </c>
      <c r="AA37" s="1809">
        <f t="shared" si="3"/>
        <v>1</v>
      </c>
      <c r="AB37" s="1809">
        <f t="shared" si="4"/>
        <v>1</v>
      </c>
      <c r="AC37" s="1809">
        <f t="shared" si="5"/>
        <v>1</v>
      </c>
    </row>
    <row r="38" spans="1:29" ht="15">
      <c r="A38" s="472" t="s">
        <v>2565</v>
      </c>
      <c r="B38" s="456" t="s">
        <v>2751</v>
      </c>
      <c r="C38" s="678"/>
      <c r="D38" s="467">
        <v>100</v>
      </c>
      <c r="E38" s="678">
        <v>14088</v>
      </c>
      <c r="F38" s="467">
        <f>LOOKUP(E38,117:117,118:118)-LOOKUP(C38,117:117,118:118)+100</f>
        <v>100</v>
      </c>
      <c r="G38" s="678">
        <v>17815</v>
      </c>
      <c r="H38" s="467">
        <f>LOOKUP(G38,117:117,118:118)-LOOKUP(C38,117:117,118:118)+100</f>
        <v>100</v>
      </c>
      <c r="I38" s="530">
        <v>37656</v>
      </c>
      <c r="J38" s="467">
        <f>LOOKUP(I38,117:117,118:118)-LOOKUP(C38,117:117,118:118)+100</f>
        <v>100</v>
      </c>
      <c r="K38" s="613"/>
      <c r="L38" s="1139"/>
      <c r="M38" s="1130"/>
      <c r="N38" s="1130"/>
      <c r="O38" s="1138"/>
      <c r="P38" s="3253"/>
      <c r="Q38" s="1808" t="str">
        <f>B38</f>
        <v>宗地面积</v>
      </c>
      <c r="R38" s="773" t="s">
        <v>17</v>
      </c>
      <c r="S38" s="774">
        <f t="shared" si="10"/>
        <v>100</v>
      </c>
      <c r="T38" s="773" t="s">
        <v>17</v>
      </c>
      <c r="U38" s="774">
        <f t="shared" si="11"/>
        <v>100</v>
      </c>
      <c r="V38" s="773" t="s">
        <v>17</v>
      </c>
      <c r="W38" s="774">
        <f t="shared" si="12"/>
        <v>100</v>
      </c>
      <c r="X38" s="1811"/>
      <c r="Y38" s="3253"/>
      <c r="Z38" s="1812" t="str">
        <f t="shared" si="13"/>
        <v>宗地面积</v>
      </c>
      <c r="AA38" s="1809">
        <f t="shared" si="3"/>
        <v>1</v>
      </c>
      <c r="AB38" s="1809">
        <f t="shared" si="4"/>
        <v>1</v>
      </c>
      <c r="AC38" s="1809">
        <f t="shared" si="5"/>
        <v>1</v>
      </c>
    </row>
    <row r="39" spans="1:29" ht="15">
      <c r="A39" s="472"/>
      <c r="B39" s="422" t="s">
        <v>2752</v>
      </c>
      <c r="C39" s="2610" t="s">
        <v>3124</v>
      </c>
      <c r="D39" s="435">
        <v>100</v>
      </c>
      <c r="E39" s="2610" t="s">
        <v>3124</v>
      </c>
      <c r="F39" s="435">
        <f>SUMIF(119:119,E39,120:120)-SUMIF(119:119,C39,120:120)+100</f>
        <v>100</v>
      </c>
      <c r="G39" s="2610" t="s">
        <v>3124</v>
      </c>
      <c r="H39" s="435">
        <f>SUMIF(119:119,G39,120:120)-SUMIF(119:119,C39,120:120)+100</f>
        <v>100</v>
      </c>
      <c r="I39" s="2610" t="s">
        <v>3124</v>
      </c>
      <c r="J39" s="435">
        <f>SUMIF(119:119,I39,120:120)-SUMIF(119:119,C39,120:120)+100</f>
        <v>100</v>
      </c>
      <c r="K39" s="612">
        <v>1</v>
      </c>
      <c r="L39" s="1139"/>
      <c r="M39" s="1130"/>
      <c r="N39" s="1130"/>
      <c r="O39" s="1138"/>
      <c r="P39" s="3253"/>
      <c r="Q39" s="1808" t="str">
        <f t="shared" ref="Q39:Q45" si="14">B39</f>
        <v>宗地形状</v>
      </c>
      <c r="R39" s="773" t="s">
        <v>17</v>
      </c>
      <c r="S39" s="774">
        <f t="shared" si="10"/>
        <v>100</v>
      </c>
      <c r="T39" s="773" t="s">
        <v>17</v>
      </c>
      <c r="U39" s="774">
        <f t="shared" si="11"/>
        <v>100</v>
      </c>
      <c r="V39" s="773" t="s">
        <v>17</v>
      </c>
      <c r="W39" s="774">
        <f t="shared" si="12"/>
        <v>100</v>
      </c>
      <c r="X39" s="1811"/>
      <c r="Y39" s="3253"/>
      <c r="Z39" s="1812" t="str">
        <f t="shared" si="13"/>
        <v>宗地形状</v>
      </c>
      <c r="AA39" s="1809">
        <f t="shared" si="3"/>
        <v>1</v>
      </c>
      <c r="AB39" s="1809">
        <f t="shared" si="4"/>
        <v>1</v>
      </c>
      <c r="AC39" s="1809">
        <f t="shared" si="5"/>
        <v>1</v>
      </c>
    </row>
    <row r="40" spans="1:29" ht="15">
      <c r="A40" s="472"/>
      <c r="B40" s="422" t="s">
        <v>2753</v>
      </c>
      <c r="C40" s="2610" t="s">
        <v>3093</v>
      </c>
      <c r="D40" s="435">
        <v>100</v>
      </c>
      <c r="E40" s="2610" t="s">
        <v>3093</v>
      </c>
      <c r="F40" s="435">
        <f>SUMIF(121:121,E40,122:122)-SUMIF(121:121,C40,122:122)+100</f>
        <v>100</v>
      </c>
      <c r="G40" s="2610" t="s">
        <v>3093</v>
      </c>
      <c r="H40" s="435">
        <f>SUMIF(121:121,G40,122:122)-SUMIF(121:121,C40,122:122)+100</f>
        <v>100</v>
      </c>
      <c r="I40" s="2610" t="s">
        <v>3093</v>
      </c>
      <c r="J40" s="435">
        <f>SUMIF(121:121,I40,122:122)-SUMIF(121:121,C40,122:122)+100</f>
        <v>100</v>
      </c>
      <c r="K40" s="612">
        <v>1</v>
      </c>
      <c r="L40" s="1139"/>
      <c r="M40" s="1130"/>
      <c r="N40" s="1130"/>
      <c r="O40" s="1138"/>
      <c r="P40" s="3253"/>
      <c r="Q40" s="1808" t="str">
        <f t="shared" si="14"/>
        <v>临街宽度及深度</v>
      </c>
      <c r="R40" s="773" t="s">
        <v>17</v>
      </c>
      <c r="S40" s="774">
        <f t="shared" si="10"/>
        <v>100</v>
      </c>
      <c r="T40" s="773" t="s">
        <v>17</v>
      </c>
      <c r="U40" s="774">
        <f t="shared" si="11"/>
        <v>100</v>
      </c>
      <c r="V40" s="773" t="s">
        <v>17</v>
      </c>
      <c r="W40" s="774">
        <f t="shared" si="12"/>
        <v>100</v>
      </c>
      <c r="X40" s="1811"/>
      <c r="Y40" s="3253"/>
      <c r="Z40" s="1812" t="str">
        <f t="shared" si="13"/>
        <v>临街宽度及深度</v>
      </c>
      <c r="AA40" s="1809">
        <f t="shared" si="3"/>
        <v>1</v>
      </c>
      <c r="AB40" s="1809">
        <f t="shared" si="4"/>
        <v>1</v>
      </c>
      <c r="AC40" s="1809">
        <f t="shared" si="5"/>
        <v>1</v>
      </c>
    </row>
    <row r="41" spans="1:29" s="117" customFormat="1" ht="15">
      <c r="A41" s="473"/>
      <c r="B41" s="422" t="s">
        <v>2754</v>
      </c>
      <c r="C41" s="2964" t="s">
        <v>3133</v>
      </c>
      <c r="D41" s="136">
        <v>100</v>
      </c>
      <c r="E41" s="2964" t="s">
        <v>3103</v>
      </c>
      <c r="F41" s="435">
        <f>SUMIF(123:123,E41,124:124)-SUMIF(123:123,C41,124:124)+100</f>
        <v>96</v>
      </c>
      <c r="G41" s="2964" t="s">
        <v>3103</v>
      </c>
      <c r="H41" s="435">
        <f>SUMIF(123:123,G41,124:124)-SUMIF(123:123,C41,124:124)+100</f>
        <v>96</v>
      </c>
      <c r="I41" s="2964" t="s">
        <v>3103</v>
      </c>
      <c r="J41" s="435">
        <f>SUMIF(123:123,I41,124:124)-SUMIF(123:123,C41,124:124)+100</f>
        <v>96</v>
      </c>
      <c r="K41" s="612">
        <v>1</v>
      </c>
      <c r="L41" s="1131"/>
      <c r="M41" s="1132"/>
      <c r="N41" s="1132"/>
      <c r="O41" s="1133"/>
      <c r="P41" s="3253"/>
      <c r="Q41" s="1808" t="str">
        <f t="shared" si="14"/>
        <v>宗地开发程度</v>
      </c>
      <c r="R41" s="769" t="s">
        <v>17</v>
      </c>
      <c r="S41" s="770">
        <f t="shared" si="10"/>
        <v>96</v>
      </c>
      <c r="T41" s="769" t="s">
        <v>17</v>
      </c>
      <c r="U41" s="770">
        <f t="shared" si="11"/>
        <v>96</v>
      </c>
      <c r="V41" s="769" t="s">
        <v>17</v>
      </c>
      <c r="W41" s="770">
        <f t="shared" si="12"/>
        <v>96</v>
      </c>
      <c r="X41" s="771"/>
      <c r="Y41" s="3253"/>
      <c r="Z41" s="55" t="str">
        <f t="shared" si="13"/>
        <v>宗地开发程度</v>
      </c>
      <c r="AA41" s="772">
        <f t="shared" si="3"/>
        <v>1.0416666666666667</v>
      </c>
      <c r="AB41" s="772">
        <f t="shared" si="4"/>
        <v>1.0416666666666667</v>
      </c>
      <c r="AC41" s="772">
        <f t="shared" si="5"/>
        <v>1.0416666666666667</v>
      </c>
    </row>
    <row r="42" spans="1:29" ht="15.75" thickBot="1">
      <c r="A42" s="472"/>
      <c r="B42" s="422" t="s">
        <v>2755</v>
      </c>
      <c r="C42" s="2610" t="s">
        <v>3093</v>
      </c>
      <c r="D42" s="435">
        <v>100</v>
      </c>
      <c r="E42" s="2610" t="s">
        <v>3093</v>
      </c>
      <c r="F42" s="435">
        <f>SUMIF(125:125,E42,126:126)-SUMIF(125:125,C42,126:126)+100</f>
        <v>100</v>
      </c>
      <c r="G42" s="2610" t="s">
        <v>3093</v>
      </c>
      <c r="H42" s="435">
        <f>SUMIF(125:125,G42,126:126)-SUMIF(125:125,C42,126:126)+100</f>
        <v>100</v>
      </c>
      <c r="I42" s="2610" t="s">
        <v>3093</v>
      </c>
      <c r="J42" s="435">
        <f>SUMIF(125:125,I42,126:126)-SUMIF(125:125,C42,126:126)+100</f>
        <v>100</v>
      </c>
      <c r="K42" s="612">
        <v>1</v>
      </c>
      <c r="L42" s="1139"/>
      <c r="M42" s="1130"/>
      <c r="N42" s="1130"/>
      <c r="O42" s="1138"/>
      <c r="P42" s="3253" t="s">
        <v>2567</v>
      </c>
      <c r="Q42" s="1808" t="str">
        <f t="shared" si="14"/>
        <v>工程地质条件</v>
      </c>
      <c r="R42" s="773" t="s">
        <v>17</v>
      </c>
      <c r="S42" s="774">
        <f t="shared" si="10"/>
        <v>100</v>
      </c>
      <c r="T42" s="773" t="s">
        <v>17</v>
      </c>
      <c r="U42" s="774">
        <f t="shared" si="11"/>
        <v>100</v>
      </c>
      <c r="V42" s="773" t="s">
        <v>17</v>
      </c>
      <c r="W42" s="774">
        <f t="shared" si="12"/>
        <v>100</v>
      </c>
      <c r="X42" s="1811"/>
      <c r="Y42" s="3253" t="s">
        <v>2567</v>
      </c>
      <c r="Z42" s="1812" t="str">
        <f t="shared" si="13"/>
        <v>工程地质条件</v>
      </c>
      <c r="AA42" s="1809">
        <f t="shared" si="3"/>
        <v>1</v>
      </c>
      <c r="AB42" s="1809">
        <f t="shared" si="4"/>
        <v>1</v>
      </c>
      <c r="AC42" s="1809">
        <f t="shared" si="5"/>
        <v>1</v>
      </c>
    </row>
    <row r="43" spans="1:29" ht="15.75" hidden="1" customHeight="1">
      <c r="A43" s="472"/>
      <c r="B43" s="1386"/>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53"/>
      <c r="Q43" s="1808">
        <f t="shared" si="14"/>
        <v>0</v>
      </c>
      <c r="R43" s="773" t="s">
        <v>17</v>
      </c>
      <c r="S43" s="774">
        <f t="shared" si="10"/>
        <v>100</v>
      </c>
      <c r="T43" s="773" t="s">
        <v>17</v>
      </c>
      <c r="U43" s="774">
        <f t="shared" si="11"/>
        <v>100</v>
      </c>
      <c r="V43" s="773" t="s">
        <v>17</v>
      </c>
      <c r="W43" s="774">
        <f t="shared" si="12"/>
        <v>100</v>
      </c>
      <c r="X43" s="1811"/>
      <c r="Y43" s="3253"/>
      <c r="Z43" s="1812">
        <f t="shared" si="13"/>
        <v>0</v>
      </c>
      <c r="AA43" s="1809">
        <f t="shared" si="3"/>
        <v>1</v>
      </c>
      <c r="AB43" s="1809">
        <f t="shared" si="4"/>
        <v>1</v>
      </c>
      <c r="AC43" s="1809">
        <f t="shared" si="5"/>
        <v>1</v>
      </c>
    </row>
    <row r="44" spans="1:29" ht="15" hidden="1">
      <c r="A44" s="472"/>
      <c r="B44" s="1386"/>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53"/>
      <c r="Q44" s="1808">
        <f t="shared" si="14"/>
        <v>0</v>
      </c>
      <c r="R44" s="773" t="s">
        <v>17</v>
      </c>
      <c r="S44" s="774">
        <f t="shared" si="10"/>
        <v>100</v>
      </c>
      <c r="T44" s="773" t="s">
        <v>17</v>
      </c>
      <c r="U44" s="774">
        <f t="shared" si="11"/>
        <v>100</v>
      </c>
      <c r="V44" s="773" t="s">
        <v>17</v>
      </c>
      <c r="W44" s="774">
        <f t="shared" si="12"/>
        <v>100</v>
      </c>
      <c r="X44" s="1811"/>
      <c r="Y44" s="3253"/>
      <c r="Z44" s="1812">
        <f t="shared" si="13"/>
        <v>0</v>
      </c>
      <c r="AA44" s="1809">
        <f t="shared" si="3"/>
        <v>1</v>
      </c>
      <c r="AB44" s="1809">
        <f t="shared" si="4"/>
        <v>1</v>
      </c>
      <c r="AC44" s="1809">
        <f t="shared" si="5"/>
        <v>1</v>
      </c>
    </row>
    <row r="45" spans="1:29" s="471" customFormat="1" ht="15.75" hidden="1" thickBot="1">
      <c r="A45" s="468"/>
      <c r="B45" s="1386"/>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53"/>
      <c r="Q45" s="1808">
        <f t="shared" si="14"/>
        <v>0</v>
      </c>
      <c r="R45" s="776" t="s">
        <v>17</v>
      </c>
      <c r="S45" s="777">
        <f t="shared" si="10"/>
        <v>100</v>
      </c>
      <c r="T45" s="776" t="s">
        <v>17</v>
      </c>
      <c r="U45" s="777">
        <f t="shared" si="11"/>
        <v>100</v>
      </c>
      <c r="V45" s="776" t="s">
        <v>17</v>
      </c>
      <c r="W45" s="777">
        <f t="shared" si="12"/>
        <v>100</v>
      </c>
      <c r="X45" s="778"/>
      <c r="Y45" s="3253"/>
      <c r="Z45" s="779">
        <f t="shared" si="13"/>
        <v>0</v>
      </c>
      <c r="AA45" s="1809">
        <f t="shared" si="3"/>
        <v>1</v>
      </c>
      <c r="AB45" s="1809">
        <f t="shared" si="4"/>
        <v>1</v>
      </c>
      <c r="AC45" s="1809">
        <f t="shared" si="5"/>
        <v>1</v>
      </c>
    </row>
    <row r="46" spans="1:29" ht="15">
      <c r="A46" s="479" t="s">
        <v>2721</v>
      </c>
      <c r="B46" s="2701" t="s">
        <v>2756</v>
      </c>
      <c r="C46" s="681" t="s">
        <v>1</v>
      </c>
      <c r="D46" s="481"/>
      <c r="E46" s="482">
        <v>11600</v>
      </c>
      <c r="F46" s="483"/>
      <c r="G46" s="484">
        <v>13371</v>
      </c>
      <c r="H46" s="485"/>
      <c r="I46" s="482">
        <v>11520</v>
      </c>
      <c r="J46" s="485"/>
      <c r="K46" s="782"/>
      <c r="L46" s="1142"/>
      <c r="M46" s="1143"/>
      <c r="N46" s="1130"/>
      <c r="O46" s="1143"/>
      <c r="P46" s="3235" t="str">
        <f>A46</f>
        <v>成交单价</v>
      </c>
      <c r="Q46" s="3235"/>
      <c r="R46" s="3248">
        <f>E46</f>
        <v>11600</v>
      </c>
      <c r="S46" s="3248"/>
      <c r="T46" s="3248">
        <f>G46</f>
        <v>13371</v>
      </c>
      <c r="U46" s="3248"/>
      <c r="V46" s="3248">
        <f>I46</f>
        <v>11520</v>
      </c>
      <c r="W46" s="3248"/>
      <c r="X46" s="758"/>
      <c r="Y46" s="780"/>
      <c r="Z46" s="758"/>
      <c r="AA46" s="758"/>
      <c r="AB46" s="758"/>
      <c r="AC46" s="758"/>
    </row>
    <row r="47" spans="1:29" ht="15.75" thickBot="1">
      <c r="A47" s="486" t="s">
        <v>2670</v>
      </c>
      <c r="B47" s="682"/>
      <c r="C47" s="490">
        <f>R48</f>
        <v>12145</v>
      </c>
      <c r="D47" s="489"/>
      <c r="E47" s="490">
        <f>R47</f>
        <v>11087</v>
      </c>
      <c r="F47" s="491"/>
      <c r="G47" s="488">
        <f>T47</f>
        <v>13205</v>
      </c>
      <c r="H47" s="489"/>
      <c r="I47" s="490">
        <f>V47</f>
        <v>12142</v>
      </c>
      <c r="J47" s="489"/>
      <c r="K47" s="783"/>
      <c r="L47" s="1142"/>
      <c r="M47" s="1143"/>
      <c r="N47" s="1143"/>
      <c r="O47" s="1143"/>
      <c r="P47" s="3235" t="str">
        <f>A47</f>
        <v>比较价值（元/平方米）</v>
      </c>
      <c r="Q47" s="3235"/>
      <c r="R47" s="3254">
        <f>ROUND(PRODUCT(R46,AA7:AA45),0)</f>
        <v>11087</v>
      </c>
      <c r="S47" s="3254"/>
      <c r="T47" s="3254">
        <f>ROUND(PRODUCT(T46,AB7:AB45),0)</f>
        <v>13205</v>
      </c>
      <c r="U47" s="3254"/>
      <c r="V47" s="3254">
        <f>ROUND(PRODUCT(V46,AC7:AC45),0)</f>
        <v>12142</v>
      </c>
      <c r="W47" s="3254"/>
      <c r="X47" s="758"/>
      <c r="Y47" s="758"/>
      <c r="Z47" s="758"/>
      <c r="AA47" s="758"/>
      <c r="AB47" s="758"/>
      <c r="AC47" s="758"/>
    </row>
    <row r="48" spans="1:29" ht="15.75" thickBot="1">
      <c r="A48" s="492" t="s">
        <v>2757</v>
      </c>
      <c r="B48" s="493"/>
      <c r="C48" s="494">
        <f>R48</f>
        <v>12145</v>
      </c>
      <c r="D48" s="494"/>
      <c r="E48" s="494"/>
      <c r="F48" s="494"/>
      <c r="G48" s="494"/>
      <c r="H48" s="494"/>
      <c r="I48" s="494"/>
      <c r="J48" s="494"/>
      <c r="K48" s="784"/>
      <c r="L48" s="1142"/>
      <c r="M48" s="1143"/>
      <c r="N48" s="1143"/>
      <c r="O48" s="1143"/>
      <c r="P48" s="3255" t="str">
        <f>A48</f>
        <v>估价对象XX用房的比较价值（楼面单价，元/平方米）</v>
      </c>
      <c r="Q48" s="3256"/>
      <c r="R48" s="3257">
        <f>ROUND(AVERAGE(R47:V47),0)</f>
        <v>12145</v>
      </c>
      <c r="S48" s="3257"/>
      <c r="T48" s="3257"/>
      <c r="U48" s="3257"/>
      <c r="V48" s="3257"/>
      <c r="W48" s="325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f>IF(E46&lt;E47,E47/E46-1,E46/E47-1)</f>
        <v>4.6270406782718432E-2</v>
      </c>
      <c r="F51" s="500" t="str">
        <f>IF(OR(E51&gt;=0.3,E51&lt;=-0.3),"超过30%","")</f>
        <v/>
      </c>
      <c r="G51" s="499">
        <f>IF(G46&lt;G47,G47/G46-1,G46/G47-1)</f>
        <v>1.2570995834910947E-2</v>
      </c>
      <c r="H51" s="500" t="str">
        <f>IF(OR(G51&gt;=0.3,G51&lt;=-0.3),"超过30%","")</f>
        <v/>
      </c>
      <c r="I51" s="499">
        <f>IF(I46&lt;I47,I47/I46-1,I46/I47-1)</f>
        <v>5.3993055555555447E-2</v>
      </c>
      <c r="J51" s="500" t="str">
        <f>IF(OR(I51&gt;=0.3,I51&lt;=-0.3),"超过30%","")</f>
        <v/>
      </c>
      <c r="K51" s="1104"/>
      <c r="L51" s="1105"/>
      <c r="M51" s="1143"/>
      <c r="N51" s="1143"/>
      <c r="O51" s="1143"/>
    </row>
    <row r="52" spans="1:15" ht="13.5" customHeight="1">
      <c r="A52" s="1143"/>
      <c r="B52" s="1143"/>
      <c r="C52" s="497" t="s">
        <v>2673</v>
      </c>
      <c r="D52" s="501"/>
      <c r="E52" s="499">
        <f>IF(E47&lt;G47,G47/E47-1,E47/G47-1)</f>
        <v>0.19103454496256878</v>
      </c>
      <c r="F52" s="500" t="str">
        <f>IF(OR(E52&gt;=0.2,E52&lt;=-0.2),"超过20%","")</f>
        <v/>
      </c>
      <c r="G52" s="499">
        <f>IF(G47&lt;I47,I47/G47-1,G47/I47-1)</f>
        <v>8.7547356283973032E-2</v>
      </c>
      <c r="H52" s="500" t="str">
        <f>IF(OR(G52&gt;=0.2,G52&lt;=-0.2),"超过20%","")</f>
        <v/>
      </c>
      <c r="I52" s="499">
        <f>IF(I47&lt;E47,E47/I47-1,I47/E47-1)</f>
        <v>9.5156489582393755E-2</v>
      </c>
      <c r="J52" s="500" t="str">
        <f>IF(OR(I52&gt;=0.2,I52&lt;=-0.2),"超过20%","")</f>
        <v/>
      </c>
      <c r="K52" s="1104"/>
      <c r="L52" s="1105"/>
      <c r="M52" s="1143"/>
      <c r="N52" s="1143"/>
      <c r="O52" s="1143"/>
    </row>
    <row r="53" spans="1:15" s="502" customFormat="1" ht="13.5" customHeight="1">
      <c r="A53" s="1144"/>
      <c r="B53" s="1144"/>
      <c r="C53" s="497" t="s">
        <v>2674</v>
      </c>
      <c r="D53" s="501"/>
      <c r="E53" s="499">
        <f>IF(E46&lt;G46,G46/E46-1,E46/G46-1)</f>
        <v>0.15267241379310348</v>
      </c>
      <c r="F53" s="500" t="str">
        <f>IF(OR(E53&gt;=0.3,E53&lt;=-0.3),"超过30%","")</f>
        <v/>
      </c>
      <c r="G53" s="499">
        <f>IF(G46&lt;I46,I46/G46-1,G46/I46-1)</f>
        <v>0.1606770833333333</v>
      </c>
      <c r="H53" s="500" t="str">
        <f>IF(OR(G53&gt;=0.3,G53&lt;=-0.3),"超过30%","")</f>
        <v/>
      </c>
      <c r="I53" s="499">
        <f>IF(I46&lt;E46,E46/I46-1,I46/E46-1)</f>
        <v>6.9444444444444198E-3</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3" t="s">
        <v>2758</v>
      </c>
      <c r="B55" s="684" t="s">
        <v>2759</v>
      </c>
      <c r="C55" s="2702" t="s">
        <v>2760</v>
      </c>
      <c r="D55" s="2703" t="s">
        <v>2761</v>
      </c>
      <c r="E55" s="685" t="s">
        <v>2762</v>
      </c>
      <c r="F55" s="1106" t="s">
        <v>2763</v>
      </c>
      <c r="G55" s="3236" t="s">
        <v>2764</v>
      </c>
      <c r="H55" s="3258"/>
      <c r="I55" s="144" t="s">
        <v>2765</v>
      </c>
      <c r="J55" s="2704">
        <f>项目基本情况!F35</f>
        <v>0</v>
      </c>
      <c r="K55" s="2705" t="s">
        <v>2766</v>
      </c>
      <c r="L55" s="1105"/>
      <c r="M55" s="1143"/>
      <c r="N55" s="1143"/>
      <c r="O55" s="1143"/>
    </row>
    <row r="56" spans="1:15" s="691" customFormat="1">
      <c r="A56" s="687" t="s">
        <v>2767</v>
      </c>
      <c r="B56" s="688">
        <f>C48</f>
        <v>12145</v>
      </c>
      <c r="C56" s="689">
        <v>1</v>
      </c>
      <c r="D56" s="1162">
        <v>1</v>
      </c>
      <c r="E56" s="689">
        <f>'数据-汇总表'!E8+'数据-汇总表'!E9</f>
        <v>42325.20999999997</v>
      </c>
      <c r="F56" s="1102">
        <f t="shared" ref="F56:F65" si="15">ROUND(B56*E56/10000,0)</f>
        <v>51404</v>
      </c>
      <c r="G56" s="3259"/>
      <c r="H56" s="3235"/>
      <c r="I56" s="1107">
        <v>1</v>
      </c>
      <c r="J56" s="1110">
        <v>1</v>
      </c>
      <c r="K56" s="1144"/>
      <c r="L56" s="940"/>
      <c r="M56" s="940"/>
      <c r="N56" s="940"/>
      <c r="O56" s="940"/>
    </row>
    <row r="57" spans="1:15" s="691" customFormat="1">
      <c r="A57" s="692" t="s">
        <v>2768</v>
      </c>
      <c r="B57" s="262">
        <f>ROUND($C$48*C57*D57,0)</f>
        <v>2125</v>
      </c>
      <c r="C57" s="200">
        <f t="shared" ref="C57:C65" si="16">IF($C$55="北京市系数",I57,J57)</f>
        <v>0.7</v>
      </c>
      <c r="D57" s="1163">
        <v>0.25</v>
      </c>
      <c r="E57" s="693"/>
      <c r="F57" s="1102">
        <f t="shared" si="15"/>
        <v>0</v>
      </c>
      <c r="G57" s="3260" t="s">
        <v>2769</v>
      </c>
      <c r="H57" s="1103" t="str">
        <f>项目基本情况!B37</f>
        <v>七级</v>
      </c>
      <c r="I57" s="1107">
        <f>SUMIF(修正!A45:A56,H57,修正!B45:B56)</f>
        <v>0.7</v>
      </c>
      <c r="J57" s="1111"/>
      <c r="K57" s="1143"/>
      <c r="L57" s="940"/>
      <c r="M57" s="940"/>
      <c r="N57" s="940"/>
      <c r="O57" s="940"/>
    </row>
    <row r="58" spans="1:15" s="691" customFormat="1">
      <c r="A58" s="692" t="s">
        <v>2770</v>
      </c>
      <c r="B58" s="262">
        <f t="shared" ref="B58:B65" si="17">ROUND($C$48*C58*D58,0)</f>
        <v>1215</v>
      </c>
      <c r="C58" s="200">
        <f t="shared" si="16"/>
        <v>0.4</v>
      </c>
      <c r="D58" s="1163">
        <v>0.25</v>
      </c>
      <c r="E58" s="693"/>
      <c r="F58" s="1102">
        <f t="shared" si="15"/>
        <v>0</v>
      </c>
      <c r="G58" s="3260"/>
      <c r="H58" s="1103" t="str">
        <f>项目基本情况!B37</f>
        <v>七级</v>
      </c>
      <c r="I58" s="1107">
        <f>SUMIF(修正!A45:A56,H58,修正!C45:C56)</f>
        <v>0.4</v>
      </c>
      <c r="J58" s="1111"/>
      <c r="K58" s="1144"/>
      <c r="L58" s="940"/>
      <c r="M58" s="940"/>
      <c r="N58" s="940"/>
      <c r="O58" s="940"/>
    </row>
    <row r="59" spans="1:15" s="691" customFormat="1">
      <c r="A59" s="692" t="s">
        <v>2771</v>
      </c>
      <c r="B59" s="262">
        <f t="shared" si="17"/>
        <v>850</v>
      </c>
      <c r="C59" s="200">
        <f t="shared" si="16"/>
        <v>0.28000000000000003</v>
      </c>
      <c r="D59" s="1163">
        <v>0.25</v>
      </c>
      <c r="E59" s="693"/>
      <c r="F59" s="1102">
        <f t="shared" si="15"/>
        <v>0</v>
      </c>
      <c r="G59" s="3260"/>
      <c r="H59" s="1103" t="str">
        <f>项目基本情况!B37</f>
        <v>七级</v>
      </c>
      <c r="I59" s="1107">
        <f>SUMIF(修正!A45:A56,H59,修正!D45:D56)</f>
        <v>0.28000000000000003</v>
      </c>
      <c r="J59" s="1111"/>
      <c r="K59" s="1143"/>
      <c r="L59" s="940"/>
      <c r="M59" s="940"/>
      <c r="N59" s="940"/>
      <c r="O59" s="940"/>
    </row>
    <row r="60" spans="1:15" s="691" customFormat="1">
      <c r="A60" s="692" t="s">
        <v>2772</v>
      </c>
      <c r="B60" s="262">
        <f t="shared" si="17"/>
        <v>759</v>
      </c>
      <c r="C60" s="200">
        <f t="shared" si="16"/>
        <v>0.25</v>
      </c>
      <c r="D60" s="1163">
        <v>0.25</v>
      </c>
      <c r="E60" s="693"/>
      <c r="F60" s="1102">
        <f t="shared" si="15"/>
        <v>0</v>
      </c>
      <c r="G60" s="3260"/>
      <c r="H60" s="1103" t="str">
        <f>项目基本情况!B37</f>
        <v>七级</v>
      </c>
      <c r="I60" s="1107">
        <f>SUMIF(修正!A45:A56,H60,修正!E45:E56)</f>
        <v>0.25</v>
      </c>
      <c r="J60" s="1111"/>
      <c r="K60" s="1144"/>
      <c r="L60" s="940"/>
      <c r="M60" s="940"/>
      <c r="N60" s="940"/>
      <c r="O60" s="940"/>
    </row>
    <row r="61" spans="1:15" s="691" customFormat="1">
      <c r="A61" s="692" t="s">
        <v>2773</v>
      </c>
      <c r="B61" s="262">
        <f t="shared" si="17"/>
        <v>759</v>
      </c>
      <c r="C61" s="200">
        <f t="shared" si="16"/>
        <v>0.25</v>
      </c>
      <c r="D61" s="1163">
        <v>0.25</v>
      </c>
      <c r="E61" s="261">
        <f>'数据-汇总表'!E11</f>
        <v>0</v>
      </c>
      <c r="F61" s="1102">
        <f t="shared" si="15"/>
        <v>0</v>
      </c>
      <c r="G61" s="2706" t="s">
        <v>2774</v>
      </c>
      <c r="H61" s="1103" t="str">
        <f>项目基本情况!C37</f>
        <v>七级</v>
      </c>
      <c r="I61" s="1107">
        <f>SUMIF(修正!A45:A56,H61,修正!F45:F56)</f>
        <v>0.25</v>
      </c>
      <c r="J61" s="1111"/>
      <c r="K61" s="1143"/>
      <c r="L61" s="940"/>
      <c r="M61" s="940"/>
      <c r="N61" s="940"/>
      <c r="O61" s="940"/>
    </row>
    <row r="62" spans="1:15" s="691" customFormat="1">
      <c r="A62" s="692" t="s">
        <v>2775</v>
      </c>
      <c r="B62" s="262">
        <f t="shared" si="17"/>
        <v>759</v>
      </c>
      <c r="C62" s="200">
        <f t="shared" si="16"/>
        <v>0.25</v>
      </c>
      <c r="D62" s="1163">
        <v>0.25</v>
      </c>
      <c r="E62" s="261">
        <f>'数据-汇总表'!E12</f>
        <v>0</v>
      </c>
      <c r="F62" s="1102">
        <f t="shared" si="15"/>
        <v>0</v>
      </c>
      <c r="G62" s="1108" t="s">
        <v>2776</v>
      </c>
      <c r="H62" s="1103" t="str">
        <f>IF(G62="商业",项目基本情况!B37,IF(G62="办公",项目基本情况!C37,IF(G62="住宅",项目基本情况!D37,项目基本情况!E37)))</f>
        <v>七级</v>
      </c>
      <c r="I62" s="1107">
        <f>SUMIF(修正!A45:A56,H62,修正!G45:G56)</f>
        <v>0.25</v>
      </c>
      <c r="J62" s="1111"/>
      <c r="K62" s="1144"/>
      <c r="L62" s="940"/>
      <c r="M62" s="940"/>
      <c r="N62" s="940"/>
      <c r="O62" s="940"/>
    </row>
    <row r="63" spans="1:15" s="691" customFormat="1">
      <c r="A63" s="692" t="s">
        <v>2777</v>
      </c>
      <c r="B63" s="262">
        <f t="shared" si="17"/>
        <v>0</v>
      </c>
      <c r="C63" s="200">
        <f t="shared" si="16"/>
        <v>0</v>
      </c>
      <c r="D63" s="1163">
        <v>0.25</v>
      </c>
      <c r="E63" s="261">
        <f>'数据-汇总表'!E13</f>
        <v>0</v>
      </c>
      <c r="F63" s="1102">
        <f t="shared" si="15"/>
        <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2779</v>
      </c>
      <c r="B64" s="262">
        <f t="shared" si="17"/>
        <v>607</v>
      </c>
      <c r="C64" s="200">
        <f t="shared" si="16"/>
        <v>0.2</v>
      </c>
      <c r="D64" s="1163">
        <v>0.25</v>
      </c>
      <c r="E64" s="261">
        <f>'数据-汇总表'!E14</f>
        <v>0</v>
      </c>
      <c r="F64" s="1102">
        <f t="shared" si="15"/>
        <v>0</v>
      </c>
      <c r="G64" s="2706" t="s">
        <v>2769</v>
      </c>
      <c r="H64" s="1103" t="str">
        <f>项目基本情况!B37</f>
        <v>七级</v>
      </c>
      <c r="I64" s="1107">
        <f>SUMIF(修正!A45:A56,H64,修正!H45:H56)</f>
        <v>0.2</v>
      </c>
      <c r="J64" s="1111"/>
      <c r="K64" s="1144"/>
      <c r="L64" s="940"/>
      <c r="M64" s="940"/>
      <c r="N64" s="940"/>
      <c r="O64" s="940"/>
    </row>
    <row r="65" spans="1:20" s="691" customFormat="1" ht="15" thickBot="1">
      <c r="A65" s="692" t="s">
        <v>2780</v>
      </c>
      <c r="B65" s="262">
        <f t="shared" si="17"/>
        <v>607</v>
      </c>
      <c r="C65" s="200">
        <f t="shared" si="16"/>
        <v>0.2</v>
      </c>
      <c r="D65" s="1163">
        <v>0.25</v>
      </c>
      <c r="E65" s="261">
        <f>'数据-汇总表'!E15</f>
        <v>0</v>
      </c>
      <c r="F65" s="1102">
        <f t="shared" si="15"/>
        <v>0</v>
      </c>
      <c r="G65" s="2707" t="s">
        <v>2774</v>
      </c>
      <c r="H65" s="1113" t="str">
        <f>项目基本情况!C37</f>
        <v>七级</v>
      </c>
      <c r="I65" s="1109">
        <f>SUMIF(修正!A45:A56,H65,修正!H45:H56)</f>
        <v>0.2</v>
      </c>
      <c r="J65" s="1112"/>
      <c r="K65" s="1143"/>
      <c r="L65" s="940"/>
      <c r="M65" s="940"/>
      <c r="N65" s="940"/>
      <c r="O65" s="940"/>
    </row>
    <row r="66" spans="1:20" s="691" customFormat="1" ht="13.5" thickBot="1">
      <c r="A66" s="694" t="s">
        <v>2781</v>
      </c>
      <c r="B66" s="695" t="s">
        <v>28</v>
      </c>
      <c r="C66" s="695" t="s">
        <v>29</v>
      </c>
      <c r="D66" s="695" t="s">
        <v>1029</v>
      </c>
      <c r="E66" s="695">
        <f>IF(B46="楼面地价",SUM(E56:E65),'数据-汇总表'!D3)</f>
        <v>42325.20999999997</v>
      </c>
      <c r="F66" s="696">
        <f>IF(B46="楼面地价",SUM(F56:F65),ROUND(C48*E66/10000,0))</f>
        <v>51404</v>
      </c>
      <c r="G66" s="786"/>
      <c r="H66" s="786"/>
      <c r="I66" s="786"/>
      <c r="J66" s="786"/>
      <c r="K66" s="1157"/>
      <c r="L66" s="940"/>
      <c r="M66" s="940"/>
      <c r="N66" s="940"/>
      <c r="O66" s="940"/>
    </row>
    <row r="67" spans="1:20">
      <c r="A67" s="758"/>
      <c r="B67" s="760"/>
      <c r="C67" s="761"/>
      <c r="D67" s="758"/>
      <c r="E67" s="758"/>
      <c r="F67" s="758"/>
      <c r="G67" s="758"/>
      <c r="H67" s="758"/>
      <c r="I67" s="758"/>
      <c r="J67" s="1143"/>
      <c r="K67" s="1104"/>
      <c r="L67" s="1105"/>
      <c r="M67" s="1143"/>
      <c r="N67" s="1143"/>
      <c r="O67" s="1143"/>
    </row>
    <row r="68" spans="1:20">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20" ht="21.75" thickBot="1">
      <c r="A69" s="762" t="s">
        <v>2675</v>
      </c>
      <c r="B69" s="758"/>
      <c r="C69" s="763"/>
      <c r="D69" s="763"/>
      <c r="E69" s="763"/>
      <c r="F69" s="764"/>
      <c r="G69" s="764"/>
      <c r="H69" s="763"/>
      <c r="I69" s="763"/>
      <c r="J69" s="1158"/>
      <c r="K69" s="1159"/>
      <c r="L69" s="1160"/>
      <c r="M69" s="1158"/>
      <c r="N69" s="1158"/>
      <c r="O69" s="1158"/>
      <c r="P69" s="503"/>
      <c r="Q69" s="504"/>
    </row>
    <row r="70" spans="1:20" s="508" customFormat="1" ht="28.5">
      <c r="A70" s="2708" t="s">
        <v>2782</v>
      </c>
      <c r="B70" s="1358"/>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2966" t="s">
        <v>3106</v>
      </c>
      <c r="Q70" s="2966" t="s">
        <v>3107</v>
      </c>
      <c r="R70" s="2965" t="s">
        <v>3104</v>
      </c>
      <c r="S70" s="2966" t="s">
        <v>3105</v>
      </c>
      <c r="T70" s="2966" t="s">
        <v>3108</v>
      </c>
    </row>
    <row r="71" spans="1:20" s="117" customFormat="1" ht="30" customHeight="1">
      <c r="A71" s="2709" t="s">
        <v>2783</v>
      </c>
      <c r="B71" s="332" t="str">
        <f>"北京市平均增长率"&amp;TEXT(SUMIF('基准地价修正-商业'!N21:N25,A71,'基准地价修正-商业'!P21:P25),"0.00%")</f>
        <v>北京市平均增长率2.50%</v>
      </c>
      <c r="C71" s="603">
        <v>100</v>
      </c>
      <c r="D71" s="595">
        <v>99</v>
      </c>
      <c r="E71" s="595">
        <v>98</v>
      </c>
      <c r="F71" s="595">
        <v>97</v>
      </c>
      <c r="G71" s="595">
        <v>96</v>
      </c>
      <c r="H71" s="595">
        <v>95</v>
      </c>
      <c r="I71" s="595">
        <v>94</v>
      </c>
      <c r="J71" s="595">
        <v>93</v>
      </c>
      <c r="K71" s="595">
        <v>92</v>
      </c>
      <c r="L71" s="595">
        <v>91</v>
      </c>
      <c r="M71" s="595">
        <v>90</v>
      </c>
      <c r="N71" s="595">
        <v>89</v>
      </c>
      <c r="O71" s="595">
        <v>88</v>
      </c>
      <c r="P71" s="595">
        <v>87</v>
      </c>
      <c r="Q71" s="595">
        <v>86</v>
      </c>
      <c r="R71" s="595">
        <v>85</v>
      </c>
      <c r="S71" s="595">
        <v>84</v>
      </c>
      <c r="T71" s="595">
        <v>83</v>
      </c>
    </row>
    <row r="72" spans="1:20" s="117" customFormat="1" ht="15.75" thickBot="1">
      <c r="A72" s="515" t="s">
        <v>2587</v>
      </c>
      <c r="B72" s="516"/>
      <c r="C72" s="517"/>
      <c r="D72" s="518"/>
      <c r="E72" s="518"/>
      <c r="F72" s="518"/>
      <c r="G72" s="518"/>
      <c r="H72" s="518"/>
      <c r="I72" s="518"/>
      <c r="J72" s="518"/>
      <c r="K72" s="518"/>
      <c r="L72" s="518"/>
      <c r="M72" s="519"/>
      <c r="N72" s="518"/>
      <c r="O72" s="1161"/>
      <c r="P72" s="504"/>
      <c r="Q72" s="504"/>
    </row>
    <row r="73" spans="1:20" s="117" customFormat="1" ht="15">
      <c r="A73" s="521" t="s">
        <v>2552</v>
      </c>
      <c r="B73" s="510"/>
      <c r="C73" s="522" t="s">
        <v>2654</v>
      </c>
      <c r="D73" s="523"/>
      <c r="E73" s="523"/>
      <c r="F73" s="523"/>
      <c r="G73" s="523"/>
      <c r="H73" s="523"/>
      <c r="I73" s="523"/>
      <c r="J73" s="523"/>
      <c r="K73" s="523"/>
      <c r="L73" s="524"/>
      <c r="M73" s="525"/>
      <c r="N73" s="1150"/>
      <c r="O73" s="1150"/>
      <c r="P73" s="526"/>
      <c r="Q73" s="504"/>
    </row>
    <row r="74" spans="1:20" s="117" customFormat="1" ht="15.75" thickBot="1">
      <c r="A74" s="521"/>
      <c r="B74" s="510"/>
      <c r="C74" s="638">
        <v>100</v>
      </c>
      <c r="D74" s="512"/>
      <c r="E74" s="512"/>
      <c r="F74" s="512"/>
      <c r="G74" s="512"/>
      <c r="H74" s="512"/>
      <c r="I74" s="512"/>
      <c r="J74" s="512"/>
      <c r="K74" s="512"/>
      <c r="L74" s="512"/>
      <c r="M74" s="514"/>
      <c r="N74" s="1150"/>
      <c r="O74" s="1150"/>
      <c r="P74" s="504"/>
      <c r="Q74" s="504"/>
    </row>
    <row r="75" spans="1:20">
      <c r="A75" s="527" t="s">
        <v>2590</v>
      </c>
      <c r="B75" s="528" t="s">
        <v>2556</v>
      </c>
      <c r="C75" s="2967" t="s">
        <v>3110</v>
      </c>
      <c r="D75" s="530"/>
      <c r="E75" s="530"/>
      <c r="F75" s="530"/>
      <c r="G75" s="530"/>
      <c r="H75" s="530"/>
      <c r="I75" s="530"/>
      <c r="J75" s="530"/>
      <c r="K75" s="531"/>
      <c r="L75" s="532"/>
      <c r="M75" s="533"/>
      <c r="N75" s="1151"/>
      <c r="O75" s="1151"/>
      <c r="P75" s="45"/>
      <c r="Q75" s="504"/>
    </row>
    <row r="76" spans="1:20" ht="15.75" thickBot="1">
      <c r="A76" s="534"/>
      <c r="B76" s="535"/>
      <c r="C76" s="536"/>
      <c r="D76" s="536"/>
      <c r="E76" s="536"/>
      <c r="F76" s="536"/>
      <c r="G76" s="536"/>
      <c r="H76" s="536"/>
      <c r="I76" s="536"/>
      <c r="J76" s="536"/>
      <c r="K76" s="536"/>
      <c r="L76" s="536"/>
      <c r="M76" s="537"/>
      <c r="N76" s="1152"/>
      <c r="O76" s="1152"/>
      <c r="P76" s="45"/>
      <c r="Q76" s="504"/>
    </row>
    <row r="77" spans="1:20" ht="27.75" thickTop="1">
      <c r="A77" s="534"/>
      <c r="B77" s="538" t="s">
        <v>2559</v>
      </c>
      <c r="C77" s="539"/>
      <c r="D77" s="539"/>
      <c r="E77" s="539"/>
      <c r="F77" s="539"/>
      <c r="G77" s="539"/>
      <c r="H77" s="539"/>
      <c r="I77" s="539"/>
      <c r="J77" s="539"/>
      <c r="K77" s="540"/>
      <c r="L77" s="541"/>
      <c r="M77" s="542"/>
      <c r="N77" s="1151"/>
      <c r="O77" s="1151"/>
      <c r="P77" s="45"/>
      <c r="Q77" s="504"/>
    </row>
    <row r="78" spans="1:20" ht="15.75" thickBot="1">
      <c r="A78" s="534"/>
      <c r="B78" s="543"/>
      <c r="C78" s="544"/>
      <c r="D78" s="544"/>
      <c r="E78" s="544"/>
      <c r="F78" s="544"/>
      <c r="G78" s="544"/>
      <c r="H78" s="544"/>
      <c r="I78" s="544"/>
      <c r="J78" s="544"/>
      <c r="K78" s="544"/>
      <c r="L78" s="544"/>
      <c r="M78" s="545"/>
      <c r="N78" s="1152"/>
      <c r="O78" s="1152"/>
      <c r="P78" s="45"/>
      <c r="Q78" s="504"/>
    </row>
    <row r="79" spans="1:20" ht="15.75" thickTop="1">
      <c r="A79" s="534"/>
      <c r="B79" s="546" t="s">
        <v>2560</v>
      </c>
      <c r="C79" s="547" t="str">
        <f>C80&amp;"（含）"&amp;"-"&amp;D80</f>
        <v>3（含）-4</v>
      </c>
      <c r="D79" s="547" t="str">
        <f t="shared" ref="D79:L79" si="20">D80&amp;"（含）"&amp;"-"&amp;E80</f>
        <v>4（含）-5</v>
      </c>
      <c r="E79" s="547" t="str">
        <f t="shared" si="20"/>
        <v>5（含）-6</v>
      </c>
      <c r="F79" s="547" t="str">
        <f t="shared" si="20"/>
        <v>6（含）-7</v>
      </c>
      <c r="G79" s="547" t="str">
        <f t="shared" si="20"/>
        <v>7（含）-8</v>
      </c>
      <c r="H79" s="547" t="str">
        <f t="shared" si="20"/>
        <v>8（含）-9</v>
      </c>
      <c r="I79" s="547" t="str">
        <f t="shared" si="20"/>
        <v>9（含）-</v>
      </c>
      <c r="J79" s="547" t="str">
        <f t="shared" si="20"/>
        <v>（含）-</v>
      </c>
      <c r="K79" s="547" t="str">
        <f t="shared" si="20"/>
        <v>（含）-</v>
      </c>
      <c r="L79" s="547" t="str">
        <f t="shared" si="20"/>
        <v>（含）-</v>
      </c>
      <c r="M79" s="448" t="str">
        <f>M80&amp;"（含）"&amp;"-"&amp;P80</f>
        <v>（含）-</v>
      </c>
      <c r="N79" s="1152"/>
      <c r="O79" s="1152"/>
      <c r="P79" s="45"/>
      <c r="Q79" s="504"/>
    </row>
    <row r="80" spans="1:20" ht="15">
      <c r="A80" s="534"/>
      <c r="B80" s="548"/>
      <c r="C80" s="549">
        <v>3</v>
      </c>
      <c r="D80" s="549">
        <v>4</v>
      </c>
      <c r="E80" s="549">
        <v>5</v>
      </c>
      <c r="F80" s="549">
        <v>6</v>
      </c>
      <c r="G80" s="549">
        <v>7</v>
      </c>
      <c r="H80" s="549">
        <v>8</v>
      </c>
      <c r="I80" s="549">
        <v>9</v>
      </c>
      <c r="J80" s="549"/>
      <c r="K80" s="550"/>
      <c r="L80" s="551"/>
      <c r="M80" s="552"/>
      <c r="N80" s="1151"/>
      <c r="O80" s="1151"/>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2"/>
      <c r="O81" s="1152"/>
      <c r="P81" s="45"/>
      <c r="Q81" s="504"/>
    </row>
    <row r="82" spans="1:17" s="471" customFormat="1" ht="15.75" thickTop="1">
      <c r="A82" s="553"/>
      <c r="B82" s="538">
        <f>B12</f>
        <v>0</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0</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0</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2599</v>
      </c>
      <c r="D90" s="578" t="s">
        <v>2600</v>
      </c>
      <c r="E90" s="578" t="s">
        <v>2601</v>
      </c>
      <c r="F90" s="578" t="s">
        <v>2602</v>
      </c>
      <c r="G90" s="578" t="s">
        <v>2603</v>
      </c>
      <c r="H90" s="539"/>
      <c r="I90" s="539"/>
      <c r="J90" s="539"/>
      <c r="K90" s="540"/>
      <c r="L90" s="541"/>
      <c r="M90" s="542"/>
      <c r="N90" s="1151"/>
      <c r="O90" s="1151"/>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2"/>
      <c r="O91" s="1152"/>
      <c r="P91" s="45"/>
      <c r="Q91" s="504"/>
    </row>
    <row r="92" spans="1:17" ht="15.75" thickTop="1">
      <c r="A92" s="534"/>
      <c r="B92" s="538" t="s">
        <v>2698</v>
      </c>
      <c r="C92" s="578" t="s">
        <v>2599</v>
      </c>
      <c r="D92" s="578" t="s">
        <v>2600</v>
      </c>
      <c r="E92" s="578" t="s">
        <v>2601</v>
      </c>
      <c r="F92" s="578" t="s">
        <v>2602</v>
      </c>
      <c r="G92" s="578" t="s">
        <v>2603</v>
      </c>
      <c r="H92" s="539"/>
      <c r="I92" s="539"/>
      <c r="J92" s="539"/>
      <c r="K92" s="540"/>
      <c r="L92" s="541"/>
      <c r="M92" s="542"/>
      <c r="N92" s="1151"/>
      <c r="O92" s="1151"/>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2"/>
      <c r="O93" s="1152"/>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2785</v>
      </c>
      <c r="C96" s="578" t="s">
        <v>2599</v>
      </c>
      <c r="D96" s="578" t="s">
        <v>2600</v>
      </c>
      <c r="E96" s="578" t="s">
        <v>2601</v>
      </c>
      <c r="F96" s="578" t="s">
        <v>2602</v>
      </c>
      <c r="G96" s="578" t="s">
        <v>2603</v>
      </c>
      <c r="H96" s="578"/>
      <c r="I96" s="578"/>
      <c r="J96" s="578"/>
      <c r="K96" s="578"/>
      <c r="L96" s="697"/>
      <c r="M96" s="621"/>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2786</v>
      </c>
      <c r="C98" s="573" t="s">
        <v>2599</v>
      </c>
      <c r="D98" s="573" t="s">
        <v>2600</v>
      </c>
      <c r="E98" s="573" t="s">
        <v>2601</v>
      </c>
      <c r="F98" s="573" t="s">
        <v>2602</v>
      </c>
      <c r="G98" s="573" t="s">
        <v>2603</v>
      </c>
      <c r="H98" s="578"/>
      <c r="I98" s="578"/>
      <c r="J98" s="578"/>
      <c r="K98" s="578"/>
      <c r="L98" s="578"/>
      <c r="M98" s="621"/>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2657</v>
      </c>
      <c r="C102" s="659" t="s">
        <v>2676</v>
      </c>
      <c r="D102" s="659" t="s">
        <v>2677</v>
      </c>
      <c r="E102" s="659" t="s">
        <v>2678</v>
      </c>
      <c r="F102" s="659" t="s">
        <v>2679</v>
      </c>
      <c r="G102" s="659" t="s">
        <v>2680</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2692</v>
      </c>
      <c r="C106" s="2968" t="s">
        <v>3116</v>
      </c>
      <c r="D106" s="2968" t="s">
        <v>3117</v>
      </c>
      <c r="E106" s="2968" t="s">
        <v>3118</v>
      </c>
      <c r="F106" s="2968" t="s">
        <v>3120</v>
      </c>
      <c r="G106" s="2968" t="s">
        <v>3121</v>
      </c>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75" thickTop="1">
      <c r="A108" s="534"/>
      <c r="B108" s="538" t="s">
        <v>2750</v>
      </c>
      <c r="C108" s="583">
        <v>1</v>
      </c>
      <c r="D108" s="583">
        <v>2</v>
      </c>
      <c r="E108" s="583">
        <v>3</v>
      </c>
      <c r="F108" s="583">
        <v>4</v>
      </c>
      <c r="G108" s="583">
        <v>5</v>
      </c>
      <c r="H108" s="583">
        <v>6</v>
      </c>
      <c r="I108" s="583">
        <v>7</v>
      </c>
      <c r="J108" s="583">
        <v>8</v>
      </c>
      <c r="K108" s="584">
        <v>9</v>
      </c>
      <c r="L108" s="585"/>
      <c r="M108" s="586"/>
      <c r="N108" s="1151"/>
      <c r="O108" s="1151"/>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2"/>
      <c r="O109" s="1152"/>
      <c r="P109" s="45"/>
      <c r="Q109" s="504"/>
    </row>
    <row r="110" spans="1:17" ht="15.75" thickTop="1">
      <c r="A110" s="534"/>
      <c r="B110" s="546">
        <f>B35</f>
        <v>0</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0</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0</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2565</v>
      </c>
      <c r="B116" s="528" t="s">
        <v>2791</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c r="E117" s="595"/>
      <c r="F117" s="595"/>
      <c r="G117" s="595"/>
      <c r="H117" s="595"/>
      <c r="I117" s="595"/>
      <c r="J117" s="596"/>
      <c r="K117" s="596"/>
      <c r="L117" s="597"/>
      <c r="M117" s="598"/>
      <c r="N117" s="1151"/>
      <c r="O117" s="1151"/>
      <c r="P117" s="45"/>
      <c r="Q117" s="504"/>
    </row>
    <row r="118" spans="1:17" ht="15.75" thickBot="1">
      <c r="A118" s="534"/>
      <c r="B118" s="543"/>
      <c r="C118" s="570">
        <v>100</v>
      </c>
      <c r="D118" s="591"/>
      <c r="E118" s="591"/>
      <c r="F118" s="591"/>
      <c r="G118" s="591"/>
      <c r="H118" s="591"/>
      <c r="I118" s="591"/>
      <c r="J118" s="591"/>
      <c r="K118" s="591"/>
      <c r="L118" s="591"/>
      <c r="M118" s="592"/>
      <c r="N118" s="1152"/>
      <c r="O118" s="1152"/>
      <c r="P118" s="45"/>
      <c r="Q118" s="504"/>
    </row>
    <row r="119" spans="1:17" ht="15" thickTop="1">
      <c r="A119" s="599"/>
      <c r="B119" s="538" t="s">
        <v>2792</v>
      </c>
      <c r="C119" s="2969" t="s">
        <v>3123</v>
      </c>
      <c r="D119" s="2969" t="s">
        <v>3125</v>
      </c>
      <c r="E119" s="2969" t="s">
        <v>3126</v>
      </c>
      <c r="F119" s="2969" t="s">
        <v>3127</v>
      </c>
      <c r="G119" s="2969" t="s">
        <v>3128</v>
      </c>
      <c r="H119" s="583"/>
      <c r="I119" s="583"/>
      <c r="J119" s="583"/>
      <c r="K119" s="584"/>
      <c r="L119" s="585"/>
      <c r="M119" s="586"/>
      <c r="N119" s="1151"/>
      <c r="O119" s="1151"/>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2"/>
      <c r="O120" s="1152"/>
      <c r="P120" s="45"/>
      <c r="Q120" s="504"/>
    </row>
    <row r="121" spans="1:17" ht="15" thickTop="1">
      <c r="A121" s="599"/>
      <c r="B121" s="538" t="s">
        <v>2793</v>
      </c>
      <c r="C121" s="2968" t="s">
        <v>3129</v>
      </c>
      <c r="D121" s="2968" t="s">
        <v>3130</v>
      </c>
      <c r="E121" s="2968" t="s">
        <v>3126</v>
      </c>
      <c r="F121" s="2969" t="s">
        <v>3131</v>
      </c>
      <c r="G121" s="2969" t="s">
        <v>3132</v>
      </c>
      <c r="H121" s="583"/>
      <c r="I121" s="583"/>
      <c r="J121" s="583"/>
      <c r="K121" s="584"/>
      <c r="L121" s="585"/>
      <c r="M121" s="586"/>
      <c r="N121" s="1151"/>
      <c r="O121" s="1151"/>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2"/>
      <c r="O122" s="1152"/>
      <c r="P122" s="45"/>
      <c r="Q122" s="504"/>
    </row>
    <row r="123" spans="1:17" s="471" customFormat="1" ht="15" thickTop="1">
      <c r="A123" s="593"/>
      <c r="B123" s="538" t="s">
        <v>2794</v>
      </c>
      <c r="C123" s="2968" t="s">
        <v>3133</v>
      </c>
      <c r="D123" s="2968" t="s">
        <v>3134</v>
      </c>
      <c r="E123" s="2968" t="s">
        <v>3135</v>
      </c>
      <c r="F123" s="2968" t="s">
        <v>3136</v>
      </c>
      <c r="G123" s="2968" t="s">
        <v>3103</v>
      </c>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2795</v>
      </c>
      <c r="C125" s="2968" t="s">
        <v>3129</v>
      </c>
      <c r="D125" s="2968" t="s">
        <v>3130</v>
      </c>
      <c r="E125" s="2968" t="s">
        <v>3126</v>
      </c>
      <c r="F125" s="2969" t="s">
        <v>3131</v>
      </c>
      <c r="G125" s="2969" t="s">
        <v>3132</v>
      </c>
      <c r="H125" s="583"/>
      <c r="I125" s="583"/>
      <c r="J125" s="583"/>
      <c r="K125" s="584"/>
      <c r="L125" s="585"/>
      <c r="M125" s="586"/>
      <c r="N125" s="1151"/>
      <c r="O125" s="1151"/>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2"/>
      <c r="O126" s="1152"/>
      <c r="P126" s="45"/>
      <c r="Q126" s="504"/>
    </row>
    <row r="127" spans="1:17" ht="15" thickTop="1">
      <c r="A127" s="599"/>
      <c r="B127" s="538">
        <f>B43</f>
        <v>0</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0</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0</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2804</v>
      </c>
      <c r="B1" s="241"/>
      <c r="C1" s="245" t="s">
        <v>2805</v>
      </c>
      <c r="D1" s="388">
        <f>SUM(D29:D30,D33:D39)</f>
        <v>4317.1499999999996</v>
      </c>
      <c r="E1" s="2714"/>
      <c r="F1" s="2714"/>
      <c r="G1" s="2714"/>
      <c r="H1" s="2714"/>
      <c r="I1" s="2714"/>
      <c r="J1" s="2714"/>
      <c r="K1" s="1369"/>
      <c r="L1" s="2715" t="s">
        <v>2806</v>
      </c>
      <c r="M1" s="1079">
        <f>SUMPRODUCT((区片价!B5:B9=I2)*(区片价!C3:F3=E2)*(区片价!C5:F9))</f>
        <v>0</v>
      </c>
      <c r="N1" s="1082">
        <f>SUMPRODUCT((因素修正幅度!B5:B9=I2)*(因素修正幅度!C3:F3=E2)*(因素修正幅度!C5:F9))</f>
        <v>0</v>
      </c>
      <c r="O1" s="2716"/>
      <c r="P1" s="2716"/>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8262</v>
      </c>
      <c r="C2" s="2718" t="s">
        <v>2813</v>
      </c>
      <c r="D2" s="2719" t="s">
        <v>2814</v>
      </c>
      <c r="E2" s="2720" t="s">
        <v>1377</v>
      </c>
      <c r="F2" s="2719" t="s">
        <v>2815</v>
      </c>
      <c r="G2" s="2721" t="str">
        <f>IF(E2="商业",项目基本情况!B37,IF(E2="办公",项目基本情况!C37,IF(E2="住宅",项目基本情况!D37,项目基本情况!E37)))</f>
        <v>七级</v>
      </c>
      <c r="H2" s="2719" t="s">
        <v>2816</v>
      </c>
      <c r="I2" s="2721" t="str">
        <f>IF(E2="商业",项目基本情况!B38,IF(E2="办公",项目基本情况!C38,IF(E2="住宅",项目基本情况!D38,项目基本情况!E38)))</f>
        <v>Ⅶ-01</v>
      </c>
      <c r="J2" s="2722"/>
      <c r="K2" s="1369"/>
      <c r="L2" s="2723" t="s">
        <v>2817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19137</v>
      </c>
      <c r="U2" s="1601"/>
      <c r="V2" s="1600">
        <f ca="1">ROUND(T2*U2/10000,0)</f>
        <v>0</v>
      </c>
      <c r="W2" s="1604"/>
      <c r="X2" s="1604"/>
      <c r="Y2" s="1604"/>
      <c r="Z2" s="1604"/>
      <c r="AA2" s="1604"/>
      <c r="AB2" s="1604"/>
      <c r="AC2" s="1605"/>
      <c r="AD2" s="1606"/>
      <c r="AE2" s="1606"/>
      <c r="AF2" s="1606"/>
      <c r="AG2" s="1606"/>
      <c r="AH2" s="1606"/>
      <c r="AI2" s="1606"/>
      <c r="AJ2" s="1607"/>
    </row>
    <row r="3" spans="1:36" ht="25.5">
      <c r="A3" s="247" t="s">
        <v>2818</v>
      </c>
      <c r="B3" s="248">
        <f ca="1">ROUND(B2*10000/D1,0)</f>
        <v>19138</v>
      </c>
      <c r="C3" s="2718" t="s">
        <v>2819</v>
      </c>
      <c r="D3" s="2719" t="s">
        <v>2820</v>
      </c>
      <c r="E3" s="2724" t="s">
        <v>3082</v>
      </c>
      <c r="F3" s="2725" t="s">
        <v>3083</v>
      </c>
      <c r="G3" s="912">
        <f>IF(F3="宗地容积率",'数据-汇总表'!I4,IF(F3="估价对象容积率",'数据-汇总表'!I6,'数据-汇总表'!I7))</f>
        <v>3.5</v>
      </c>
      <c r="H3" s="198" t="s">
        <v>2821</v>
      </c>
      <c r="I3" s="943">
        <v>1</v>
      </c>
      <c r="J3" s="2722" t="s">
        <v>2822</v>
      </c>
      <c r="K3" s="1369"/>
      <c r="L3" s="2723" t="s">
        <v>2823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13737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5"/>
      <c r="B4" s="3276"/>
      <c r="C4" s="3276"/>
      <c r="D4" s="3277"/>
      <c r="E4" s="3277"/>
      <c r="F4" s="3277"/>
      <c r="G4" s="3277"/>
      <c r="H4" s="3277"/>
      <c r="I4" s="3277"/>
      <c r="J4" s="3278"/>
      <c r="K4" s="1369"/>
      <c r="L4" s="2723" t="s">
        <v>2824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11082</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2825</v>
      </c>
      <c r="C5" s="913">
        <f>ROUND(IF(E2="商业",IF(F16="增加",C6*C7+C16,C6*C7-C16),IF(E2="住宅",IF(F16="增加",C6*C12+C16,C6*C12-C16),IF(F16="增加",C6+C16,C6-C16))),0)</f>
        <v>8170</v>
      </c>
      <c r="D5" s="1785">
        <f>ROUND(IF(E2="商业",IF(F16="增加",C6+C16,C6-C16)),0)</f>
        <v>8170</v>
      </c>
      <c r="E5" s="2728"/>
      <c r="F5" s="2728"/>
      <c r="G5" s="2729"/>
      <c r="H5" s="2729"/>
      <c r="I5" s="2729"/>
      <c r="J5" s="2730"/>
      <c r="K5" s="2731"/>
      <c r="L5" s="2723" t="s">
        <v>2826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8892</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2827</v>
      </c>
      <c r="B6" s="2737" t="s">
        <v>2828</v>
      </c>
      <c r="C6" s="914">
        <f>SUMIF(L1:L12,G2,M1:M12)</f>
        <v>8170</v>
      </c>
      <c r="D6" s="2738" t="s">
        <v>2829</v>
      </c>
      <c r="E6" s="2739"/>
      <c r="F6" s="2739"/>
      <c r="G6" s="2740"/>
      <c r="H6" s="2740"/>
      <c r="I6" s="2740"/>
      <c r="J6" s="2741"/>
      <c r="K6" s="1839"/>
      <c r="L6" s="2723" t="s">
        <v>2830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0.73709999999999998</v>
      </c>
      <c r="T6" s="1600">
        <f t="shared" ca="1" si="0"/>
        <v>7572</v>
      </c>
      <c r="U6" s="1601"/>
      <c r="V6" s="1600">
        <f t="shared" ca="1" si="1"/>
        <v>0</v>
      </c>
      <c r="W6" s="1604"/>
      <c r="X6" s="1604"/>
      <c r="Y6" s="1604"/>
      <c r="Z6" s="1604"/>
      <c r="AA6" s="1604"/>
      <c r="AB6" s="1604"/>
      <c r="AC6" s="2732"/>
      <c r="AD6" s="2733"/>
      <c r="AE6" s="2733"/>
      <c r="AF6" s="2733"/>
      <c r="AG6" s="2733"/>
      <c r="AH6" s="2733"/>
      <c r="AI6" s="2733"/>
      <c r="AJ6" s="2734"/>
    </row>
    <row r="7" spans="1:36" ht="24">
      <c r="A7" s="3261" t="str">
        <f>IF(E2="商业",IF(C8="不临58条商业街","",2),"")</f>
        <v/>
      </c>
      <c r="B7" s="2742" t="s">
        <v>2831</v>
      </c>
      <c r="C7" s="915">
        <f>IF(C8="不临58条商业街",1,ROUND(1+(1.6*E8+1.2*E9+0.8*E10+0.4*E11)*C9,4))</f>
        <v>1</v>
      </c>
      <c r="D7" s="2743" t="s">
        <v>2832</v>
      </c>
      <c r="E7" s="944">
        <v>60</v>
      </c>
      <c r="F7" s="2744"/>
      <c r="G7" s="2745"/>
      <c r="H7" s="2745"/>
      <c r="I7" s="2745"/>
      <c r="J7" s="2746"/>
      <c r="K7" s="1839"/>
      <c r="L7" s="2723" t="s">
        <v>2833</v>
      </c>
      <c r="M7" s="1080">
        <f>SUMPRODUCT((区片价!B158:B205=I2)*(区片价!C3:F3=E2)*(区片价!C158:F205))</f>
        <v>8170</v>
      </c>
      <c r="N7" s="1082">
        <f>SUMPRODUCT((因素修正幅度!B158:B205=I2)*(因素修正幅度!C3:F3=E2)*(因素修正幅度!C158:F205))</f>
        <v>0.13</v>
      </c>
      <c r="O7" s="1369"/>
      <c r="P7" s="1369"/>
      <c r="Q7" s="1369"/>
      <c r="R7" s="1600">
        <v>6</v>
      </c>
      <c r="S7" s="1600">
        <f>ROUND(IF(G3&gt;1,IF(R7&lt;7,SUMPRODUCT((B93:B98=R7)*(C92:N92=G2)*(C93:N98)),SUMIF(C92:N92,G2,C100:N100)),IF(R7&lt;7,SUMPRODUCT((B102:B107=R7)*(C92:N92=G2)*(C102:N107)),SUMIF(C92:N92,G2,C109:N109))),4)</f>
        <v>0.6482</v>
      </c>
      <c r="T7" s="1600">
        <f t="shared" ca="1" si="0"/>
        <v>6659</v>
      </c>
      <c r="U7" s="1601"/>
      <c r="V7" s="1600">
        <f t="shared" ca="1" si="1"/>
        <v>0</v>
      </c>
      <c r="W7" s="1814" t="s">
        <v>2834</v>
      </c>
      <c r="X7" s="1602" t="str">
        <f>G2</f>
        <v>七级</v>
      </c>
      <c r="Y7" s="1602" t="s">
        <v>2835</v>
      </c>
      <c r="Z7" s="1603">
        <f>G3</f>
        <v>3.5</v>
      </c>
      <c r="AA7" s="1604"/>
      <c r="AB7" s="1604"/>
      <c r="AC7" s="1605"/>
      <c r="AD7" s="1606"/>
      <c r="AE7" s="1606"/>
      <c r="AF7" s="1606"/>
      <c r="AG7" s="1606"/>
      <c r="AH7" s="1606"/>
      <c r="AI7" s="1606"/>
      <c r="AJ7" s="1607"/>
    </row>
    <row r="8" spans="1:36" ht="25.5">
      <c r="A8" s="3262"/>
      <c r="B8" s="198" t="s">
        <v>2836</v>
      </c>
      <c r="C8" s="2747" t="s">
        <v>3084</v>
      </c>
      <c r="D8" s="916" t="s">
        <v>139</v>
      </c>
      <c r="E8" s="917">
        <f>ROUND(C11/E7,4)</f>
        <v>0</v>
      </c>
      <c r="F8" s="2748" t="s">
        <v>2837</v>
      </c>
      <c r="G8" s="2749"/>
      <c r="H8" s="2749"/>
      <c r="I8" s="2749"/>
      <c r="J8" s="2750"/>
      <c r="K8" s="1369"/>
      <c r="L8" s="2723" t="s">
        <v>2838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72" t="s">
        <v>2839</v>
      </c>
      <c r="X8" s="3273"/>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62"/>
      <c r="B9" s="198" t="s">
        <v>2852</v>
      </c>
      <c r="C9" s="918">
        <f>SUMIF(修正!C59:C119,C8,修正!E59:E119)</f>
        <v>0</v>
      </c>
      <c r="D9" s="200" t="s">
        <v>140</v>
      </c>
      <c r="E9" s="200">
        <f>ROUND(C11/E7,4)</f>
        <v>0</v>
      </c>
      <c r="F9" s="2748" t="s">
        <v>2853</v>
      </c>
      <c r="G9" s="2749"/>
      <c r="H9" s="2749"/>
      <c r="I9" s="2749"/>
      <c r="J9" s="2750"/>
      <c r="K9" s="1369"/>
      <c r="L9" s="2723" t="s">
        <v>2854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74"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2"/>
      <c r="B10" s="198" t="s">
        <v>2857</v>
      </c>
      <c r="C10" s="200">
        <f>SUMIF(修正!C59:C119,C8,修正!F59:F119)</f>
        <v>0</v>
      </c>
      <c r="D10" s="200" t="s">
        <v>141</v>
      </c>
      <c r="E10" s="200">
        <f>ROUND(C11/E7,4)</f>
        <v>0</v>
      </c>
      <c r="F10" s="2748" t="s">
        <v>2858</v>
      </c>
      <c r="G10" s="2749"/>
      <c r="H10" s="2749"/>
      <c r="I10" s="2749"/>
      <c r="J10" s="2750"/>
      <c r="K10" s="1369"/>
      <c r="L10" s="2723" t="s">
        <v>2859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7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2"/>
      <c r="B11" s="2751" t="s">
        <v>2860</v>
      </c>
      <c r="C11" s="919">
        <f>C10/4</f>
        <v>0</v>
      </c>
      <c r="D11" s="919" t="s">
        <v>142</v>
      </c>
      <c r="E11" s="919">
        <f>ROUND(C11/E7,4)</f>
        <v>0</v>
      </c>
      <c r="F11" s="2752" t="s">
        <v>2861</v>
      </c>
      <c r="G11" s="2753"/>
      <c r="H11" s="2753"/>
      <c r="I11" s="2753"/>
      <c r="J11" s="2754"/>
      <c r="K11" s="1369"/>
      <c r="L11" s="2723" t="s">
        <v>2862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74" t="s">
        <v>2863</v>
      </c>
      <c r="X11" s="1612" t="s">
        <v>2864</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1" t="s">
        <v>2865</v>
      </c>
      <c r="B12" s="2755" t="s">
        <v>2866</v>
      </c>
      <c r="C12" s="915">
        <f>ROUND(C15*D15*E15*F15*G15*H15*I15*J15,4)</f>
        <v>1.331</v>
      </c>
      <c r="D12" s="2756" t="s">
        <v>2867</v>
      </c>
      <c r="E12" s="2757"/>
      <c r="F12" s="2757"/>
      <c r="G12" s="2758"/>
      <c r="H12" s="2758"/>
      <c r="I12" s="2758"/>
      <c r="J12" s="2759"/>
      <c r="K12" s="1369"/>
      <c r="L12" s="2760" t="s">
        <v>2868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74"/>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9"/>
      <c r="B13" s="2761" t="s">
        <v>2870</v>
      </c>
      <c r="C13" s="2762" t="s">
        <v>2871</v>
      </c>
      <c r="D13" s="1806" t="s">
        <v>2872</v>
      </c>
      <c r="E13" s="1806" t="s">
        <v>2873</v>
      </c>
      <c r="F13" s="30" t="s">
        <v>2874</v>
      </c>
      <c r="G13" s="2763" t="s">
        <v>2875</v>
      </c>
      <c r="H13" s="2763" t="s">
        <v>2875</v>
      </c>
      <c r="I13" s="2763" t="s">
        <v>2875</v>
      </c>
      <c r="J13" s="2764" t="s">
        <v>2875</v>
      </c>
      <c r="K13" s="1369"/>
      <c r="L13" s="1369"/>
      <c r="M13" s="1369"/>
      <c r="N13" s="1369"/>
      <c r="O13" s="1369"/>
      <c r="P13" s="1369"/>
      <c r="Q13" s="1369"/>
      <c r="R13" s="1600">
        <v>12</v>
      </c>
      <c r="S13" s="1601"/>
      <c r="T13" s="1600">
        <f t="shared" ca="1" si="0"/>
        <v>0</v>
      </c>
      <c r="U13" s="1601"/>
      <c r="V13" s="1600">
        <f t="shared" ca="1" si="1"/>
        <v>0</v>
      </c>
      <c r="W13" s="3274"/>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79"/>
      <c r="B14" s="2765"/>
      <c r="C14" s="2766" t="s">
        <v>3085</v>
      </c>
      <c r="D14" s="2767" t="s">
        <v>3051</v>
      </c>
      <c r="E14" s="2767" t="s">
        <v>3085</v>
      </c>
      <c r="F14" s="2768" t="s">
        <v>3086</v>
      </c>
      <c r="G14" s="2769" t="s">
        <v>2876</v>
      </c>
      <c r="H14" s="2770"/>
      <c r="I14" s="2771"/>
      <c r="J14" s="277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0"/>
      <c r="B15" s="2773" t="s">
        <v>2877</v>
      </c>
      <c r="C15" s="229">
        <f>IF(C14="有",1.1,1)</f>
        <v>1.1000000000000001</v>
      </c>
      <c r="D15" s="229">
        <f>IF(D14="有",1.1,1)</f>
        <v>1</v>
      </c>
      <c r="E15" s="229">
        <f>IF(E14="有",1.1,1)</f>
        <v>1.1000000000000001</v>
      </c>
      <c r="F15" s="229">
        <f>IF(F14="500米范围内",1.2,IF(F14="500-1000米",1.1,1))</f>
        <v>1.1000000000000001</v>
      </c>
      <c r="G15" s="945">
        <v>1</v>
      </c>
      <c r="H15" s="945">
        <v>1</v>
      </c>
      <c r="I15" s="945">
        <v>1</v>
      </c>
      <c r="J15" s="946">
        <v>1</v>
      </c>
      <c r="K15" s="1369"/>
      <c r="L15" s="2774" t="s">
        <v>2814</v>
      </c>
      <c r="M15" s="916" t="s">
        <v>2878</v>
      </c>
      <c r="N15" s="916" t="s">
        <v>2879</v>
      </c>
      <c r="O15" s="916" t="s">
        <v>2880</v>
      </c>
      <c r="P15" s="2775" t="s">
        <v>2881</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1" t="s">
        <v>2882</v>
      </c>
      <c r="B16" s="2742" t="s">
        <v>2883</v>
      </c>
      <c r="C16" s="1799">
        <f>ROUND(SUM(G17:J17)/C17,0)</f>
        <v>0</v>
      </c>
      <c r="D16" s="2776" t="s">
        <v>2884</v>
      </c>
      <c r="E16" s="2777" t="s">
        <v>3087</v>
      </c>
      <c r="F16" s="2778" t="s">
        <v>3088</v>
      </c>
      <c r="G16" s="2779"/>
      <c r="H16" s="2779"/>
      <c r="I16" s="2779"/>
      <c r="J16" s="2780"/>
      <c r="K16" s="1369"/>
      <c r="L16" s="2781" t="s">
        <v>2885</v>
      </c>
      <c r="M16" s="918">
        <v>0.25</v>
      </c>
      <c r="N16" s="918">
        <v>0.2</v>
      </c>
      <c r="O16" s="918">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2"/>
      <c r="B17" s="2782" t="s">
        <v>2886</v>
      </c>
      <c r="C17" s="920">
        <f>SUMPRODUCT((修正!A2:A5=E2)*(修正!B1:M1=G2)*(修正!B2:M5))</f>
        <v>2.5</v>
      </c>
      <c r="D17" s="2783" t="s">
        <v>2887</v>
      </c>
      <c r="E17" s="919" t="str">
        <f>IF(OR(G2="八级",G2="九级",G2="十级",G2="十一级",G2="十二级"),"五通一平","七通一平")</f>
        <v>七通一平</v>
      </c>
      <c r="F17" s="920" t="s">
        <v>2888</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4"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2890</v>
      </c>
      <c r="C18" s="922">
        <f>SUMIF(修正!C18:C39,E3,修正!E18:E39)</f>
        <v>1.1000000000000001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2891</v>
      </c>
      <c r="C19" s="923">
        <f>ROUND(IF(H19="按公示增长率计算",SUMPRODUCT((地价!A3:A22=YEAR(G19)&amp;"-"&amp;ROUNDUP(MONTH(G19)/3,0))*(地价!X2:AB2=E2)*(地价!X3:AB22)),IF(H19="地价指数",M20/M19,(1+I19)^O19)),4)</f>
        <v>1.2928999999999999</v>
      </c>
      <c r="D19" s="2794" t="s">
        <v>2892</v>
      </c>
      <c r="E19" s="924">
        <v>41640</v>
      </c>
      <c r="F19" s="2794" t="s">
        <v>2893</v>
      </c>
      <c r="G19" s="925">
        <f>'数据-取费表'!B2</f>
        <v>43228</v>
      </c>
      <c r="H19" s="2795" t="s">
        <v>3089</v>
      </c>
      <c r="I19" s="926" t="str">
        <f>IF(H19="季度增幅（自定义）",SUMIF(N21:N24,E2,O21:O24),"")</f>
        <v/>
      </c>
      <c r="J19" s="2792"/>
      <c r="K19" s="1376"/>
      <c r="L19" s="2796" t="s">
        <v>2894</v>
      </c>
      <c r="M19" s="1732">
        <f>ROUND(SUMIF(地价!B2:F2,E2,地价!B22:F22),0)</f>
        <v>258</v>
      </c>
      <c r="N19" s="2797" t="s">
        <v>2895</v>
      </c>
      <c r="O19" s="927">
        <f>ROUNDDOWN(DATEDIF(E19,G19,"M")/3,0)</f>
        <v>17</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2896</v>
      </c>
      <c r="C20" s="928">
        <f ca="1">ROUND(POWER(1+G20,J20-I20)*(POWER(1+G20,I20)-1)/(POWER(1+G20,J20)-1),4)</f>
        <v>0.8538</v>
      </c>
      <c r="D20" s="2803" t="s">
        <v>2897</v>
      </c>
      <c r="E20" s="1766">
        <f ca="1">存贷款利率!D4/100</f>
        <v>4.3499999999999997E-2</v>
      </c>
      <c r="F20" s="2803" t="s">
        <v>2889</v>
      </c>
      <c r="G20" s="933">
        <f ca="1">SUMIF(M15:P15,E2,M17:P17)</f>
        <v>5.3999999999999999E-2</v>
      </c>
      <c r="H20" s="2803" t="s">
        <v>2898</v>
      </c>
      <c r="I20" s="934">
        <f>SUMIF('数据-取费表'!C6:C15,E2,'数据-取费表'!F6:F15)/COUNTIF('数据-取费表'!C6:C15,E2)</f>
        <v>26.33</v>
      </c>
      <c r="J20" s="935">
        <f>IF(E2="住宅",70,IF(E2="商业",40,50))</f>
        <v>40</v>
      </c>
      <c r="K20" s="1376"/>
      <c r="L20" s="2804" t="s">
        <v>2899</v>
      </c>
      <c r="M20" s="1733">
        <f>ROUND(SUMPRODUCT((地价!A4:A22=YEAR(G19)&amp;"-"&amp;ROUNDUP(MONTH(G19)/3,0))*(地价!B2:F2=E2)*(地价!B4:F22)),0)</f>
        <v>333</v>
      </c>
      <c r="N20" s="2805" t="s">
        <v>2900</v>
      </c>
      <c r="O20" s="2806" t="s">
        <v>2901</v>
      </c>
      <c r="P20" s="2807" t="s">
        <v>2902</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3091</v>
      </c>
      <c r="C21" s="936">
        <f>IF(B21="容积率修正",IF(G3&lt;=10,D22,J22),C23)</f>
        <v>1.8629</v>
      </c>
      <c r="D21" s="2810"/>
      <c r="E21" s="2810"/>
      <c r="F21" s="2810"/>
      <c r="G21" s="2810"/>
      <c r="H21" s="2810"/>
      <c r="I21" s="2810"/>
      <c r="J21" s="2811"/>
      <c r="K21" s="1376"/>
      <c r="N21" s="2812" t="s">
        <v>2903</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2904</v>
      </c>
      <c r="B22" s="2813" t="s">
        <v>2905</v>
      </c>
      <c r="C22" s="1808" t="s">
        <v>2906</v>
      </c>
      <c r="D22" s="1808">
        <f>IF(E22=G22,F22,IF(G3&lt;=10,ROUND(F22+(H22-F22)*(G3-E22)/(G22-E22),4),"——"))</f>
        <v>0.89870000000000005</v>
      </c>
      <c r="E22" s="912">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2">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08" t="s">
        <v>155</v>
      </c>
      <c r="J22" s="937" t="str">
        <f>IF(G3&gt;10,D113,"——")</f>
        <v>——</v>
      </c>
      <c r="K22" s="1376"/>
      <c r="N22" s="2812" t="s">
        <v>2907</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1" t="s">
        <v>2908</v>
      </c>
      <c r="B23" s="2814" t="s">
        <v>2909</v>
      </c>
      <c r="C23" s="1012">
        <f>ROUND(IF(G3&gt;1,IF(I3&lt;7,SUMPRODUCT((B93:B98=I3)*(C92:N92=G2)*(C93:N98)),SUMIF(C92:N92,G2,C100:N100)),IF(I3&lt;7,SUMPRODUCT((B102:B107=I3)*(C92:N92=G2)*(C102:N107)),SUMIF(C92:N92,G2,C109:N109))),4)</f>
        <v>1.8629</v>
      </c>
      <c r="D23" s="2770"/>
      <c r="E23" s="2770"/>
      <c r="F23" s="2815"/>
      <c r="G23" s="2816"/>
      <c r="H23" s="2817"/>
      <c r="I23" s="2818"/>
      <c r="J23" s="2819"/>
      <c r="K23" s="1369"/>
      <c r="N23" s="2812" t="s">
        <v>2910</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2911</v>
      </c>
      <c r="C24" s="923">
        <f>SUMIF(A45:A88,E2,B45:B88)</f>
        <v>1.0355000000000001</v>
      </c>
      <c r="D24" s="2790"/>
      <c r="E24" s="2820"/>
      <c r="F24" s="2820"/>
      <c r="G24" s="2820"/>
      <c r="H24" s="2820"/>
      <c r="I24" s="2820"/>
      <c r="J24" s="2821"/>
      <c r="K24" s="1376"/>
      <c r="N24" s="2822" t="s">
        <v>2912</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2913</v>
      </c>
      <c r="C25" s="929"/>
      <c r="D25" s="2745"/>
      <c r="E25" s="2745"/>
      <c r="F25" s="2824"/>
      <c r="G25" s="2745"/>
      <c r="H25" s="2745"/>
      <c r="I25" s="2745"/>
      <c r="J25" s="2746"/>
      <c r="K25" s="1369"/>
      <c r="N25" s="2825" t="s">
        <v>2914</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6"/>
      <c r="B26" s="2813" t="s">
        <v>2915</v>
      </c>
      <c r="C26" s="206">
        <f ca="1">E29+SUM(E33:E39)</f>
        <v>8262</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2916</v>
      </c>
      <c r="C27" s="930">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2917</v>
      </c>
      <c r="C28" s="2837" t="s">
        <v>2918</v>
      </c>
      <c r="D28" s="2837" t="s">
        <v>2919</v>
      </c>
      <c r="E28" s="2838" t="s">
        <v>2920</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2921</v>
      </c>
      <c r="C29" s="206">
        <f ca="1">ROUND(C5*C18*C19*C20*C21*C24,0)</f>
        <v>19137</v>
      </c>
      <c r="D29" s="2961">
        <f>'数据-取费表'!V21</f>
        <v>4317.1499999999996</v>
      </c>
      <c r="E29" s="941">
        <f ca="1">ROUND(C29*D29/10000,0)</f>
        <v>8262</v>
      </c>
      <c r="F29" s="2843" t="s">
        <v>2922</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2923</v>
      </c>
      <c r="C30" s="229">
        <f ca="1">ROUND(IF(E2="工业",C29*M39,C29*M38),0)</f>
        <v>4784</v>
      </c>
      <c r="D30" s="2848"/>
      <c r="E30" s="941">
        <f ca="1">ROUND(C30*D30/10000,0)</f>
        <v>0</v>
      </c>
      <c r="F30" s="2849" t="s">
        <v>2924</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269" t="s">
        <v>2929</v>
      </c>
      <c r="B33" s="2858" t="s">
        <v>2930</v>
      </c>
      <c r="C33" s="206">
        <f ca="1">ROUND(D5*C19*C20*C24*F33,0)</f>
        <v>6537</v>
      </c>
      <c r="D33" s="2842"/>
      <c r="E33" s="200">
        <f ca="1">ROUND(C33*D33/10000,0)</f>
        <v>0</v>
      </c>
      <c r="F33" s="200">
        <f>SUMIF(修正!A45:A56,G2,修正!B45:B56)</f>
        <v>0.7</v>
      </c>
      <c r="G33" s="200">
        <f t="shared" ref="G33:G39" ca="1" si="6">ROUND(IF(E2="工业",C33*$M$39,C33*$M$38),0)</f>
        <v>1634</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0"/>
      <c r="B34" s="2762" t="s">
        <v>2931</v>
      </c>
      <c r="C34" s="206">
        <f ca="1">ROUND(D5*C19*C20*C24*F34,0)</f>
        <v>3736</v>
      </c>
      <c r="D34" s="2842"/>
      <c r="E34" s="200">
        <f t="shared" ref="E34:E39" ca="1" si="7">ROUND(C34*D34/10000,0)</f>
        <v>0</v>
      </c>
      <c r="F34" s="200">
        <f>SUMIF(修正!A45:A56,G2,修正!C45:C56)</f>
        <v>0.4</v>
      </c>
      <c r="G34" s="200">
        <f t="shared" ca="1" si="6"/>
        <v>934</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0"/>
      <c r="B35" s="2762" t="s">
        <v>2932</v>
      </c>
      <c r="C35" s="206">
        <f ca="1">ROUND(D5*C19*C20*C24*F35,0)</f>
        <v>2615</v>
      </c>
      <c r="D35" s="2842"/>
      <c r="E35" s="200">
        <f t="shared" ca="1" si="7"/>
        <v>0</v>
      </c>
      <c r="F35" s="200">
        <f>SUMIF(修正!A45:A56,G2,修正!D45:D56)</f>
        <v>0.28000000000000003</v>
      </c>
      <c r="G35" s="200">
        <f t="shared" ca="1" si="6"/>
        <v>654</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271"/>
      <c r="B36" s="2762" t="s">
        <v>2933</v>
      </c>
      <c r="C36" s="206">
        <f ca="1">ROUND(D5*C19*C20*C24*F36,0)</f>
        <v>2335</v>
      </c>
      <c r="D36" s="2842"/>
      <c r="E36" s="200">
        <f t="shared" ca="1" si="7"/>
        <v>0</v>
      </c>
      <c r="F36" s="200">
        <f>SUMIF(修正!A45:A56,G2,修正!E45:E56)</f>
        <v>0.25</v>
      </c>
      <c r="G36" s="200">
        <f t="shared" ca="1" si="6"/>
        <v>584</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2934</v>
      </c>
      <c r="C37" s="200">
        <f ca="1">ROUND(C5*C19*C20*C24*F37,0)</f>
        <v>2335</v>
      </c>
      <c r="D37" s="2842"/>
      <c r="E37" s="200">
        <f t="shared" ca="1" si="7"/>
        <v>0</v>
      </c>
      <c r="F37" s="206">
        <f>SUMIF(修正!A45:A56,G2,修正!F45:F56)</f>
        <v>0.25</v>
      </c>
      <c r="G37" s="200">
        <f t="shared" ca="1" si="6"/>
        <v>584</v>
      </c>
      <c r="H37" s="200">
        <f t="shared" si="8"/>
        <v>0</v>
      </c>
      <c r="I37" s="200">
        <f t="shared" ca="1" si="9"/>
        <v>0</v>
      </c>
      <c r="J37" s="2859"/>
      <c r="K37" s="1369"/>
      <c r="L37" s="2861" t="s">
        <v>2935</v>
      </c>
      <c r="M37" s="2862"/>
      <c r="N37" s="1369"/>
      <c r="O37" s="1369"/>
      <c r="P37" s="1369"/>
      <c r="Q37" s="1369"/>
      <c r="R37" s="1369"/>
      <c r="S37" s="1369"/>
      <c r="T37" s="1369"/>
      <c r="U37" s="1369"/>
      <c r="V37" s="1369"/>
      <c r="W37" s="1369"/>
      <c r="X37" s="1369"/>
      <c r="Y37" s="1369"/>
      <c r="Z37" s="1370"/>
    </row>
    <row r="38" spans="1:37">
      <c r="A38" s="2860"/>
      <c r="B38" s="2762" t="s">
        <v>2936</v>
      </c>
      <c r="C38" s="200">
        <f ca="1">ROUND(C5*C19*C20*C24*F38,0)</f>
        <v>2335</v>
      </c>
      <c r="D38" s="2842"/>
      <c r="E38" s="200">
        <f t="shared" ca="1" si="7"/>
        <v>0</v>
      </c>
      <c r="F38" s="206">
        <f>SUMIF(修正!A45:A56,G2,修正!G45:G56)</f>
        <v>0.25</v>
      </c>
      <c r="G38" s="200">
        <f t="shared" ca="1" si="6"/>
        <v>584</v>
      </c>
      <c r="H38" s="200">
        <f t="shared" si="8"/>
        <v>0</v>
      </c>
      <c r="I38" s="200">
        <f t="shared" ca="1" si="9"/>
        <v>0</v>
      </c>
      <c r="J38" s="2859"/>
      <c r="K38" s="1369"/>
      <c r="L38" s="1884" t="s">
        <v>2937</v>
      </c>
      <c r="M38" s="2863">
        <v>0.25</v>
      </c>
      <c r="N38" s="1369"/>
      <c r="O38" s="1369"/>
      <c r="P38" s="1369"/>
      <c r="Q38" s="1369"/>
      <c r="R38" s="1369"/>
      <c r="S38" s="1369"/>
      <c r="T38" s="1369"/>
      <c r="U38" s="1369"/>
      <c r="V38" s="1369"/>
      <c r="W38" s="1369"/>
      <c r="X38" s="1369"/>
      <c r="Y38" s="1369"/>
      <c r="Z38" s="1370"/>
    </row>
    <row r="39" spans="1:37" ht="13.5" thickBot="1">
      <c r="A39" s="2846"/>
      <c r="B39" s="2864" t="s">
        <v>2938</v>
      </c>
      <c r="C39" s="229">
        <f ca="1">ROUND(C5*C19*C20*C24*F39,0)</f>
        <v>1868</v>
      </c>
      <c r="D39" s="2848"/>
      <c r="E39" s="229">
        <f t="shared" ca="1" si="7"/>
        <v>0</v>
      </c>
      <c r="F39" s="931">
        <f>SUMIF(修正!A45:A56,G2,修正!H45:H56)</f>
        <v>0.2</v>
      </c>
      <c r="G39" s="229">
        <f t="shared" ca="1" si="6"/>
        <v>467</v>
      </c>
      <c r="H39" s="229">
        <f t="shared" si="8"/>
        <v>0</v>
      </c>
      <c r="I39" s="229">
        <f t="shared" ca="1" si="9"/>
        <v>0</v>
      </c>
      <c r="J39" s="2865"/>
      <c r="K39" s="1369"/>
      <c r="L39" s="2866" t="s">
        <v>2881</v>
      </c>
      <c r="M39" s="2867">
        <v>0.15</v>
      </c>
      <c r="N39" s="1369"/>
      <c r="O39" s="1369"/>
      <c r="P39" s="1369"/>
      <c r="Q39" s="1369"/>
      <c r="R39" s="1369"/>
      <c r="S39" s="1369"/>
      <c r="T39" s="1369"/>
      <c r="U39" s="1369"/>
      <c r="V39" s="1369"/>
      <c r="W39" s="1369"/>
      <c r="X39" s="1369"/>
      <c r="Y39" s="1369"/>
      <c r="Z39" s="1370"/>
    </row>
    <row r="40" spans="1:37" s="1369" customFormat="1">
      <c r="B40" s="2962" t="s">
        <v>3096</v>
      </c>
      <c r="C40" s="2962">
        <f ca="1">T3</f>
        <v>13737</v>
      </c>
      <c r="D40" s="2963">
        <f>'数据-取费表'!V22</f>
        <v>4989.13</v>
      </c>
      <c r="E40" s="2962">
        <f ca="1">ROUND(C40*D40/10000,0)</f>
        <v>6854</v>
      </c>
      <c r="Z40" s="1370"/>
      <c r="AA40" s="1370"/>
      <c r="AB40" s="1370"/>
      <c r="AC40" s="1370"/>
      <c r="AD40" s="1370"/>
      <c r="AE40" s="1370"/>
      <c r="AF40" s="1370"/>
      <c r="AG40" s="1370"/>
      <c r="AH40" s="1370"/>
      <c r="AI40" s="1370"/>
      <c r="AJ40" s="1370"/>
    </row>
    <row r="41" spans="1:37" s="1369" customFormat="1">
      <c r="A41" s="1370"/>
      <c r="B41" s="2962" t="s">
        <v>3097</v>
      </c>
      <c r="C41" s="2962">
        <f ca="1">T4</f>
        <v>11082</v>
      </c>
      <c r="D41" s="2963">
        <f>'数据-取费表'!V23</f>
        <v>4662.26</v>
      </c>
      <c r="E41" s="2962">
        <f ca="1">ROUND(C41*D41/10000,0)</f>
        <v>5167</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2939</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2940</v>
      </c>
      <c r="B46" s="2872">
        <f>1+E48</f>
        <v>1.0355000000000001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2941</v>
      </c>
      <c r="B47" s="1807" t="s">
        <v>2942</v>
      </c>
      <c r="C47" s="1807" t="s">
        <v>2943</v>
      </c>
      <c r="D47" s="1807" t="s">
        <v>2944</v>
      </c>
      <c r="E47" s="815" t="s">
        <v>2945</v>
      </c>
      <c r="F47" s="2876" t="s">
        <v>2946</v>
      </c>
      <c r="G47" s="1807" t="s">
        <v>754</v>
      </c>
      <c r="H47" s="2877" t="s">
        <v>2947</v>
      </c>
      <c r="I47" s="1807" t="s">
        <v>2948</v>
      </c>
      <c r="J47" s="603" t="s">
        <v>2599</v>
      </c>
      <c r="K47" s="603" t="s">
        <v>2600</v>
      </c>
      <c r="L47" s="603" t="s">
        <v>2601</v>
      </c>
      <c r="M47" s="603" t="s">
        <v>2602</v>
      </c>
      <c r="N47" s="603" t="s">
        <v>2603</v>
      </c>
      <c r="AA47" s="1370"/>
      <c r="AB47" s="1370"/>
      <c r="AC47" s="1370"/>
      <c r="AD47" s="1370"/>
      <c r="AE47" s="1370"/>
      <c r="AF47" s="1370"/>
      <c r="AG47" s="1370"/>
      <c r="AH47" s="1370"/>
      <c r="AI47" s="1370"/>
      <c r="AJ47" s="1370"/>
      <c r="AK47" s="1370"/>
    </row>
    <row r="48" spans="1:37" s="1369" customFormat="1" ht="38.25">
      <c r="A48" s="2875" t="s">
        <v>2949</v>
      </c>
      <c r="B48" s="2878" t="str">
        <f>估价对象房地状况!C4</f>
        <v>估价对象位于XX商圈，周边商业氛围成熟，人流量大，商业繁华度好</v>
      </c>
      <c r="C48" s="2767" t="s">
        <v>3092</v>
      </c>
      <c r="D48" s="1285">
        <f t="shared" ref="D48:D56" si="10">SUMIF($J$47:$N$47,C48,J48:N48)</f>
        <v>0</v>
      </c>
      <c r="E48" s="817">
        <f>ROUND(SUM(D48:D56),4)</f>
        <v>3.5499999999999997E-2</v>
      </c>
      <c r="F48" s="2498">
        <f>IF(E2="商业",SUMIF(L1:L12,G2,N1:N12),"——")</f>
        <v>0.13</v>
      </c>
      <c r="G48" s="1283">
        <f>H48</f>
        <v>2.1399999999999999E-2</v>
      </c>
      <c r="H48" s="1287">
        <f t="shared" ref="H48:H56" si="11">IFERROR(ROUNDDOWN($F$48*I48/2,4),"——")</f>
        <v>2.1399999999999999E-2</v>
      </c>
      <c r="I48" s="816">
        <v>0.33</v>
      </c>
      <c r="J48" s="1284">
        <f t="shared" ref="J48:J56" si="12">K48+$G48</f>
        <v>4.2799999999999998E-2</v>
      </c>
      <c r="K48" s="1284">
        <f t="shared" ref="K48:K56" si="13">$L48+$G48</f>
        <v>2.1399999999999999E-2</v>
      </c>
      <c r="L48" s="1284">
        <v>0</v>
      </c>
      <c r="M48" s="1284">
        <f t="shared" ref="M48:N56" si="14">L48-$G48</f>
        <v>-2.1399999999999999E-2</v>
      </c>
      <c r="N48" s="1284">
        <f t="shared" si="14"/>
        <v>-4.2799999999999998E-2</v>
      </c>
      <c r="AA48" s="1370"/>
      <c r="AB48" s="1370"/>
      <c r="AC48" s="1370"/>
      <c r="AD48" s="1370"/>
      <c r="AE48" s="1370"/>
      <c r="AF48" s="1370"/>
      <c r="AG48" s="1370"/>
      <c r="AH48" s="1370"/>
      <c r="AI48" s="1370"/>
      <c r="AJ48" s="1370"/>
      <c r="AK48" s="1370"/>
    </row>
    <row r="49" spans="1:37" s="1369" customFormat="1" ht="51">
      <c r="A49" s="2875" t="s">
        <v>2950</v>
      </c>
      <c r="B49" s="2879" t="str">
        <f>估价对象房地状况!C18</f>
        <v>估价对象周边道路状况、公共交通通达情况、停车便捷程度，综合评价交通便捷度较好</v>
      </c>
      <c r="C49" s="2767" t="s">
        <v>3093</v>
      </c>
      <c r="D49" s="1285">
        <f t="shared" si="10"/>
        <v>1.6199999999999999E-2</v>
      </c>
      <c r="E49" s="818"/>
      <c r="F49" s="2498"/>
      <c r="G49" s="1283">
        <f t="shared" ref="G49:G56" si="15">H49</f>
        <v>1.6199999999999999E-2</v>
      </c>
      <c r="H49" s="1287">
        <f t="shared" si="11"/>
        <v>1.6199999999999999E-2</v>
      </c>
      <c r="I49" s="816">
        <v>0.25</v>
      </c>
      <c r="J49" s="1284">
        <f t="shared" si="12"/>
        <v>3.2399999999999998E-2</v>
      </c>
      <c r="K49" s="1284">
        <f t="shared" si="13"/>
        <v>1.6199999999999999E-2</v>
      </c>
      <c r="L49" s="1284">
        <v>0</v>
      </c>
      <c r="M49" s="1284">
        <f t="shared" si="14"/>
        <v>-1.6199999999999999E-2</v>
      </c>
      <c r="N49" s="1284">
        <f t="shared" si="14"/>
        <v>-3.2399999999999998E-2</v>
      </c>
      <c r="AA49" s="1370"/>
      <c r="AB49" s="1370"/>
      <c r="AC49" s="1370"/>
      <c r="AD49" s="1370"/>
      <c r="AE49" s="1370"/>
      <c r="AF49" s="1370"/>
      <c r="AG49" s="1370"/>
      <c r="AH49" s="1370"/>
      <c r="AI49" s="1370"/>
      <c r="AJ49" s="1370"/>
      <c r="AK49" s="1370"/>
    </row>
    <row r="50" spans="1:37" s="1369" customFormat="1" ht="24">
      <c r="A50" s="2875" t="s">
        <v>2951</v>
      </c>
      <c r="B50" s="2879">
        <f>估价对象房地状况!C19</f>
        <v>0</v>
      </c>
      <c r="C50" s="2767" t="s">
        <v>3093</v>
      </c>
      <c r="D50" s="1285">
        <f t="shared" si="10"/>
        <v>3.2000000000000002E-3</v>
      </c>
      <c r="E50" s="818"/>
      <c r="F50" s="2498"/>
      <c r="G50" s="1283">
        <f t="shared" si="15"/>
        <v>3.2000000000000002E-3</v>
      </c>
      <c r="H50" s="1287">
        <f t="shared" si="11"/>
        <v>3.2000000000000002E-3</v>
      </c>
      <c r="I50" s="816">
        <v>0.05</v>
      </c>
      <c r="J50" s="1284">
        <f t="shared" si="12"/>
        <v>6.4000000000000003E-3</v>
      </c>
      <c r="K50" s="1284">
        <f t="shared" si="13"/>
        <v>3.2000000000000002E-3</v>
      </c>
      <c r="L50" s="1284">
        <v>0</v>
      </c>
      <c r="M50" s="1284">
        <f t="shared" si="14"/>
        <v>-3.2000000000000002E-3</v>
      </c>
      <c r="N50" s="1284">
        <f t="shared" si="14"/>
        <v>-6.4000000000000003E-3</v>
      </c>
      <c r="AA50" s="1370"/>
      <c r="AB50" s="1370"/>
      <c r="AC50" s="1370"/>
      <c r="AD50" s="1370"/>
      <c r="AE50" s="1370"/>
      <c r="AF50" s="1370"/>
      <c r="AG50" s="1370"/>
      <c r="AH50" s="1370"/>
      <c r="AI50" s="1370"/>
      <c r="AJ50" s="1370"/>
      <c r="AK50" s="1370"/>
    </row>
    <row r="51" spans="1:37" s="1369" customFormat="1" ht="36.75">
      <c r="A51" s="2875" t="s">
        <v>2952</v>
      </c>
      <c r="B51" s="2880" t="s">
        <v>2953</v>
      </c>
      <c r="C51" s="2767" t="s">
        <v>3093</v>
      </c>
      <c r="D51" s="1285">
        <f t="shared" si="10"/>
        <v>3.2000000000000002E-3</v>
      </c>
      <c r="E51" s="818"/>
      <c r="F51" s="2498"/>
      <c r="G51" s="1283">
        <f t="shared" si="15"/>
        <v>3.2000000000000002E-3</v>
      </c>
      <c r="H51" s="1287">
        <f t="shared" si="11"/>
        <v>3.2000000000000002E-3</v>
      </c>
      <c r="I51" s="816">
        <v>0.05</v>
      </c>
      <c r="J51" s="1284">
        <f t="shared" si="12"/>
        <v>6.4000000000000003E-3</v>
      </c>
      <c r="K51" s="1284">
        <f t="shared" si="13"/>
        <v>3.2000000000000002E-3</v>
      </c>
      <c r="L51" s="1284">
        <v>0</v>
      </c>
      <c r="M51" s="1284">
        <f t="shared" si="14"/>
        <v>-3.2000000000000002E-3</v>
      </c>
      <c r="N51" s="1284">
        <f t="shared" si="14"/>
        <v>-6.4000000000000003E-3</v>
      </c>
      <c r="AA51" s="1370"/>
      <c r="AB51" s="1370"/>
      <c r="AC51" s="1370"/>
      <c r="AD51" s="1370"/>
      <c r="AE51" s="1370"/>
      <c r="AF51" s="1370"/>
      <c r="AG51" s="1370"/>
      <c r="AH51" s="1370"/>
      <c r="AI51" s="1370"/>
      <c r="AJ51" s="1370"/>
      <c r="AK51" s="1370"/>
    </row>
    <row r="52" spans="1:37" s="1369" customFormat="1" ht="24">
      <c r="A52" s="2875" t="s">
        <v>2954</v>
      </c>
      <c r="B52" s="2879">
        <f>估价对象房地状况!C24</f>
        <v>0</v>
      </c>
      <c r="C52" s="2767" t="s">
        <v>3094</v>
      </c>
      <c r="D52" s="1285">
        <f t="shared" si="10"/>
        <v>-5.1999999999999998E-3</v>
      </c>
      <c r="E52" s="818"/>
      <c r="F52" s="2498"/>
      <c r="G52" s="1283">
        <f t="shared" si="15"/>
        <v>5.1999999999999998E-3</v>
      </c>
      <c r="H52" s="1287">
        <f t="shared" si="11"/>
        <v>5.1999999999999998E-3</v>
      </c>
      <c r="I52" s="816">
        <v>0.08</v>
      </c>
      <c r="J52" s="1284">
        <f t="shared" si="12"/>
        <v>1.04E-2</v>
      </c>
      <c r="K52" s="1284">
        <f t="shared" si="13"/>
        <v>5.1999999999999998E-3</v>
      </c>
      <c r="L52" s="1284">
        <v>0</v>
      </c>
      <c r="M52" s="1284">
        <f t="shared" si="14"/>
        <v>-5.1999999999999998E-3</v>
      </c>
      <c r="N52" s="1284">
        <f t="shared" si="14"/>
        <v>-1.04E-2</v>
      </c>
      <c r="AA52" s="1370"/>
      <c r="AB52" s="1370"/>
      <c r="AC52" s="1370"/>
      <c r="AD52" s="1370"/>
      <c r="AE52" s="1370"/>
      <c r="AF52" s="1370"/>
      <c r="AG52" s="1370"/>
      <c r="AH52" s="1370"/>
      <c r="AI52" s="1370"/>
      <c r="AJ52" s="1370"/>
      <c r="AK52" s="1370"/>
    </row>
    <row r="53" spans="1:37" s="1369" customFormat="1" ht="24">
      <c r="A53" s="2875" t="s">
        <v>2955</v>
      </c>
      <c r="B53" s="2881" t="s">
        <v>2956</v>
      </c>
      <c r="C53" s="2767" t="s">
        <v>3093</v>
      </c>
      <c r="D53" s="1285">
        <f t="shared" si="10"/>
        <v>1.9E-3</v>
      </c>
      <c r="E53" s="818"/>
      <c r="F53" s="2498"/>
      <c r="G53" s="1283">
        <f t="shared" si="15"/>
        <v>1.9E-3</v>
      </c>
      <c r="H53" s="1287">
        <f t="shared" si="11"/>
        <v>1.9E-3</v>
      </c>
      <c r="I53" s="816">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5.5">
      <c r="A54" s="2882" t="s">
        <v>2957</v>
      </c>
      <c r="B54" s="1723" t="str">
        <f>估价对象房地状况!C21</f>
        <v>估价对象所在区域公共配套设施齐备情况</v>
      </c>
      <c r="C54" s="2767" t="s">
        <v>3093</v>
      </c>
      <c r="D54" s="1285">
        <f t="shared" si="10"/>
        <v>3.2000000000000002E-3</v>
      </c>
      <c r="E54" s="818"/>
      <c r="F54" s="2498"/>
      <c r="G54" s="1283">
        <f t="shared" si="15"/>
        <v>3.2000000000000002E-3</v>
      </c>
      <c r="H54" s="1287">
        <f t="shared" si="11"/>
        <v>3.2000000000000002E-3</v>
      </c>
      <c r="I54" s="816">
        <v>0.05</v>
      </c>
      <c r="J54" s="1284">
        <f t="shared" si="12"/>
        <v>6.4000000000000003E-3</v>
      </c>
      <c r="K54" s="1284">
        <f t="shared" si="13"/>
        <v>3.2000000000000002E-3</v>
      </c>
      <c r="L54" s="1284">
        <v>0</v>
      </c>
      <c r="M54" s="1284">
        <f t="shared" si="14"/>
        <v>-3.2000000000000002E-3</v>
      </c>
      <c r="N54" s="1284">
        <f t="shared" si="14"/>
        <v>-6.4000000000000003E-3</v>
      </c>
      <c r="AA54" s="1370"/>
      <c r="AB54" s="1370"/>
      <c r="AC54" s="1370"/>
      <c r="AD54" s="1370"/>
      <c r="AE54" s="1370"/>
      <c r="AF54" s="1370"/>
      <c r="AG54" s="1370"/>
      <c r="AH54" s="1370"/>
      <c r="AI54" s="1370"/>
      <c r="AJ54" s="1370"/>
      <c r="AK54" s="1370"/>
    </row>
    <row r="55" spans="1:37" s="1369" customFormat="1" ht="25.5">
      <c r="A55" s="2882" t="s">
        <v>2958</v>
      </c>
      <c r="B55" s="2879" t="str">
        <f>估价对象房地状况!C22</f>
        <v>估价对象所在区域基础设施水平</v>
      </c>
      <c r="C55" s="2767" t="s">
        <v>3095</v>
      </c>
      <c r="D55" s="1285">
        <f t="shared" si="10"/>
        <v>1.2999999999999999E-2</v>
      </c>
      <c r="E55" s="818"/>
      <c r="F55" s="2498"/>
      <c r="G55" s="1283">
        <f t="shared" si="15"/>
        <v>6.4999999999999997E-3</v>
      </c>
      <c r="H55" s="1287">
        <f t="shared" si="11"/>
        <v>6.4999999999999997E-3</v>
      </c>
      <c r="I55" s="816">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39" thickBot="1">
      <c r="A56" s="2883" t="s">
        <v>2959</v>
      </c>
      <c r="B56" s="2884" t="str">
        <f>估价对象房地状况!C20</f>
        <v>区域自然环境：；人文环境；综合评价环境状况一般</v>
      </c>
      <c r="C56" s="2767" t="s">
        <v>3092</v>
      </c>
      <c r="D56" s="1285">
        <f t="shared" si="10"/>
        <v>0</v>
      </c>
      <c r="E56" s="821"/>
      <c r="F56" s="2498"/>
      <c r="G56" s="1283">
        <f t="shared" si="15"/>
        <v>3.8999999999999998E-3</v>
      </c>
      <c r="H56" s="1287">
        <f t="shared" si="11"/>
        <v>3.8999999999999998E-3</v>
      </c>
      <c r="I56" s="820">
        <v>0.06</v>
      </c>
      <c r="J56" s="1284">
        <f t="shared" si="12"/>
        <v>7.7999999999999996E-3</v>
      </c>
      <c r="K56" s="1284">
        <f t="shared" si="13"/>
        <v>3.8999999999999998E-3</v>
      </c>
      <c r="L56" s="1284">
        <v>0</v>
      </c>
      <c r="M56" s="1284">
        <f t="shared" si="14"/>
        <v>-3.8999999999999998E-3</v>
      </c>
      <c r="N56" s="1284">
        <f t="shared" si="14"/>
        <v>-7.7999999999999996E-3</v>
      </c>
      <c r="AA56" s="1370"/>
      <c r="AB56" s="1370"/>
      <c r="AC56" s="1370"/>
      <c r="AD56" s="1370"/>
      <c r="AE56" s="1370"/>
      <c r="AF56" s="1370"/>
      <c r="AG56" s="1370"/>
      <c r="AH56" s="1370"/>
      <c r="AI56" s="1370"/>
      <c r="AJ56" s="1370"/>
      <c r="AK56" s="1370"/>
    </row>
    <row r="57" spans="1:37" s="1369" customFormat="1" ht="15">
      <c r="A57" s="2871" t="s">
        <v>2960</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2941</v>
      </c>
      <c r="B58" s="1807"/>
      <c r="C58" s="1807" t="s">
        <v>2943</v>
      </c>
      <c r="D58" s="1807" t="s">
        <v>2944</v>
      </c>
      <c r="E58" s="815" t="s">
        <v>2945</v>
      </c>
      <c r="F58" s="2876" t="s">
        <v>2961</v>
      </c>
      <c r="G58" s="1807" t="s">
        <v>754</v>
      </c>
      <c r="H58" s="2877" t="s">
        <v>2947</v>
      </c>
      <c r="I58" s="1807" t="s">
        <v>2948</v>
      </c>
      <c r="J58" s="603" t="s">
        <v>2599</v>
      </c>
      <c r="K58" s="603" t="s">
        <v>2600</v>
      </c>
      <c r="L58" s="603" t="s">
        <v>2601</v>
      </c>
      <c r="M58" s="603" t="s">
        <v>2602</v>
      </c>
      <c r="N58" s="603" t="s">
        <v>2603</v>
      </c>
      <c r="AA58" s="1370"/>
      <c r="AB58" s="1370"/>
      <c r="AC58" s="1370"/>
      <c r="AD58" s="1370"/>
      <c r="AE58" s="1370"/>
      <c r="AF58" s="1370"/>
      <c r="AG58" s="1370"/>
      <c r="AH58" s="1370"/>
      <c r="AI58" s="1370"/>
      <c r="AJ58" s="1370"/>
      <c r="AK58" s="1370"/>
    </row>
    <row r="59" spans="1:37" s="1369" customFormat="1" ht="38.25">
      <c r="A59" s="2875" t="s">
        <v>2962</v>
      </c>
      <c r="B59" s="2878" t="str">
        <f>估价对象房地状况!C17</f>
        <v>估价对象位于XX商圈，周边办公楼项目较多，入驻率高，办公集聚程度较好</v>
      </c>
      <c r="C59" s="2767"/>
      <c r="D59" s="1285">
        <f t="shared" ref="D59:D67" si="16">SUMIF($J$58:$N$58,C59,J59:N59)</f>
        <v>0</v>
      </c>
      <c r="E59" s="817">
        <f>ROUND(SUM(D59:D67),4)</f>
        <v>0</v>
      </c>
      <c r="F59" s="2498" t="str">
        <f>IF(E2="办公",SUMIF(L1:L12,G2,N1:N12),"——")</f>
        <v>——</v>
      </c>
      <c r="G59" s="1283"/>
      <c r="H59" s="1287" t="str">
        <f t="shared" ref="H59:H67" si="17">IFERROR(ROUNDDOWN($F$59*I59/2,4),"——")</f>
        <v>——</v>
      </c>
      <c r="I59" s="816">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75" t="s">
        <v>2950</v>
      </c>
      <c r="B60" s="2879" t="str">
        <f>估价对象房地状况!C18</f>
        <v>估价对象周边道路状况、公共交通通达情况、停车便捷程度，综合评价交通便捷度较好</v>
      </c>
      <c r="C60" s="2767"/>
      <c r="D60" s="1285">
        <f t="shared" si="16"/>
        <v>0</v>
      </c>
      <c r="E60" s="818"/>
      <c r="F60" s="2498"/>
      <c r="G60" s="1283"/>
      <c r="H60" s="1287" t="str">
        <f t="shared" si="17"/>
        <v>——</v>
      </c>
      <c r="I60" s="816">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5" t="s">
        <v>2951</v>
      </c>
      <c r="B61" s="2879">
        <f>估价对象房地状况!C19</f>
        <v>0</v>
      </c>
      <c r="C61" s="2767"/>
      <c r="D61" s="1285">
        <f t="shared" si="16"/>
        <v>0</v>
      </c>
      <c r="E61" s="818"/>
      <c r="F61" s="2498"/>
      <c r="G61" s="1283"/>
      <c r="H61" s="1287" t="str">
        <f t="shared" si="17"/>
        <v>——</v>
      </c>
      <c r="I61" s="816">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5" t="s">
        <v>2952</v>
      </c>
      <c r="B62" s="2880" t="s">
        <v>2953</v>
      </c>
      <c r="C62" s="2767"/>
      <c r="D62" s="1285">
        <f t="shared" si="16"/>
        <v>0</v>
      </c>
      <c r="E62" s="818"/>
      <c r="F62" s="2498"/>
      <c r="G62" s="1283"/>
      <c r="H62" s="1287" t="str">
        <f t="shared" si="17"/>
        <v>——</v>
      </c>
      <c r="I62" s="816">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5" t="s">
        <v>2954</v>
      </c>
      <c r="B63" s="2879">
        <f>估价对象房地状况!C24</f>
        <v>0</v>
      </c>
      <c r="C63" s="2767"/>
      <c r="D63" s="1285">
        <f t="shared" si="16"/>
        <v>0</v>
      </c>
      <c r="E63" s="818"/>
      <c r="F63" s="2498"/>
      <c r="G63" s="1283"/>
      <c r="H63" s="1287" t="str">
        <f t="shared" si="17"/>
        <v>——</v>
      </c>
      <c r="I63" s="816">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5" t="s">
        <v>2955</v>
      </c>
      <c r="B64" s="2881" t="s">
        <v>2956</v>
      </c>
      <c r="C64" s="2767"/>
      <c r="D64" s="1285">
        <f t="shared" si="16"/>
        <v>0</v>
      </c>
      <c r="E64" s="818"/>
      <c r="F64" s="2498"/>
      <c r="G64" s="1283"/>
      <c r="H64" s="1287" t="str">
        <f t="shared" si="17"/>
        <v>——</v>
      </c>
      <c r="I64" s="816">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75" t="s">
        <v>2957</v>
      </c>
      <c r="B65" s="1723" t="str">
        <f>估价对象房地状况!C21</f>
        <v>估价对象所在区域公共配套设施齐备情况</v>
      </c>
      <c r="C65" s="2767"/>
      <c r="D65" s="1285">
        <f t="shared" si="16"/>
        <v>0</v>
      </c>
      <c r="E65" s="818"/>
      <c r="F65" s="2498"/>
      <c r="G65" s="1283"/>
      <c r="H65" s="1287" t="str">
        <f t="shared" si="17"/>
        <v>——</v>
      </c>
      <c r="I65" s="816">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75" t="s">
        <v>2958</v>
      </c>
      <c r="B66" s="1723" t="str">
        <f>估价对象房地状况!C22</f>
        <v>估价对象所在区域基础设施水平</v>
      </c>
      <c r="C66" s="2767"/>
      <c r="D66" s="1285">
        <f t="shared" si="16"/>
        <v>0</v>
      </c>
      <c r="E66" s="818"/>
      <c r="F66" s="2498"/>
      <c r="G66" s="1283"/>
      <c r="H66" s="1287" t="str">
        <f t="shared" si="17"/>
        <v>——</v>
      </c>
      <c r="I66" s="816">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83" t="s">
        <v>2959</v>
      </c>
      <c r="B67" s="2885" t="str">
        <f>估价对象房地状况!C20</f>
        <v>区域自然环境：；人文环境；综合评价环境状况一般</v>
      </c>
      <c r="C67" s="2767"/>
      <c r="D67" s="1285">
        <f t="shared" si="16"/>
        <v>0</v>
      </c>
      <c r="E67" s="821"/>
      <c r="F67" s="2498"/>
      <c r="G67" s="1283"/>
      <c r="H67" s="1287" t="str">
        <f t="shared" si="17"/>
        <v>——</v>
      </c>
      <c r="I67" s="820">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71" t="s">
        <v>2963</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2941</v>
      </c>
      <c r="B69" s="1807"/>
      <c r="C69" s="1807" t="s">
        <v>2943</v>
      </c>
      <c r="D69" s="1807" t="s">
        <v>2944</v>
      </c>
      <c r="E69" s="815" t="s">
        <v>2945</v>
      </c>
      <c r="F69" s="2876" t="s">
        <v>2961</v>
      </c>
      <c r="G69" s="1807" t="s">
        <v>754</v>
      </c>
      <c r="H69" s="2877" t="s">
        <v>2947</v>
      </c>
      <c r="I69" s="1807" t="s">
        <v>2948</v>
      </c>
      <c r="J69" s="603" t="s">
        <v>2599</v>
      </c>
      <c r="K69" s="603" t="s">
        <v>2600</v>
      </c>
      <c r="L69" s="603" t="s">
        <v>2601</v>
      </c>
      <c r="M69" s="603" t="s">
        <v>2602</v>
      </c>
      <c r="N69" s="603" t="s">
        <v>2603</v>
      </c>
      <c r="AA69" s="1370"/>
      <c r="AB69" s="1370"/>
      <c r="AC69" s="1370"/>
      <c r="AD69" s="1370"/>
      <c r="AE69" s="1370"/>
      <c r="AF69" s="1370"/>
      <c r="AG69" s="1370"/>
      <c r="AH69" s="1370"/>
      <c r="AI69" s="1370"/>
      <c r="AJ69" s="1370"/>
      <c r="AK69" s="1370"/>
    </row>
    <row r="70" spans="1:37" s="1369" customFormat="1" ht="51">
      <c r="A70" s="2875" t="s">
        <v>2964</v>
      </c>
      <c r="B70" s="2878" t="str">
        <f>估价对象房地状况!C15</f>
        <v>估价对象周边居住用地比例、居住小区规模和社区发展完善程度，综合评价居住社区成熟度一般</v>
      </c>
      <c r="C70" s="2767"/>
      <c r="D70" s="1285">
        <f t="shared" ref="D70:D78" si="21">SUMIF($J$69:$N$69,C70,J70:N70)</f>
        <v>0</v>
      </c>
      <c r="E70" s="817">
        <f>ROUND(SUM(D70:D78),4)</f>
        <v>0</v>
      </c>
      <c r="F70" s="2498" t="str">
        <f>IF(E2="住宅",SUMIF(L1:L12,G2,N1:N12),"——")</f>
        <v>——</v>
      </c>
      <c r="G70" s="1283"/>
      <c r="H70" s="1287" t="str">
        <f t="shared" ref="H70:H78" si="22">IFERROR(ROUNDDOWN($F$70*I70/2,4),"——")</f>
        <v>——</v>
      </c>
      <c r="I70" s="816">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5" t="s">
        <v>2950</v>
      </c>
      <c r="B71" s="2879" t="str">
        <f>估价对象房地状况!C18</f>
        <v>估价对象周边道路状况、公共交通通达情况、停车便捷程度，综合评价交通便捷度较好</v>
      </c>
      <c r="C71" s="2767"/>
      <c r="D71" s="1285">
        <f t="shared" si="21"/>
        <v>0</v>
      </c>
      <c r="E71" s="822"/>
      <c r="F71" s="2498"/>
      <c r="G71" s="1283"/>
      <c r="H71" s="1287" t="str">
        <f t="shared" si="22"/>
        <v>——</v>
      </c>
      <c r="I71" s="816">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2951</v>
      </c>
      <c r="B72" s="2879">
        <f>估价对象房地状况!C19</f>
        <v>0</v>
      </c>
      <c r="C72" s="2767"/>
      <c r="D72" s="1285">
        <f t="shared" si="21"/>
        <v>0</v>
      </c>
      <c r="E72" s="822"/>
      <c r="F72" s="2498"/>
      <c r="G72" s="1283"/>
      <c r="H72" s="1287" t="str">
        <f t="shared" si="22"/>
        <v>——</v>
      </c>
      <c r="I72" s="816">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2965</v>
      </c>
      <c r="B73" s="2879">
        <f>估价对象房地状况!C24</f>
        <v>0</v>
      </c>
      <c r="C73" s="2767"/>
      <c r="D73" s="1285">
        <f t="shared" si="21"/>
        <v>0</v>
      </c>
      <c r="E73" s="822"/>
      <c r="F73" s="2498"/>
      <c r="G73" s="1283"/>
      <c r="H73" s="1287" t="str">
        <f t="shared" si="22"/>
        <v>——</v>
      </c>
      <c r="I73" s="816">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5" t="s">
        <v>2957</v>
      </c>
      <c r="B74" s="1723" t="str">
        <f>估价对象房地状况!C21</f>
        <v>估价对象所在区域公共配套设施齐备情况</v>
      </c>
      <c r="C74" s="2767"/>
      <c r="D74" s="1285">
        <f t="shared" si="21"/>
        <v>0</v>
      </c>
      <c r="E74" s="822"/>
      <c r="F74" s="2498"/>
      <c r="G74" s="1283"/>
      <c r="H74" s="1287" t="str">
        <f t="shared" si="22"/>
        <v>——</v>
      </c>
      <c r="I74" s="816">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2958</v>
      </c>
      <c r="B75" s="1723" t="str">
        <f>估价对象房地状况!C22</f>
        <v>估价对象所在区域基础设施水平</v>
      </c>
      <c r="C75" s="2767"/>
      <c r="D75" s="1285">
        <f t="shared" si="21"/>
        <v>0</v>
      </c>
      <c r="E75" s="822"/>
      <c r="F75" s="2498"/>
      <c r="G75" s="1283"/>
      <c r="H75" s="1287" t="str">
        <f t="shared" si="22"/>
        <v>——</v>
      </c>
      <c r="I75" s="816">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2955</v>
      </c>
      <c r="B76" s="2881" t="s">
        <v>2956</v>
      </c>
      <c r="C76" s="2767"/>
      <c r="D76" s="1285">
        <f t="shared" si="21"/>
        <v>0</v>
      </c>
      <c r="E76" s="822"/>
      <c r="F76" s="2498"/>
      <c r="G76" s="1283"/>
      <c r="H76" s="1287" t="str">
        <f t="shared" si="22"/>
        <v>——</v>
      </c>
      <c r="I76" s="816">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38.25">
      <c r="A77" s="2875" t="s">
        <v>2959</v>
      </c>
      <c r="B77" s="2878" t="str">
        <f>估价对象房地状况!C20</f>
        <v>区域自然环境：；人文环境；综合评价环境状况一般</v>
      </c>
      <c r="C77" s="2767"/>
      <c r="D77" s="1285">
        <f t="shared" si="21"/>
        <v>0</v>
      </c>
      <c r="E77" s="822"/>
      <c r="F77" s="2498"/>
      <c r="G77" s="1283"/>
      <c r="H77" s="1287" t="str">
        <f t="shared" si="22"/>
        <v>——</v>
      </c>
      <c r="I77" s="816">
        <v>0.15</v>
      </c>
      <c r="J77" s="1284">
        <f t="shared" si="23"/>
        <v>0</v>
      </c>
      <c r="K77" s="1284">
        <f t="shared" si="24"/>
        <v>0</v>
      </c>
      <c r="L77" s="1284">
        <v>0</v>
      </c>
      <c r="M77" s="1284">
        <f t="shared" si="25"/>
        <v>0</v>
      </c>
      <c r="N77" s="1284">
        <f t="shared" si="25"/>
        <v>0</v>
      </c>
      <c r="Z77" s="2717"/>
      <c r="AA77" s="2793"/>
      <c r="AG77" s="1371"/>
      <c r="AK77" s="2793"/>
    </row>
    <row r="78" spans="1:37" ht="24.75" thickBot="1">
      <c r="A78" s="2883" t="s">
        <v>2966</v>
      </c>
      <c r="B78" s="2887"/>
      <c r="C78" s="2767"/>
      <c r="D78" s="1285">
        <f t="shared" si="21"/>
        <v>0</v>
      </c>
      <c r="E78" s="823"/>
      <c r="F78" s="2498"/>
      <c r="G78" s="1283"/>
      <c r="H78" s="1287" t="str">
        <f t="shared" si="22"/>
        <v>——</v>
      </c>
      <c r="I78" s="820">
        <v>0.04</v>
      </c>
      <c r="J78" s="1284">
        <f t="shared" si="23"/>
        <v>0</v>
      </c>
      <c r="K78" s="1284">
        <f t="shared" si="24"/>
        <v>0</v>
      </c>
      <c r="L78" s="1284">
        <v>0</v>
      </c>
      <c r="M78" s="1284">
        <f t="shared" si="25"/>
        <v>0</v>
      </c>
      <c r="N78" s="1284">
        <f t="shared" si="25"/>
        <v>0</v>
      </c>
      <c r="Z78" s="2717"/>
      <c r="AA78" s="2793"/>
      <c r="AG78" s="1371"/>
      <c r="AK78" s="2793"/>
    </row>
    <row r="79" spans="1:37" ht="15">
      <c r="A79" s="2871" t="s">
        <v>2967</v>
      </c>
      <c r="B79" s="2872">
        <f>1+E81</f>
        <v>1</v>
      </c>
      <c r="C79" s="810"/>
      <c r="D79" s="810"/>
      <c r="E79" s="811"/>
      <c r="F79" s="2874"/>
      <c r="G79" s="6"/>
      <c r="H79" s="6"/>
      <c r="I79" s="6"/>
      <c r="J79" s="7"/>
      <c r="K79" s="7"/>
      <c r="L79" s="7"/>
      <c r="M79" s="7"/>
      <c r="N79" s="7"/>
      <c r="Z79" s="2717"/>
      <c r="AA79" s="2793"/>
      <c r="AG79" s="1371"/>
      <c r="AK79" s="2793"/>
    </row>
    <row r="80" spans="1:37" ht="24.75">
      <c r="A80" s="2875" t="s">
        <v>2941</v>
      </c>
      <c r="B80" s="1807"/>
      <c r="C80" s="1807" t="s">
        <v>2943</v>
      </c>
      <c r="D80" s="1807" t="s">
        <v>2944</v>
      </c>
      <c r="E80" s="815" t="s">
        <v>2945</v>
      </c>
      <c r="F80" s="2876" t="s">
        <v>2961</v>
      </c>
      <c r="G80" s="1807" t="s">
        <v>754</v>
      </c>
      <c r="H80" s="2877" t="s">
        <v>2947</v>
      </c>
      <c r="I80" s="1807" t="s">
        <v>2948</v>
      </c>
      <c r="J80" s="603" t="s">
        <v>2599</v>
      </c>
      <c r="K80" s="603" t="s">
        <v>2600</v>
      </c>
      <c r="L80" s="603" t="s">
        <v>2601</v>
      </c>
      <c r="M80" s="603" t="s">
        <v>2602</v>
      </c>
      <c r="N80" s="603" t="s">
        <v>2603</v>
      </c>
      <c r="Z80" s="2717"/>
      <c r="AA80" s="2793"/>
      <c r="AG80" s="1371"/>
      <c r="AK80" s="2793"/>
    </row>
    <row r="81" spans="1:37" ht="38.25">
      <c r="A81" s="2875" t="s">
        <v>2968</v>
      </c>
      <c r="B81" s="2879" t="str">
        <f>估价对象房地状况!G15</f>
        <v>估价对象位于XX开发区，园区建设成熟度XX，产业集聚程度XX</v>
      </c>
      <c r="C81" s="2767"/>
      <c r="D81" s="1285">
        <f t="shared" ref="D81:D88" si="26">SUMIF($J$80:$N$80,C81,J81:N81)</f>
        <v>0</v>
      </c>
      <c r="E81" s="817">
        <f>ROUND(SUM(D81:D88),4)</f>
        <v>0</v>
      </c>
      <c r="F81" s="2498" t="str">
        <f>IF(E2="工业",SUMIF(L1:L12,G2,N1:N12),"——")</f>
        <v>——</v>
      </c>
      <c r="G81" s="1283"/>
      <c r="H81" s="1287" t="str">
        <f t="shared" ref="H81:H88" si="27">IFERROR(ROUNDDOWN($F$81*I81/2,4),"——")</f>
        <v>——</v>
      </c>
      <c r="I81" s="816">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2950</v>
      </c>
      <c r="B82" s="2879" t="str">
        <f>估价对象房地状况!G16</f>
        <v>估价对象周边道路状况、公共交通通达情况、停车便捷程度，综合评价交通便捷度较好</v>
      </c>
      <c r="C82" s="2767"/>
      <c r="D82" s="1285">
        <f t="shared" si="26"/>
        <v>0</v>
      </c>
      <c r="E82" s="822"/>
      <c r="F82" s="2498"/>
      <c r="G82" s="1283"/>
      <c r="H82" s="1287" t="str">
        <f t="shared" si="27"/>
        <v>——</v>
      </c>
      <c r="I82" s="816">
        <v>0.33</v>
      </c>
      <c r="J82" s="1284">
        <f t="shared" si="28"/>
        <v>0</v>
      </c>
      <c r="K82" s="1284">
        <f t="shared" si="29"/>
        <v>0</v>
      </c>
      <c r="L82" s="1284">
        <v>0</v>
      </c>
      <c r="M82" s="1284">
        <f t="shared" si="30"/>
        <v>0</v>
      </c>
      <c r="N82" s="1284">
        <f t="shared" si="30"/>
        <v>0</v>
      </c>
      <c r="Z82" s="2717"/>
      <c r="AA82" s="2793"/>
      <c r="AG82" s="1371"/>
      <c r="AK82" s="2793"/>
    </row>
    <row r="83" spans="1:37" ht="24">
      <c r="A83" s="2875" t="s">
        <v>2951</v>
      </c>
      <c r="B83" s="2879">
        <f>估价对象房地状况!G17</f>
        <v>0</v>
      </c>
      <c r="C83" s="2767"/>
      <c r="D83" s="1285">
        <f t="shared" si="26"/>
        <v>0</v>
      </c>
      <c r="E83" s="822"/>
      <c r="F83" s="2498"/>
      <c r="G83" s="1283"/>
      <c r="H83" s="1287" t="str">
        <f t="shared" si="27"/>
        <v>——</v>
      </c>
      <c r="I83" s="816">
        <v>0.05</v>
      </c>
      <c r="J83" s="1284">
        <f t="shared" si="28"/>
        <v>0</v>
      </c>
      <c r="K83" s="1284">
        <f t="shared" si="29"/>
        <v>0</v>
      </c>
      <c r="L83" s="1284">
        <v>0</v>
      </c>
      <c r="M83" s="1284">
        <f t="shared" si="30"/>
        <v>0</v>
      </c>
      <c r="N83" s="1284">
        <f t="shared" si="30"/>
        <v>0</v>
      </c>
      <c r="Z83" s="2717"/>
      <c r="AA83" s="2793"/>
      <c r="AG83" s="1371"/>
      <c r="AK83" s="2793"/>
    </row>
    <row r="84" spans="1:37" ht="14.25">
      <c r="A84" s="2875" t="s">
        <v>2965</v>
      </c>
      <c r="B84" s="2879">
        <f>估价对象房地状况!G22</f>
        <v>0</v>
      </c>
      <c r="C84" s="2767"/>
      <c r="D84" s="1285">
        <f t="shared" si="26"/>
        <v>0</v>
      </c>
      <c r="E84" s="822"/>
      <c r="F84" s="2498"/>
      <c r="G84" s="1283"/>
      <c r="H84" s="1287" t="str">
        <f t="shared" si="27"/>
        <v>——</v>
      </c>
      <c r="I84" s="816">
        <v>0.04</v>
      </c>
      <c r="J84" s="1284">
        <f t="shared" si="28"/>
        <v>0</v>
      </c>
      <c r="K84" s="1284">
        <f t="shared" si="29"/>
        <v>0</v>
      </c>
      <c r="L84" s="1284">
        <v>0</v>
      </c>
      <c r="M84" s="1284">
        <f t="shared" si="30"/>
        <v>0</v>
      </c>
      <c r="N84" s="1284">
        <f t="shared" si="30"/>
        <v>0</v>
      </c>
      <c r="Z84" s="2717"/>
      <c r="AA84" s="2793"/>
      <c r="AG84" s="1371"/>
      <c r="AK84" s="2793"/>
    </row>
    <row r="85" spans="1:37" ht="25.5">
      <c r="A85" s="2875" t="s">
        <v>2957</v>
      </c>
      <c r="B85" s="1723" t="str">
        <f>估价对象房地状况!G19</f>
        <v>估价对象所在区域公共配套设施齐备情况</v>
      </c>
      <c r="C85" s="2767"/>
      <c r="D85" s="1285">
        <f t="shared" si="26"/>
        <v>0</v>
      </c>
      <c r="E85" s="822"/>
      <c r="F85" s="2498"/>
      <c r="G85" s="1283"/>
      <c r="H85" s="1287" t="str">
        <f t="shared" si="27"/>
        <v>——</v>
      </c>
      <c r="I85" s="816">
        <v>0.06</v>
      </c>
      <c r="J85" s="1284">
        <f t="shared" si="28"/>
        <v>0</v>
      </c>
      <c r="K85" s="1284">
        <f t="shared" si="29"/>
        <v>0</v>
      </c>
      <c r="L85" s="1284">
        <v>0</v>
      </c>
      <c r="M85" s="1284">
        <f t="shared" si="30"/>
        <v>0</v>
      </c>
      <c r="N85" s="1284">
        <f t="shared" si="30"/>
        <v>0</v>
      </c>
      <c r="Z85" s="2717"/>
      <c r="AA85" s="2793"/>
      <c r="AG85" s="1371"/>
      <c r="AK85" s="2793"/>
    </row>
    <row r="86" spans="1:37" ht="25.5">
      <c r="A86" s="2875" t="s">
        <v>2958</v>
      </c>
      <c r="B86" s="1723" t="str">
        <f>估价对象房地状况!G20</f>
        <v>估价对象所在区域基础设施水平</v>
      </c>
      <c r="C86" s="2767"/>
      <c r="D86" s="1285">
        <f t="shared" si="26"/>
        <v>0</v>
      </c>
      <c r="E86" s="822"/>
      <c r="F86" s="2498"/>
      <c r="G86" s="1283"/>
      <c r="H86" s="1287" t="str">
        <f t="shared" si="27"/>
        <v>——</v>
      </c>
      <c r="I86" s="816">
        <v>0.15</v>
      </c>
      <c r="J86" s="1284">
        <f t="shared" si="28"/>
        <v>0</v>
      </c>
      <c r="K86" s="1284">
        <f t="shared" si="29"/>
        <v>0</v>
      </c>
      <c r="L86" s="1284">
        <v>0</v>
      </c>
      <c r="M86" s="1284">
        <f t="shared" si="30"/>
        <v>0</v>
      </c>
      <c r="N86" s="1284">
        <f t="shared" si="30"/>
        <v>0</v>
      </c>
      <c r="Z86" s="2717"/>
      <c r="AA86" s="2793"/>
      <c r="AG86" s="1371"/>
      <c r="AK86" s="2793"/>
    </row>
    <row r="87" spans="1:37" ht="24">
      <c r="A87" s="2875" t="s">
        <v>2955</v>
      </c>
      <c r="B87" s="2881" t="s">
        <v>2969</v>
      </c>
      <c r="C87" s="2767"/>
      <c r="D87" s="1285">
        <f t="shared" si="26"/>
        <v>0</v>
      </c>
      <c r="E87" s="822"/>
      <c r="F87" s="2498"/>
      <c r="G87" s="1283"/>
      <c r="H87" s="1287" t="str">
        <f t="shared" si="27"/>
        <v>——</v>
      </c>
      <c r="I87" s="816">
        <v>0.05</v>
      </c>
      <c r="J87" s="1284">
        <f t="shared" si="28"/>
        <v>0</v>
      </c>
      <c r="K87" s="1284">
        <f t="shared" si="29"/>
        <v>0</v>
      </c>
      <c r="L87" s="1284">
        <v>0</v>
      </c>
      <c r="M87" s="1284">
        <f t="shared" si="30"/>
        <v>0</v>
      </c>
      <c r="N87" s="1284">
        <f t="shared" si="30"/>
        <v>0</v>
      </c>
      <c r="Z87" s="2717"/>
      <c r="AA87" s="2793"/>
      <c r="AG87" s="1371"/>
      <c r="AK87" s="2793"/>
    </row>
    <row r="88" spans="1:37" ht="39" thickBot="1">
      <c r="A88" s="2883" t="s">
        <v>2970</v>
      </c>
      <c r="B88" s="2888" t="str">
        <f>估价对象房地状况!G18</f>
        <v>该园区内是否有污染型企业，绿化情况，卫生条件，整体环境状况判断</v>
      </c>
      <c r="C88" s="2767"/>
      <c r="D88" s="1285">
        <f t="shared" si="26"/>
        <v>0</v>
      </c>
      <c r="E88" s="823"/>
      <c r="F88" s="2498"/>
      <c r="G88" s="1283"/>
      <c r="H88" s="1287" t="str">
        <f t="shared" si="27"/>
        <v>——</v>
      </c>
      <c r="I88" s="820">
        <v>0.06</v>
      </c>
      <c r="J88" s="1284">
        <f t="shared" si="28"/>
        <v>0</v>
      </c>
      <c r="K88" s="1284">
        <f t="shared" si="29"/>
        <v>0</v>
      </c>
      <c r="L88" s="1284">
        <v>0</v>
      </c>
      <c r="M88" s="1284">
        <f t="shared" si="30"/>
        <v>0</v>
      </c>
      <c r="N88" s="1284">
        <f t="shared" si="30"/>
        <v>0</v>
      </c>
      <c r="Z88" s="2717"/>
      <c r="AA88" s="2793"/>
      <c r="AG88" s="1371"/>
      <c r="AK88" s="2793"/>
    </row>
    <row r="90" spans="1:37">
      <c r="A90" s="3263" t="s">
        <v>2971</v>
      </c>
      <c r="B90" s="3263"/>
      <c r="C90" s="3263"/>
      <c r="D90" s="3263"/>
      <c r="E90" s="3263"/>
      <c r="F90" s="3263"/>
      <c r="G90" s="3263"/>
      <c r="H90" s="3263"/>
      <c r="I90" s="3263"/>
      <c r="J90" s="3263"/>
      <c r="K90" s="2889"/>
      <c r="L90" s="2889"/>
      <c r="M90" s="2889"/>
      <c r="N90" s="2889"/>
    </row>
    <row r="91" spans="1:37">
      <c r="A91" s="3265" t="s">
        <v>2972</v>
      </c>
      <c r="B91" s="3265" t="s">
        <v>2973</v>
      </c>
      <c r="C91" s="2843" t="s">
        <v>2974</v>
      </c>
      <c r="D91" s="2844"/>
      <c r="E91" s="2844"/>
      <c r="F91" s="2844"/>
      <c r="G91" s="2844"/>
      <c r="H91" s="2844"/>
      <c r="I91" s="2844"/>
      <c r="J91" s="2890"/>
      <c r="K91" s="2891"/>
      <c r="L91" s="2891"/>
      <c r="M91" s="2891"/>
      <c r="N91" s="2891"/>
    </row>
    <row r="92" spans="1:37">
      <c r="A92" s="3265"/>
      <c r="B92" s="3265"/>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6"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7"/>
      <c r="B99" s="2892" t="s">
        <v>2856</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268"/>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66" t="s">
        <v>2976</v>
      </c>
      <c r="B101" s="2896" t="s">
        <v>2977</v>
      </c>
      <c r="C101" s="2897">
        <f>$G$3</f>
        <v>3.5</v>
      </c>
      <c r="D101" s="2897">
        <f t="shared" ref="D101:N101" si="32">$G$3</f>
        <v>3.5</v>
      </c>
      <c r="E101" s="2897">
        <f t="shared" si="32"/>
        <v>3.5</v>
      </c>
      <c r="F101" s="2897">
        <f t="shared" si="32"/>
        <v>3.5</v>
      </c>
      <c r="G101" s="2897">
        <f t="shared" si="32"/>
        <v>3.5</v>
      </c>
      <c r="H101" s="2897">
        <f t="shared" si="32"/>
        <v>3.5</v>
      </c>
      <c r="I101" s="2897">
        <f t="shared" si="32"/>
        <v>3.5</v>
      </c>
      <c r="J101" s="2897">
        <f t="shared" si="32"/>
        <v>3.5</v>
      </c>
      <c r="K101" s="2897">
        <f t="shared" si="32"/>
        <v>3.5</v>
      </c>
      <c r="L101" s="2897">
        <f t="shared" si="32"/>
        <v>3.5</v>
      </c>
      <c r="M101" s="2897">
        <f t="shared" si="32"/>
        <v>3.5</v>
      </c>
      <c r="N101" s="2897">
        <f t="shared" si="32"/>
        <v>3.5</v>
      </c>
    </row>
    <row r="102" spans="1:14">
      <c r="A102" s="3267"/>
      <c r="B102" s="2892">
        <v>1</v>
      </c>
      <c r="C102" s="2893">
        <f>1.9362/C101</f>
        <v>0.55320000000000003</v>
      </c>
      <c r="D102" s="2893">
        <f>1.9362/D101</f>
        <v>0.55320000000000003</v>
      </c>
      <c r="E102" s="2893">
        <f>1.8629/E101</f>
        <v>0.53225714285714287</v>
      </c>
      <c r="F102" s="2893">
        <f>1.8629/F101</f>
        <v>0.53225714285714287</v>
      </c>
      <c r="G102" s="2893">
        <f>1.8629/G101</f>
        <v>0.53225714285714287</v>
      </c>
      <c r="H102" s="2893">
        <f>1.8629/H101</f>
        <v>0.53225714285714287</v>
      </c>
      <c r="I102" s="2893">
        <f>1.8629/I101</f>
        <v>0.53225714285714287</v>
      </c>
      <c r="J102" s="2893">
        <f>1.942/J101</f>
        <v>0.55485714285714283</v>
      </c>
      <c r="K102" s="2893">
        <f>1.942/K101</f>
        <v>0.55485714285714283</v>
      </c>
      <c r="L102" s="2893">
        <f>1.942/L101</f>
        <v>0.55485714285714283</v>
      </c>
      <c r="M102" s="2893">
        <f>1.942/M101</f>
        <v>0.55485714285714283</v>
      </c>
      <c r="N102" s="2893">
        <f>1.942/N101</f>
        <v>0.55485714285714283</v>
      </c>
    </row>
    <row r="103" spans="1:14">
      <c r="A103" s="3267"/>
      <c r="B103" s="2892">
        <v>2</v>
      </c>
      <c r="C103" s="2893">
        <f>1.4198/C101</f>
        <v>0.40565714285714283</v>
      </c>
      <c r="D103" s="2893">
        <f>1.4198/D101</f>
        <v>0.40565714285714283</v>
      </c>
      <c r="E103" s="2893">
        <f>1.3372/E101</f>
        <v>0.38205714285714282</v>
      </c>
      <c r="F103" s="2893">
        <f>1.3372/F101</f>
        <v>0.38205714285714282</v>
      </c>
      <c r="G103" s="2893">
        <f>1.3372/G101</f>
        <v>0.38205714285714282</v>
      </c>
      <c r="H103" s="2893">
        <f>1.3372/H101</f>
        <v>0.38205714285714282</v>
      </c>
      <c r="I103" s="2893">
        <f>1.3372/I101</f>
        <v>0.38205714285714282</v>
      </c>
      <c r="J103" s="2893">
        <f>1.2799/J101</f>
        <v>0.36568571428571428</v>
      </c>
      <c r="K103" s="2893">
        <f>1.2799/K101</f>
        <v>0.36568571428571428</v>
      </c>
      <c r="L103" s="2893">
        <f>1.2799/L101</f>
        <v>0.36568571428571428</v>
      </c>
      <c r="M103" s="2893">
        <f>1.2799/M101</f>
        <v>0.36568571428571428</v>
      </c>
      <c r="N103" s="2893">
        <f>1.2799/N101</f>
        <v>0.36568571428571428</v>
      </c>
    </row>
    <row r="104" spans="1:14">
      <c r="A104" s="3267"/>
      <c r="B104" s="2892">
        <v>3</v>
      </c>
      <c r="C104" s="2893">
        <f>1.1594/C101</f>
        <v>0.33125714285714286</v>
      </c>
      <c r="D104" s="2893">
        <f>1.1594/D101</f>
        <v>0.33125714285714286</v>
      </c>
      <c r="E104" s="2893">
        <f>1.0788/E101</f>
        <v>0.30822857142857141</v>
      </c>
      <c r="F104" s="2893">
        <f>1.0788/F101</f>
        <v>0.30822857142857141</v>
      </c>
      <c r="G104" s="2893">
        <f>1.0788/G101</f>
        <v>0.30822857142857141</v>
      </c>
      <c r="H104" s="2893">
        <f>1.0788/H101</f>
        <v>0.30822857142857141</v>
      </c>
      <c r="I104" s="2893">
        <f>1.0788/I101</f>
        <v>0.30822857142857141</v>
      </c>
      <c r="J104" s="2893">
        <f>1.0072/J101</f>
        <v>0.28777142857142862</v>
      </c>
      <c r="K104" s="2893">
        <f>1.0072/K101</f>
        <v>0.28777142857142862</v>
      </c>
      <c r="L104" s="2893">
        <f>1.0072/L101</f>
        <v>0.28777142857142862</v>
      </c>
      <c r="M104" s="2893">
        <f>1.0072/M101</f>
        <v>0.28777142857142862</v>
      </c>
      <c r="N104" s="2893">
        <f>1.0072/N101</f>
        <v>0.28777142857142862</v>
      </c>
    </row>
    <row r="105" spans="1:14">
      <c r="A105" s="3267"/>
      <c r="B105" s="2892">
        <v>4</v>
      </c>
      <c r="C105" s="2893">
        <f>0.9622/C101</f>
        <v>0.27491428571428572</v>
      </c>
      <c r="D105" s="2893">
        <f>0.9622/D101</f>
        <v>0.27491428571428572</v>
      </c>
      <c r="E105" s="2893">
        <f>0.8656/E101</f>
        <v>0.24731428571428574</v>
      </c>
      <c r="F105" s="2893">
        <f>0.8656/F101</f>
        <v>0.24731428571428574</v>
      </c>
      <c r="G105" s="2893">
        <f>0.8656/G101</f>
        <v>0.24731428571428574</v>
      </c>
      <c r="H105" s="2893">
        <f>0.8656/H101</f>
        <v>0.24731428571428574</v>
      </c>
      <c r="I105" s="2893">
        <f>0.8656/I101</f>
        <v>0.24731428571428574</v>
      </c>
      <c r="J105" s="2893">
        <f>0.7525/J101</f>
        <v>0.215</v>
      </c>
      <c r="K105" s="2893">
        <f>0.7525/K101</f>
        <v>0.215</v>
      </c>
      <c r="L105" s="2893">
        <f>0.7525/L101</f>
        <v>0.215</v>
      </c>
      <c r="M105" s="2893">
        <f>0.7525/M101</f>
        <v>0.215</v>
      </c>
      <c r="N105" s="2893">
        <f>0.7525/N101</f>
        <v>0.215</v>
      </c>
    </row>
    <row r="106" spans="1:14">
      <c r="A106" s="3267"/>
      <c r="B106" s="2892">
        <v>5</v>
      </c>
      <c r="C106" s="2893">
        <f>0.8417/C101</f>
        <v>0.24048571428571427</v>
      </c>
      <c r="D106" s="2893">
        <f>0.8417/D101</f>
        <v>0.24048571428571427</v>
      </c>
      <c r="E106" s="2893">
        <f>0.7371/E101</f>
        <v>0.21059999999999998</v>
      </c>
      <c r="F106" s="2893">
        <f>0.7371/F101</f>
        <v>0.21059999999999998</v>
      </c>
      <c r="G106" s="2893">
        <f>0.7371/G101</f>
        <v>0.21059999999999998</v>
      </c>
      <c r="H106" s="2893">
        <f>0.7371/H101</f>
        <v>0.21059999999999998</v>
      </c>
      <c r="I106" s="2893">
        <f>0.7371/I101</f>
        <v>0.21059999999999998</v>
      </c>
      <c r="J106" s="2893">
        <f>0.5659/J101</f>
        <v>0.16168571428571427</v>
      </c>
      <c r="K106" s="2893">
        <f>0.5659/K101</f>
        <v>0.16168571428571427</v>
      </c>
      <c r="L106" s="2893">
        <f>0.5659/L101</f>
        <v>0.16168571428571427</v>
      </c>
      <c r="M106" s="2893">
        <f>0.5659/M101</f>
        <v>0.16168571428571427</v>
      </c>
      <c r="N106" s="2893">
        <f>0.5659/N101</f>
        <v>0.16168571428571427</v>
      </c>
    </row>
    <row r="107" spans="1:14">
      <c r="A107" s="3267"/>
      <c r="B107" s="2892">
        <v>6</v>
      </c>
      <c r="C107" s="2893">
        <f>0.7608/C101</f>
        <v>0.21737142857142858</v>
      </c>
      <c r="D107" s="2893">
        <f>0.7608/D101</f>
        <v>0.21737142857142858</v>
      </c>
      <c r="E107" s="2893">
        <f>0.6482/E101</f>
        <v>0.1852</v>
      </c>
      <c r="F107" s="2893">
        <f>0.6482/F101</f>
        <v>0.1852</v>
      </c>
      <c r="G107" s="2893">
        <f>0.6482/G101</f>
        <v>0.1852</v>
      </c>
      <c r="H107" s="2893">
        <f>0.6482/H101</f>
        <v>0.1852</v>
      </c>
      <c r="I107" s="2893">
        <f>0.6482/I101</f>
        <v>0.1852</v>
      </c>
      <c r="J107" s="2893">
        <f>0.4525/J101</f>
        <v>0.12928571428571428</v>
      </c>
      <c r="K107" s="2893">
        <f>0.4525/K101</f>
        <v>0.12928571428571428</v>
      </c>
      <c r="L107" s="2893">
        <f>0.4525/L101</f>
        <v>0.12928571428571428</v>
      </c>
      <c r="M107" s="2893">
        <f>0.4525/M101</f>
        <v>0.12928571428571428</v>
      </c>
      <c r="N107" s="2893">
        <f>0.4525/N101</f>
        <v>0.12928571428571428</v>
      </c>
    </row>
    <row r="108" spans="1:14">
      <c r="A108" s="3267"/>
      <c r="B108" s="3149" t="s">
        <v>2978</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268"/>
      <c r="B109" s="3150"/>
      <c r="C109" s="2895">
        <f>(-0.163*(C108^2)-0.59*C108+7617)*(10^(-4))/C101</f>
        <v>0.21760705714285716</v>
      </c>
      <c r="D109" s="2895">
        <f>(-0.163*(D108^2)-0.59*D108+7617)*(10^(-4))/D101</f>
        <v>0.21760705714285716</v>
      </c>
      <c r="E109" s="2895">
        <f>(-0.161*(E108^2)-7.509*E108+6533)*(10^(-4))/E101</f>
        <v>0.18643800000000002</v>
      </c>
      <c r="F109" s="2895">
        <f>(-0.161*(F108^2)-7.509*F108+6533)*(10^(-4))/F101</f>
        <v>0.18643800000000002</v>
      </c>
      <c r="G109" s="2895">
        <f>(-0.161*(G108^2)-7.509*G108+6533)*(10^(-4))/G101</f>
        <v>0.18643800000000002</v>
      </c>
      <c r="H109" s="2895">
        <f>(-0.161*(H108^2)-7.509*H108+6533)*(10^(-4))/H101</f>
        <v>0.18643800000000002</v>
      </c>
      <c r="I109" s="2895">
        <f>(-0.161*(I108^2)-7.509*I108+6533)*(10^(-4))/I101</f>
        <v>0.18643800000000002</v>
      </c>
      <c r="J109" s="2895">
        <f>(-0.214*(J108^2)-21.991*J108+4665)*(10^(-4))/J101</f>
        <v>0.13265128571428572</v>
      </c>
      <c r="K109" s="2895">
        <f>(-0.214*(K108^2)-21.991*K108+4665)*(10^(-4))/K101</f>
        <v>0.13265128571428572</v>
      </c>
      <c r="L109" s="2895">
        <f>(-0.214*(L108^2)-21.991*L108+4665)*(10^(-4))/L101</f>
        <v>0.13265128571428572</v>
      </c>
      <c r="M109" s="2895">
        <f>(-0.214*(M108^2)-21.991*M108+4665)*(10^(-4))/M101</f>
        <v>0.13265128571428572</v>
      </c>
      <c r="N109" s="2895">
        <f>(-0.214*(N108^2)-21.991*N108+4665)*(10^(-4))/N101</f>
        <v>0.13265128571428572</v>
      </c>
    </row>
    <row r="110" spans="1:14">
      <c r="A110" s="3264" t="s">
        <v>2979</v>
      </c>
      <c r="B110" s="3264"/>
      <c r="C110" s="3264"/>
      <c r="D110" s="3264"/>
      <c r="E110" s="3264"/>
      <c r="F110" s="3264"/>
      <c r="G110" s="3264"/>
      <c r="H110" s="3264"/>
      <c r="I110" s="3264"/>
      <c r="J110" s="3264"/>
      <c r="K110" s="2898"/>
      <c r="L110" s="2898"/>
      <c r="M110" s="2898"/>
      <c r="N110" s="2898"/>
    </row>
    <row r="112" spans="1:14" ht="13.5" thickBot="1"/>
    <row r="113" spans="1:13" ht="25.5" thickBot="1">
      <c r="A113" s="899" t="s">
        <v>2980</v>
      </c>
      <c r="B113" s="1286">
        <f>G3</f>
        <v>3.5</v>
      </c>
      <c r="C113" s="900" t="s">
        <v>2981</v>
      </c>
      <c r="D113" s="901">
        <f>SUMPRODUCT((A115:A118=F113)*(B114:M114=H113)*B115:M118)</f>
        <v>0.79500000000000004</v>
      </c>
      <c r="E113" s="2721" t="s">
        <v>2814</v>
      </c>
      <c r="F113" s="2900" t="str">
        <f>E2</f>
        <v>商业</v>
      </c>
      <c r="G113" s="2721" t="s">
        <v>2815</v>
      </c>
      <c r="H113" s="2900" t="str">
        <f>G2</f>
        <v>七级</v>
      </c>
      <c r="I113" s="2721"/>
      <c r="J113" s="2901"/>
      <c r="K113" s="2901"/>
      <c r="L113" s="2901"/>
      <c r="M113" s="2901"/>
    </row>
    <row r="114" spans="1:13">
      <c r="A114" s="904"/>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5" t="s">
        <v>2878</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4">I115</f>
        <v>0.63480000000000003</v>
      </c>
      <c r="K115" s="906">
        <f t="shared" si="34"/>
        <v>0.63480000000000003</v>
      </c>
      <c r="L115" s="906">
        <f t="shared" si="34"/>
        <v>0.63480000000000003</v>
      </c>
      <c r="M115" s="907">
        <f t="shared" si="34"/>
        <v>0.63480000000000003</v>
      </c>
    </row>
    <row r="116" spans="1:13">
      <c r="A116" s="905" t="s">
        <v>2879</v>
      </c>
      <c r="B116" s="906">
        <f>ROUND(0.949-0.012*B113,4)</f>
        <v>0.90700000000000003</v>
      </c>
      <c r="C116" s="906">
        <f>B116</f>
        <v>0.90700000000000003</v>
      </c>
      <c r="D116" s="906">
        <f>ROUND(0.8567-0.013*B113,4)</f>
        <v>0.81120000000000003</v>
      </c>
      <c r="E116" s="906">
        <f t="shared" ref="E116:H117" si="35">D116</f>
        <v>0.81120000000000003</v>
      </c>
      <c r="F116" s="906">
        <f t="shared" si="35"/>
        <v>0.81120000000000003</v>
      </c>
      <c r="G116" s="906">
        <f t="shared" si="35"/>
        <v>0.81120000000000003</v>
      </c>
      <c r="H116" s="906">
        <f t="shared" si="35"/>
        <v>0.81120000000000003</v>
      </c>
      <c r="I116" s="906">
        <f>ROUND(0.7694-0.014*B113,4)</f>
        <v>0.72040000000000004</v>
      </c>
      <c r="J116" s="906">
        <f t="shared" si="34"/>
        <v>0.72040000000000004</v>
      </c>
      <c r="K116" s="906">
        <f t="shared" si="34"/>
        <v>0.72040000000000004</v>
      </c>
      <c r="L116" s="906">
        <f t="shared" si="34"/>
        <v>0.72040000000000004</v>
      </c>
      <c r="M116" s="907">
        <f t="shared" si="34"/>
        <v>0.72040000000000004</v>
      </c>
    </row>
    <row r="117" spans="1:13">
      <c r="A117" s="905" t="s">
        <v>2880</v>
      </c>
      <c r="B117" s="906">
        <f>ROUND(0.8808-0.006*B113,4)</f>
        <v>0.85980000000000001</v>
      </c>
      <c r="C117" s="906">
        <f>B117</f>
        <v>0.85980000000000001</v>
      </c>
      <c r="D117" s="906">
        <f>ROUND(0.8748-0.008*B113,4)</f>
        <v>0.8468</v>
      </c>
      <c r="E117" s="906">
        <f t="shared" si="35"/>
        <v>0.8468</v>
      </c>
      <c r="F117" s="906">
        <f t="shared" si="35"/>
        <v>0.8468</v>
      </c>
      <c r="G117" s="906">
        <f t="shared" si="35"/>
        <v>0.8468</v>
      </c>
      <c r="H117" s="906">
        <f t="shared" si="35"/>
        <v>0.8468</v>
      </c>
      <c r="I117" s="906">
        <f>ROUND(0.7412-0.0095*B113,4)</f>
        <v>0.70799999999999996</v>
      </c>
      <c r="J117" s="906">
        <f t="shared" si="34"/>
        <v>0.70799999999999996</v>
      </c>
      <c r="K117" s="906">
        <f t="shared" si="34"/>
        <v>0.70799999999999996</v>
      </c>
      <c r="L117" s="906">
        <f t="shared" si="34"/>
        <v>0.70799999999999996</v>
      </c>
      <c r="M117" s="907">
        <f t="shared" si="34"/>
        <v>0.70799999999999996</v>
      </c>
    </row>
    <row r="118" spans="1:13" ht="13.5" thickBot="1">
      <c r="A118" s="713" t="s">
        <v>2881</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4"/>
        <v>0.51910000000000001</v>
      </c>
      <c r="K118" s="908">
        <f t="shared" si="34"/>
        <v>0.51910000000000001</v>
      </c>
      <c r="L118" s="908">
        <f t="shared" si="34"/>
        <v>0.51910000000000001</v>
      </c>
      <c r="M118" s="909">
        <f t="shared" si="34"/>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6" sqref="M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2804</v>
      </c>
      <c r="B1" s="241"/>
      <c r="C1" s="245" t="s">
        <v>2805</v>
      </c>
      <c r="D1" s="388">
        <f>SUM(D29:D30,D33:D39)</f>
        <v>28249.879999999972</v>
      </c>
      <c r="E1" s="2714"/>
      <c r="F1" s="2714"/>
      <c r="G1" s="2714"/>
      <c r="H1" s="2714"/>
      <c r="I1" s="2714"/>
      <c r="J1" s="2714"/>
      <c r="K1" s="1369"/>
      <c r="L1" s="2715" t="s">
        <v>2806</v>
      </c>
      <c r="M1" s="1079">
        <f>SUMPRODUCT((区片价!B5:B9=I2)*(区片价!C3:F3=E2)*(区片价!C5:F9))</f>
        <v>0</v>
      </c>
      <c r="N1" s="1082">
        <f>SUMPRODUCT((因素修正幅度!B5:B9=I2)*(因素修正幅度!C3:F3=E2)*(因素修正幅度!C5:F9))</f>
        <v>0</v>
      </c>
      <c r="O1" s="2716"/>
      <c r="P1" s="2716"/>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25577</v>
      </c>
      <c r="C2" s="2718" t="s">
        <v>2813</v>
      </c>
      <c r="D2" s="2719" t="s">
        <v>2814</v>
      </c>
      <c r="E2" s="2720" t="s">
        <v>27</v>
      </c>
      <c r="F2" s="2719" t="s">
        <v>2815</v>
      </c>
      <c r="G2" s="2721" t="str">
        <f>IF(E2="商业",项目基本情况!B37,IF(E2="办公",项目基本情况!C37,IF(E2="住宅",项目基本情况!D37,项目基本情况!E37)))</f>
        <v>七级</v>
      </c>
      <c r="H2" s="2719" t="s">
        <v>2816</v>
      </c>
      <c r="I2" s="2721" t="str">
        <f>IF(E2="商业",项目基本情况!B38,IF(E2="办公",项目基本情况!C38,IF(E2="住宅",项目基本情况!D38,项目基本情况!E38)))</f>
        <v>Ⅶ-01</v>
      </c>
      <c r="J2" s="2722"/>
      <c r="K2" s="1369"/>
      <c r="L2" s="2723" t="s">
        <v>2817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18756</v>
      </c>
      <c r="U2" s="1601"/>
      <c r="V2" s="1600">
        <f ca="1">ROUND(T2*U2/10000,0)</f>
        <v>0</v>
      </c>
      <c r="W2" s="1604"/>
      <c r="X2" s="1604"/>
      <c r="Y2" s="1604"/>
      <c r="Z2" s="1604"/>
      <c r="AA2" s="1604"/>
      <c r="AB2" s="1604"/>
      <c r="AC2" s="1605"/>
      <c r="AD2" s="1606"/>
      <c r="AE2" s="1606"/>
      <c r="AF2" s="1606"/>
      <c r="AG2" s="1606"/>
      <c r="AH2" s="1606"/>
      <c r="AI2" s="1606"/>
      <c r="AJ2" s="1607"/>
    </row>
    <row r="3" spans="1:36" ht="25.5">
      <c r="A3" s="247" t="s">
        <v>2818</v>
      </c>
      <c r="B3" s="248">
        <f ca="1">ROUND(B2*10000/D1,0)</f>
        <v>9054</v>
      </c>
      <c r="C3" s="2718" t="s">
        <v>2819</v>
      </c>
      <c r="D3" s="2719" t="s">
        <v>2820</v>
      </c>
      <c r="E3" s="2724" t="s">
        <v>3098</v>
      </c>
      <c r="F3" s="2725" t="s">
        <v>3083</v>
      </c>
      <c r="G3" s="912">
        <f>IF(F3="宗地容积率",'数据-汇总表'!I4,IF(F3="估价对象容积率",'数据-汇总表'!I6,'数据-汇总表'!I7))</f>
        <v>3.5</v>
      </c>
      <c r="H3" s="198" t="s">
        <v>2821</v>
      </c>
      <c r="I3" s="943"/>
      <c r="J3" s="2722" t="s">
        <v>2822</v>
      </c>
      <c r="K3" s="1369"/>
      <c r="L3" s="2723" t="s">
        <v>2823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13463</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5"/>
      <c r="B4" s="3276"/>
      <c r="C4" s="3276"/>
      <c r="D4" s="3277"/>
      <c r="E4" s="3277"/>
      <c r="F4" s="3277"/>
      <c r="G4" s="3277"/>
      <c r="H4" s="3277"/>
      <c r="I4" s="3277"/>
      <c r="J4" s="3278"/>
      <c r="K4" s="1369"/>
      <c r="L4" s="2723" t="s">
        <v>2824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10862</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2825</v>
      </c>
      <c r="C5" s="913">
        <f>ROUND(IF(E2="商业",IF(F16="增加",C6*C7+C16,C6*C7-C16),IF(E2="住宅",IF(F16="增加",C6*C12+C16,C6*C12-C16),IF(F16="增加",C6+C16,C6-C16))),0)</f>
        <v>8140</v>
      </c>
      <c r="D5" s="1785">
        <f>ROUND(IF(E2="商业",IF(F16="增加",C6+C16,C6-C16)),0)</f>
        <v>0</v>
      </c>
      <c r="E5" s="2728"/>
      <c r="F5" s="2728"/>
      <c r="G5" s="2729"/>
      <c r="H5" s="2729"/>
      <c r="I5" s="2729"/>
      <c r="J5" s="2730"/>
      <c r="K5" s="2731"/>
      <c r="L5" s="2723" t="s">
        <v>2826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8715</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2827</v>
      </c>
      <c r="B6" s="2737" t="s">
        <v>2828</v>
      </c>
      <c r="C6" s="914">
        <f>SUMIF(L1:L12,G2,M1:M12)</f>
        <v>8140</v>
      </c>
      <c r="D6" s="2738" t="s">
        <v>2829</v>
      </c>
      <c r="E6" s="2739"/>
      <c r="F6" s="2739"/>
      <c r="G6" s="2740"/>
      <c r="H6" s="2740"/>
      <c r="I6" s="2740"/>
      <c r="J6" s="2741"/>
      <c r="K6" s="1839"/>
      <c r="L6" s="2723" t="s">
        <v>2830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0.73709999999999998</v>
      </c>
      <c r="T6" s="1600">
        <f t="shared" ca="1" si="0"/>
        <v>7421</v>
      </c>
      <c r="U6" s="1601"/>
      <c r="V6" s="1600">
        <f t="shared" ca="1" si="1"/>
        <v>0</v>
      </c>
      <c r="W6" s="1604"/>
      <c r="X6" s="1604"/>
      <c r="Y6" s="1604"/>
      <c r="Z6" s="1604"/>
      <c r="AA6" s="1604"/>
      <c r="AB6" s="1604"/>
      <c r="AC6" s="2732"/>
      <c r="AD6" s="2733"/>
      <c r="AE6" s="2733"/>
      <c r="AF6" s="2733"/>
      <c r="AG6" s="2733"/>
      <c r="AH6" s="2733"/>
      <c r="AI6" s="2733"/>
      <c r="AJ6" s="2734"/>
    </row>
    <row r="7" spans="1:36" ht="24">
      <c r="A7" s="3261" t="str">
        <f>IF(E2="商业",IF(C8="不临58条商业街","",2),"")</f>
        <v/>
      </c>
      <c r="B7" s="2742" t="s">
        <v>2831</v>
      </c>
      <c r="C7" s="915">
        <f>IF(C8="不临58条商业街",1,ROUND(1+(1.6*E8+1.2*E9+0.8*E10+0.4*E11)*C9,4))</f>
        <v>1</v>
      </c>
      <c r="D7" s="2743" t="s">
        <v>2832</v>
      </c>
      <c r="E7" s="944">
        <v>60</v>
      </c>
      <c r="F7" s="2744"/>
      <c r="G7" s="2745"/>
      <c r="H7" s="2745"/>
      <c r="I7" s="2745"/>
      <c r="J7" s="2746"/>
      <c r="K7" s="1839"/>
      <c r="L7" s="2723" t="s">
        <v>2833</v>
      </c>
      <c r="M7" s="1080">
        <f>SUMPRODUCT((区片价!B158:B205=I2)*(区片价!C3:F3=E2)*(区片价!C158:F205))</f>
        <v>8140</v>
      </c>
      <c r="N7" s="1082">
        <f>SUMPRODUCT((因素修正幅度!B158:B205=I2)*(因素修正幅度!C3:F3=E2)*(因素修正幅度!C158:F205))</f>
        <v>0.13</v>
      </c>
      <c r="O7" s="1369"/>
      <c r="P7" s="1369"/>
      <c r="Q7" s="1369"/>
      <c r="R7" s="1600">
        <v>6</v>
      </c>
      <c r="S7" s="1600">
        <f>ROUND(IF(G3&gt;1,IF(R7&lt;7,SUMPRODUCT((B93:B98=R7)*(C92:N92=G2)*(C93:N98)),SUMIF(C92:N92,G2,C100:N100)),IF(R7&lt;7,SUMPRODUCT((B102:B107=R7)*(C92:N92=G2)*(C102:N107)),SUMIF(C92:N92,G2,C109:N109))),4)</f>
        <v>0.6482</v>
      </c>
      <c r="T7" s="1600">
        <f t="shared" ca="1" si="0"/>
        <v>6526</v>
      </c>
      <c r="U7" s="1601"/>
      <c r="V7" s="1600">
        <f t="shared" ca="1" si="1"/>
        <v>0</v>
      </c>
      <c r="W7" s="2952" t="s">
        <v>2834</v>
      </c>
      <c r="X7" s="1602" t="str">
        <f>G2</f>
        <v>七级</v>
      </c>
      <c r="Y7" s="1602" t="s">
        <v>2835</v>
      </c>
      <c r="Z7" s="1603">
        <f>G3</f>
        <v>3.5</v>
      </c>
      <c r="AA7" s="1604"/>
      <c r="AB7" s="1604"/>
      <c r="AC7" s="1605"/>
      <c r="AD7" s="1606"/>
      <c r="AE7" s="1606"/>
      <c r="AF7" s="1606"/>
      <c r="AG7" s="1606"/>
      <c r="AH7" s="1606"/>
      <c r="AI7" s="1606"/>
      <c r="AJ7" s="1607"/>
    </row>
    <row r="8" spans="1:36" ht="25.5">
      <c r="A8" s="3262"/>
      <c r="B8" s="198" t="s">
        <v>2836</v>
      </c>
      <c r="C8" s="2747" t="s">
        <v>3084</v>
      </c>
      <c r="D8" s="916" t="s">
        <v>139</v>
      </c>
      <c r="E8" s="917">
        <f>ROUND(C11/E7,4)</f>
        <v>0</v>
      </c>
      <c r="F8" s="2748" t="s">
        <v>2837</v>
      </c>
      <c r="G8" s="2749"/>
      <c r="H8" s="2749"/>
      <c r="I8" s="2749"/>
      <c r="J8" s="2750"/>
      <c r="K8" s="1369"/>
      <c r="L8" s="2723" t="s">
        <v>2838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72" t="s">
        <v>2839</v>
      </c>
      <c r="X8" s="3273"/>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62"/>
      <c r="B9" s="198" t="s">
        <v>2852</v>
      </c>
      <c r="C9" s="918">
        <f>SUMIF(修正!C59:C119,C8,修正!E59:E119)</f>
        <v>0</v>
      </c>
      <c r="D9" s="200" t="s">
        <v>140</v>
      </c>
      <c r="E9" s="200">
        <f>ROUND(C11/E7,4)</f>
        <v>0</v>
      </c>
      <c r="F9" s="2748" t="s">
        <v>2853</v>
      </c>
      <c r="G9" s="2749"/>
      <c r="H9" s="2749"/>
      <c r="I9" s="2749"/>
      <c r="J9" s="2750"/>
      <c r="K9" s="1369"/>
      <c r="L9" s="2723" t="s">
        <v>2854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74"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2"/>
      <c r="B10" s="198" t="s">
        <v>2857</v>
      </c>
      <c r="C10" s="200">
        <f>SUMIF(修正!C59:C119,C8,修正!F59:F119)</f>
        <v>0</v>
      </c>
      <c r="D10" s="200" t="s">
        <v>141</v>
      </c>
      <c r="E10" s="200">
        <f>ROUND(C11/E7,4)</f>
        <v>0</v>
      </c>
      <c r="F10" s="2748" t="s">
        <v>2858</v>
      </c>
      <c r="G10" s="2749"/>
      <c r="H10" s="2749"/>
      <c r="I10" s="2749"/>
      <c r="J10" s="2750"/>
      <c r="K10" s="1369"/>
      <c r="L10" s="2723" t="s">
        <v>2859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7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2"/>
      <c r="B11" s="2751" t="s">
        <v>2860</v>
      </c>
      <c r="C11" s="919">
        <f>C10/4</f>
        <v>0</v>
      </c>
      <c r="D11" s="919" t="s">
        <v>142</v>
      </c>
      <c r="E11" s="919">
        <f>ROUND(C11/E7,4)</f>
        <v>0</v>
      </c>
      <c r="F11" s="2752" t="s">
        <v>2861</v>
      </c>
      <c r="G11" s="2753"/>
      <c r="H11" s="2753"/>
      <c r="I11" s="2753"/>
      <c r="J11" s="2754"/>
      <c r="K11" s="1369"/>
      <c r="L11" s="2723" t="s">
        <v>2862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74" t="s">
        <v>2863</v>
      </c>
      <c r="X11" s="1612" t="s">
        <v>2835</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1" t="s">
        <v>2865</v>
      </c>
      <c r="B12" s="2755" t="s">
        <v>2866</v>
      </c>
      <c r="C12" s="915">
        <f>ROUND(C15*D15*E15*F15*G15*H15*I15*J15,4)</f>
        <v>1.331</v>
      </c>
      <c r="D12" s="2756" t="s">
        <v>2867</v>
      </c>
      <c r="E12" s="2757"/>
      <c r="F12" s="2757"/>
      <c r="G12" s="2758"/>
      <c r="H12" s="2758"/>
      <c r="I12" s="2758"/>
      <c r="J12" s="2759"/>
      <c r="K12" s="1369"/>
      <c r="L12" s="2760" t="s">
        <v>2868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74"/>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9"/>
      <c r="B13" s="2761" t="s">
        <v>2870</v>
      </c>
      <c r="C13" s="2762" t="s">
        <v>2871</v>
      </c>
      <c r="D13" s="2945" t="s">
        <v>2872</v>
      </c>
      <c r="E13" s="2945" t="s">
        <v>2873</v>
      </c>
      <c r="F13" s="30" t="s">
        <v>2874</v>
      </c>
      <c r="G13" s="2763" t="s">
        <v>2875</v>
      </c>
      <c r="H13" s="2763" t="s">
        <v>2875</v>
      </c>
      <c r="I13" s="2763" t="s">
        <v>2875</v>
      </c>
      <c r="J13" s="2764" t="s">
        <v>2875</v>
      </c>
      <c r="K13" s="1369"/>
      <c r="L13" s="1369"/>
      <c r="M13" s="1369"/>
      <c r="N13" s="1369"/>
      <c r="O13" s="1369"/>
      <c r="P13" s="1369"/>
      <c r="Q13" s="1369"/>
      <c r="R13" s="1600">
        <v>12</v>
      </c>
      <c r="S13" s="1601"/>
      <c r="T13" s="1600">
        <f t="shared" ca="1" si="0"/>
        <v>0</v>
      </c>
      <c r="U13" s="1601"/>
      <c r="V13" s="1600">
        <f t="shared" ca="1" si="1"/>
        <v>0</v>
      </c>
      <c r="W13" s="3274"/>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79"/>
      <c r="B14" s="2765"/>
      <c r="C14" s="2766" t="s">
        <v>3085</v>
      </c>
      <c r="D14" s="2767" t="s">
        <v>3051</v>
      </c>
      <c r="E14" s="2767" t="s">
        <v>3085</v>
      </c>
      <c r="F14" s="2768" t="s">
        <v>3086</v>
      </c>
      <c r="G14" s="2769" t="s">
        <v>2876</v>
      </c>
      <c r="H14" s="2770"/>
      <c r="I14" s="2771"/>
      <c r="J14" s="277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0"/>
      <c r="B15" s="2773" t="s">
        <v>2877</v>
      </c>
      <c r="C15" s="229">
        <f>IF(C14="有",1.1,1)</f>
        <v>1.1000000000000001</v>
      </c>
      <c r="D15" s="229">
        <f>IF(D14="有",1.1,1)</f>
        <v>1</v>
      </c>
      <c r="E15" s="229">
        <f>IF(E14="有",1.1,1)</f>
        <v>1.1000000000000001</v>
      </c>
      <c r="F15" s="229">
        <f>IF(F14="500米范围内",1.2,IF(F14="500-1000米",1.1,1))</f>
        <v>1.1000000000000001</v>
      </c>
      <c r="G15" s="945">
        <v>1</v>
      </c>
      <c r="H15" s="945">
        <v>1</v>
      </c>
      <c r="I15" s="945">
        <v>1</v>
      </c>
      <c r="J15" s="946">
        <v>1</v>
      </c>
      <c r="K15" s="1369"/>
      <c r="L15" s="2774" t="s">
        <v>2814</v>
      </c>
      <c r="M15" s="916" t="s">
        <v>2878</v>
      </c>
      <c r="N15" s="916" t="s">
        <v>2879</v>
      </c>
      <c r="O15" s="916" t="s">
        <v>2880</v>
      </c>
      <c r="P15" s="2775" t="s">
        <v>2881</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1" t="s">
        <v>2882</v>
      </c>
      <c r="B16" s="2742" t="s">
        <v>2883</v>
      </c>
      <c r="C16" s="2941">
        <f>ROUND(SUM(G17:J17)/C17,0)</f>
        <v>0</v>
      </c>
      <c r="D16" s="2776" t="s">
        <v>2884</v>
      </c>
      <c r="E16" s="2777" t="s">
        <v>3087</v>
      </c>
      <c r="F16" s="2778" t="s">
        <v>3088</v>
      </c>
      <c r="G16" s="2779"/>
      <c r="H16" s="2779"/>
      <c r="I16" s="2779"/>
      <c r="J16" s="2780"/>
      <c r="K16" s="1369"/>
      <c r="L16" s="2781" t="s">
        <v>2885</v>
      </c>
      <c r="M16" s="918">
        <v>0.25</v>
      </c>
      <c r="N16" s="918">
        <v>0.2</v>
      </c>
      <c r="O16" s="918">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2"/>
      <c r="B17" s="2782" t="s">
        <v>2886</v>
      </c>
      <c r="C17" s="920">
        <f>SUMPRODUCT((修正!A2:A5=E2)*(修正!B1:M1=G2)*(修正!B2:M5))</f>
        <v>2.5</v>
      </c>
      <c r="D17" s="2783" t="s">
        <v>2887</v>
      </c>
      <c r="E17" s="919" t="str">
        <f>IF(OR(G2="八级",G2="九级",G2="十级",G2="十一级",G2="十二级"),"五通一平","七通一平")</f>
        <v>七通一平</v>
      </c>
      <c r="F17" s="920" t="s">
        <v>2888</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4"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2890</v>
      </c>
      <c r="C18" s="922">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2891</v>
      </c>
      <c r="C19" s="923">
        <f>ROUND(IF(H19="按公示增长率计算",SUMPRODUCT((地价!A3:A22=YEAR(G19)&amp;"-"&amp;ROUNDUP(MONTH(G19)/3,0))*(地价!X2:AB2=E2)*(地价!X3:AB22)),IF(H19="地价指数",M20/M19,(1+I19)^O19)),4)</f>
        <v>1.2928999999999999</v>
      </c>
      <c r="D19" s="2794" t="s">
        <v>2892</v>
      </c>
      <c r="E19" s="924">
        <v>41640</v>
      </c>
      <c r="F19" s="2794" t="s">
        <v>2893</v>
      </c>
      <c r="G19" s="925">
        <f>'数据-取费表'!B2</f>
        <v>43228</v>
      </c>
      <c r="H19" s="2795" t="s">
        <v>3089</v>
      </c>
      <c r="I19" s="926" t="str">
        <f>IF(H19="季度增幅（自定义）",SUMIF(N21:N24,E2,O21:O24),"")</f>
        <v/>
      </c>
      <c r="J19" s="2792"/>
      <c r="K19" s="1376"/>
      <c r="L19" s="2796" t="s">
        <v>2894</v>
      </c>
      <c r="M19" s="1732">
        <f>ROUND(SUMIF(地价!B2:F2,E2,地价!B22:F22),0)</f>
        <v>258</v>
      </c>
      <c r="N19" s="2797" t="s">
        <v>2895</v>
      </c>
      <c r="O19" s="927">
        <f>ROUNDDOWN(DATEDIF(E19,G19,"M")/3,0)</f>
        <v>17</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2896</v>
      </c>
      <c r="C20" s="928">
        <f ca="1">ROUND(POWER(1+G20,J20-I20)*(POWER(1+G20,I20)-1)/(POWER(1+G20,J20)-1),4)</f>
        <v>0.91390000000000005</v>
      </c>
      <c r="D20" s="2803" t="s">
        <v>2897</v>
      </c>
      <c r="E20" s="1766">
        <f ca="1">存贷款利率!D4/100</f>
        <v>4.3499999999999997E-2</v>
      </c>
      <c r="F20" s="2803" t="s">
        <v>2889</v>
      </c>
      <c r="G20" s="933">
        <f ca="1">SUMIF(M15:P15,E2,M17:P17)</f>
        <v>5.1999999999999998E-2</v>
      </c>
      <c r="H20" s="2803" t="s">
        <v>2898</v>
      </c>
      <c r="I20" s="934">
        <f>SUMIF('数据-取费表'!C6:C15,E2,'数据-取费表'!F6:F15)/COUNTIF('数据-取费表'!C6:C15,E2)</f>
        <v>36.33</v>
      </c>
      <c r="J20" s="935">
        <f>IF(E2="住宅",70,IF(E2="商业",40,50))</f>
        <v>50</v>
      </c>
      <c r="K20" s="1376"/>
      <c r="L20" s="2804" t="s">
        <v>2899</v>
      </c>
      <c r="M20" s="1733">
        <f>ROUND(SUMPRODUCT((地价!A4:A22=YEAR(G19)&amp;"-"&amp;ROUNDUP(MONTH(G19)/3,0))*(地价!B2:F2=E2)*(地价!B4:F22)),0)</f>
        <v>333</v>
      </c>
      <c r="N20" s="2805" t="s">
        <v>2900</v>
      </c>
      <c r="O20" s="2806" t="s">
        <v>2901</v>
      </c>
      <c r="P20" s="2807" t="s">
        <v>2902</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3090</v>
      </c>
      <c r="C21" s="2951">
        <f>IF(B21="容积率修正",IF(G3&lt;=10,D22,J22),C23)</f>
        <v>0.89929999999999999</v>
      </c>
      <c r="D21" s="2810"/>
      <c r="E21" s="2810"/>
      <c r="F21" s="2810"/>
      <c r="G21" s="2810"/>
      <c r="H21" s="2810"/>
      <c r="I21" s="2810"/>
      <c r="J21" s="2811"/>
      <c r="K21" s="1376"/>
      <c r="N21" s="2812" t="s">
        <v>2903</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2904</v>
      </c>
      <c r="B22" s="2813" t="s">
        <v>2905</v>
      </c>
      <c r="C22" s="2950" t="s">
        <v>2906</v>
      </c>
      <c r="D22" s="2950">
        <f>IF(E22=G22,F22,IF(G3&lt;=10,ROUND(F22+(H22-F22)*(G3-E22)/(G22-E22),4),"——"))</f>
        <v>0.89929999999999999</v>
      </c>
      <c r="E22" s="912">
        <f>ROUNDDOWN(G3,1)</f>
        <v>3.5</v>
      </c>
      <c r="F22" s="2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2">
        <f>ROUNDUP(G3,1)</f>
        <v>3.5</v>
      </c>
      <c r="H22" s="2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2950" t="s">
        <v>155</v>
      </c>
      <c r="J22" s="937" t="str">
        <f>IF(G3&gt;10,D113,"——")</f>
        <v>——</v>
      </c>
      <c r="K22" s="1376"/>
      <c r="N22" s="2812" t="s">
        <v>2907</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1" t="s">
        <v>2908</v>
      </c>
      <c r="B23" s="2814" t="s">
        <v>2909</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2910</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2911</v>
      </c>
      <c r="C24" s="923">
        <f>SUMIF(A45:A88,E2,B45:B88)</f>
        <v>1.0468</v>
      </c>
      <c r="D24" s="2790"/>
      <c r="E24" s="2820"/>
      <c r="F24" s="2820"/>
      <c r="G24" s="2820"/>
      <c r="H24" s="2820"/>
      <c r="I24" s="2820"/>
      <c r="J24" s="2821"/>
      <c r="K24" s="1376"/>
      <c r="N24" s="2822" t="s">
        <v>2912</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2913</v>
      </c>
      <c r="C25" s="929"/>
      <c r="D25" s="2745"/>
      <c r="E25" s="2745"/>
      <c r="F25" s="2824"/>
      <c r="G25" s="2745"/>
      <c r="H25" s="2745"/>
      <c r="I25" s="2745"/>
      <c r="J25" s="2746"/>
      <c r="K25" s="1369"/>
      <c r="N25" s="2825" t="s">
        <v>2914</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6"/>
      <c r="B26" s="2813" t="s">
        <v>2915</v>
      </c>
      <c r="C26" s="206">
        <f ca="1">E29+SUM(E33:E39)</f>
        <v>25577</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2916</v>
      </c>
      <c r="C27" s="930">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2917</v>
      </c>
      <c r="C28" s="2837" t="s">
        <v>2918</v>
      </c>
      <c r="D28" s="2837" t="s">
        <v>2919</v>
      </c>
      <c r="E28" s="2838" t="s">
        <v>2920</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2921</v>
      </c>
      <c r="C29" s="206">
        <f ca="1">ROUND(C5*C18*C19*C20*C21*C24,0)</f>
        <v>9054</v>
      </c>
      <c r="D29" s="2842">
        <f>'数据-汇总表'!F20</f>
        <v>28249.879999999972</v>
      </c>
      <c r="E29" s="2955">
        <f ca="1">ROUND(C29*D29/10000,0)</f>
        <v>25577</v>
      </c>
      <c r="F29" s="2843" t="s">
        <v>2922</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2923</v>
      </c>
      <c r="C30" s="229">
        <f ca="1">ROUND(IF(E2="工业",C29*M39,C29*M38),0)</f>
        <v>2264</v>
      </c>
      <c r="D30" s="2848"/>
      <c r="E30" s="2955">
        <f ca="1">ROUND(C30*D30/10000,0)</f>
        <v>0</v>
      </c>
      <c r="F30" s="2849" t="s">
        <v>2924</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269" t="s">
        <v>2929</v>
      </c>
      <c r="B33" s="2858" t="s">
        <v>2930</v>
      </c>
      <c r="C33" s="206">
        <f ca="1">ROUND(D5*C19*C20*C24*F33,0)</f>
        <v>0</v>
      </c>
      <c r="D33" s="2842"/>
      <c r="E33" s="200">
        <f ca="1">ROUND(C33*D33/10000,0)</f>
        <v>0</v>
      </c>
      <c r="F33" s="200">
        <f>SUMIF(修正!A45:A56,G2,修正!B45:B56)</f>
        <v>0.7</v>
      </c>
      <c r="G33" s="200">
        <f t="shared" ref="G33:G39"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0"/>
      <c r="B34" s="2762" t="s">
        <v>2931</v>
      </c>
      <c r="C34" s="206">
        <f ca="1">ROUND(D5*C19*C20*C24*F34,0)</f>
        <v>0</v>
      </c>
      <c r="D34" s="2842"/>
      <c r="E34" s="200">
        <f t="shared" ref="E34:E39" ca="1" si="7">ROUND(C34*D34/10000,0)</f>
        <v>0</v>
      </c>
      <c r="F34" s="200">
        <f>SUMIF(修正!A45:A56,G2,修正!C45:C56)</f>
        <v>0.4</v>
      </c>
      <c r="G34" s="200">
        <f t="shared" ca="1" si="6"/>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0"/>
      <c r="B35" s="2762" t="s">
        <v>2932</v>
      </c>
      <c r="C35" s="206">
        <f ca="1">ROUND(D5*C19*C20*C24*F35,0)</f>
        <v>0</v>
      </c>
      <c r="D35" s="2842"/>
      <c r="E35" s="200">
        <f t="shared" ca="1" si="7"/>
        <v>0</v>
      </c>
      <c r="F35" s="200">
        <f>SUMIF(修正!A45:A56,G2,修正!D45:D56)</f>
        <v>0.28000000000000003</v>
      </c>
      <c r="G35" s="200">
        <f t="shared" ca="1" si="6"/>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271"/>
      <c r="B36" s="2762" t="s">
        <v>2933</v>
      </c>
      <c r="C36" s="206">
        <f ca="1">ROUND(D5*C19*C20*C24*F36,0)</f>
        <v>0</v>
      </c>
      <c r="D36" s="2842"/>
      <c r="E36" s="200">
        <f t="shared" ca="1" si="7"/>
        <v>0</v>
      </c>
      <c r="F36" s="200">
        <f>SUMIF(修正!A45:A56,G2,修正!E45:E56)</f>
        <v>0.25</v>
      </c>
      <c r="G36" s="200">
        <f t="shared" ca="1" si="6"/>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2934</v>
      </c>
      <c r="C37" s="200">
        <f ca="1">ROUND(C5*C19*C20*C24*F37,0)</f>
        <v>2517</v>
      </c>
      <c r="D37" s="2842"/>
      <c r="E37" s="200">
        <f t="shared" ca="1" si="7"/>
        <v>0</v>
      </c>
      <c r="F37" s="206">
        <f>SUMIF(修正!A45:A56,G2,修正!F45:F56)</f>
        <v>0.25</v>
      </c>
      <c r="G37" s="200">
        <f t="shared" ca="1" si="6"/>
        <v>629</v>
      </c>
      <c r="H37" s="200">
        <f t="shared" si="8"/>
        <v>0</v>
      </c>
      <c r="I37" s="200">
        <f t="shared" ca="1" si="9"/>
        <v>0</v>
      </c>
      <c r="J37" s="2859"/>
      <c r="K37" s="1369"/>
      <c r="L37" s="2861" t="s">
        <v>2935</v>
      </c>
      <c r="M37" s="2862"/>
      <c r="N37" s="1369"/>
      <c r="O37" s="1369"/>
      <c r="P37" s="1369"/>
      <c r="Q37" s="1369"/>
      <c r="R37" s="1369"/>
      <c r="S37" s="1369"/>
      <c r="T37" s="1369"/>
      <c r="U37" s="1369"/>
      <c r="V37" s="1369"/>
      <c r="W37" s="1369"/>
      <c r="X37" s="1369"/>
      <c r="Y37" s="1369"/>
      <c r="Z37" s="1370"/>
    </row>
    <row r="38" spans="1:37">
      <c r="A38" s="2860"/>
      <c r="B38" s="2762" t="s">
        <v>2936</v>
      </c>
      <c r="C38" s="200">
        <f ca="1">ROUND(C5*C19*C20*C24*F38,0)</f>
        <v>2517</v>
      </c>
      <c r="D38" s="2842"/>
      <c r="E38" s="200">
        <f t="shared" ca="1" si="7"/>
        <v>0</v>
      </c>
      <c r="F38" s="206">
        <f>SUMIF(修正!A45:A56,G2,修正!G45:G56)</f>
        <v>0.25</v>
      </c>
      <c r="G38" s="200">
        <f t="shared" ca="1" si="6"/>
        <v>629</v>
      </c>
      <c r="H38" s="200">
        <f t="shared" si="8"/>
        <v>0</v>
      </c>
      <c r="I38" s="200">
        <f t="shared" ca="1" si="9"/>
        <v>0</v>
      </c>
      <c r="J38" s="2859"/>
      <c r="K38" s="1369"/>
      <c r="L38" s="1884" t="s">
        <v>2937</v>
      </c>
      <c r="M38" s="2863">
        <v>0.25</v>
      </c>
      <c r="N38" s="1369"/>
      <c r="O38" s="1369"/>
      <c r="P38" s="1369"/>
      <c r="Q38" s="1369"/>
      <c r="R38" s="1369"/>
      <c r="S38" s="1369"/>
      <c r="T38" s="1369"/>
      <c r="U38" s="1369"/>
      <c r="V38" s="1369"/>
      <c r="W38" s="1369"/>
      <c r="X38" s="1369"/>
      <c r="Y38" s="1369"/>
      <c r="Z38" s="1370"/>
    </row>
    <row r="39" spans="1:37" ht="13.5" thickBot="1">
      <c r="A39" s="2846"/>
      <c r="B39" s="2864" t="s">
        <v>2938</v>
      </c>
      <c r="C39" s="229">
        <f ca="1">ROUND(C5*C19*C20*C24*F39,0)</f>
        <v>2014</v>
      </c>
      <c r="D39" s="2848"/>
      <c r="E39" s="229">
        <f t="shared" ca="1" si="7"/>
        <v>0</v>
      </c>
      <c r="F39" s="931">
        <f>SUMIF(修正!A45:A56,G2,修正!H45:H56)</f>
        <v>0.2</v>
      </c>
      <c r="G39" s="229">
        <f t="shared" ca="1" si="6"/>
        <v>504</v>
      </c>
      <c r="H39" s="229">
        <f t="shared" si="8"/>
        <v>0</v>
      </c>
      <c r="I39" s="229">
        <f t="shared" ca="1" si="9"/>
        <v>0</v>
      </c>
      <c r="J39" s="2865"/>
      <c r="K39" s="1369"/>
      <c r="L39" s="2866" t="s">
        <v>2881</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2939</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2940</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2941</v>
      </c>
      <c r="B47" s="2944" t="s">
        <v>2942</v>
      </c>
      <c r="C47" s="2944" t="s">
        <v>2943</v>
      </c>
      <c r="D47" s="2944" t="s">
        <v>2944</v>
      </c>
      <c r="E47" s="815" t="s">
        <v>2945</v>
      </c>
      <c r="F47" s="2876" t="s">
        <v>2946</v>
      </c>
      <c r="G47" s="2944" t="s">
        <v>754</v>
      </c>
      <c r="H47" s="2877" t="s">
        <v>2947</v>
      </c>
      <c r="I47" s="2944" t="s">
        <v>2948</v>
      </c>
      <c r="J47" s="603" t="s">
        <v>2599</v>
      </c>
      <c r="K47" s="603" t="s">
        <v>2600</v>
      </c>
      <c r="L47" s="603" t="s">
        <v>2601</v>
      </c>
      <c r="M47" s="603" t="s">
        <v>2602</v>
      </c>
      <c r="N47" s="603" t="s">
        <v>2603</v>
      </c>
      <c r="AA47" s="1370"/>
      <c r="AB47" s="1370"/>
      <c r="AC47" s="1370"/>
      <c r="AD47" s="1370"/>
      <c r="AE47" s="1370"/>
      <c r="AF47" s="1370"/>
      <c r="AG47" s="1370"/>
      <c r="AH47" s="1370"/>
      <c r="AI47" s="1370"/>
      <c r="AJ47" s="1370"/>
      <c r="AK47" s="1370"/>
    </row>
    <row r="48" spans="1:37" s="1369" customFormat="1" ht="38.25">
      <c r="A48" s="2875" t="s">
        <v>2949</v>
      </c>
      <c r="B48" s="2878" t="str">
        <f>估价对象房地状况!C4</f>
        <v>估价对象位于XX商圈，周边商业氛围成熟，人流量大，商业繁华度好</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5" t="s">
        <v>2950</v>
      </c>
      <c r="B49" s="2879" t="str">
        <f>估价对象房地状况!C18</f>
        <v>估价对象周边道路状况、公共交通通达情况、停车便捷程度，综合评价交通便捷度较好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2951</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2952</v>
      </c>
      <c r="B51" s="2880" t="s">
        <v>2953</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2954</v>
      </c>
      <c r="B52" s="2879">
        <f>估价对象房地状况!C24</f>
        <v>0</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2955</v>
      </c>
      <c r="B53" s="2881" t="s">
        <v>2956</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2" t="s">
        <v>2957</v>
      </c>
      <c r="B54" s="1723" t="str">
        <f>估价对象房地状况!C21</f>
        <v>估价对象所在区域公共配套设施齐备情况</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2958</v>
      </c>
      <c r="B55" s="2879" t="str">
        <f>估价对象房地状况!C22</f>
        <v>估价对象所在区域基础设施水平</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3" t="s">
        <v>2959</v>
      </c>
      <c r="B56" s="2884" t="str">
        <f>估价对象房地状况!C20</f>
        <v>区域自然环境：；人文环境；综合评价环境状况一般</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2960</v>
      </c>
      <c r="B57" s="2872">
        <f>1+E59</f>
        <v>1.0468</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2941</v>
      </c>
      <c r="B58" s="2944"/>
      <c r="C58" s="2944" t="s">
        <v>2943</v>
      </c>
      <c r="D58" s="2944" t="s">
        <v>2944</v>
      </c>
      <c r="E58" s="815" t="s">
        <v>2945</v>
      </c>
      <c r="F58" s="2876" t="s">
        <v>2961</v>
      </c>
      <c r="G58" s="2944" t="s">
        <v>754</v>
      </c>
      <c r="H58" s="2877" t="s">
        <v>2947</v>
      </c>
      <c r="I58" s="2944" t="s">
        <v>2948</v>
      </c>
      <c r="J58" s="603" t="s">
        <v>2599</v>
      </c>
      <c r="K58" s="603" t="s">
        <v>2600</v>
      </c>
      <c r="L58" s="603" t="s">
        <v>2601</v>
      </c>
      <c r="M58" s="603" t="s">
        <v>2602</v>
      </c>
      <c r="N58" s="603" t="s">
        <v>2603</v>
      </c>
      <c r="AA58" s="1370"/>
      <c r="AB58" s="1370"/>
      <c r="AC58" s="1370"/>
      <c r="AD58" s="1370"/>
      <c r="AE58" s="1370"/>
      <c r="AF58" s="1370"/>
      <c r="AG58" s="1370"/>
      <c r="AH58" s="1370"/>
      <c r="AI58" s="1370"/>
      <c r="AJ58" s="1370"/>
      <c r="AK58" s="1370"/>
    </row>
    <row r="59" spans="1:37" s="1369" customFormat="1" ht="38.25">
      <c r="A59" s="2875" t="s">
        <v>2962</v>
      </c>
      <c r="B59" s="2878" t="str">
        <f>估价对象房地状况!C17</f>
        <v>估价对象位于XX商圈，周边办公楼项目较多，入驻率高，办公集聚程度较好</v>
      </c>
      <c r="C59" s="2767" t="s">
        <v>3092</v>
      </c>
      <c r="D59" s="1285">
        <f t="shared" ref="D59:D67" si="15">SUMIF($J$58:$N$58,C59,J59:N59)</f>
        <v>0</v>
      </c>
      <c r="E59" s="817">
        <f>ROUND(SUM(D59:D67),4)</f>
        <v>4.6800000000000001E-2</v>
      </c>
      <c r="F59" s="2498">
        <f>IF(E2="办公",SUMIF(L1:L12,G2,N1:N12),"——")</f>
        <v>0.13</v>
      </c>
      <c r="G59" s="1283">
        <f>H59</f>
        <v>1.5599999999999999E-2</v>
      </c>
      <c r="H59" s="1287">
        <f t="shared" ref="H59:H67" si="16">IFERROR(ROUNDDOWN($F$59*I59/2,4),"——")</f>
        <v>1.5599999999999999E-2</v>
      </c>
      <c r="I59" s="816">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51">
      <c r="A60" s="2875" t="s">
        <v>2950</v>
      </c>
      <c r="B60" s="2879" t="str">
        <f>估价对象房地状况!C18</f>
        <v>估价对象周边道路状况、公共交通通达情况、停车便捷程度，综合评价交通便捷度较好</v>
      </c>
      <c r="C60" s="2767" t="s">
        <v>3093</v>
      </c>
      <c r="D60" s="1285">
        <f t="shared" si="15"/>
        <v>1.95E-2</v>
      </c>
      <c r="E60" s="818"/>
      <c r="F60" s="2498"/>
      <c r="G60" s="1283">
        <f t="shared" ref="G60:G67" si="20">H60</f>
        <v>1.95E-2</v>
      </c>
      <c r="H60" s="1287">
        <f t="shared" si="16"/>
        <v>1.95E-2</v>
      </c>
      <c r="I60" s="816">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2951</v>
      </c>
      <c r="B61" s="2879">
        <f>估价对象房地状况!C19</f>
        <v>0</v>
      </c>
      <c r="C61" s="2767" t="s">
        <v>3093</v>
      </c>
      <c r="D61" s="1285">
        <f t="shared" si="15"/>
        <v>5.1999999999999998E-3</v>
      </c>
      <c r="E61" s="818"/>
      <c r="F61" s="2498"/>
      <c r="G61" s="1283">
        <f t="shared" si="20"/>
        <v>5.1999999999999998E-3</v>
      </c>
      <c r="H61" s="1287">
        <f t="shared" si="16"/>
        <v>5.1999999999999998E-3</v>
      </c>
      <c r="I61" s="816">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2952</v>
      </c>
      <c r="B62" s="2880" t="s">
        <v>2953</v>
      </c>
      <c r="C62" s="2767" t="s">
        <v>3093</v>
      </c>
      <c r="D62" s="1285">
        <f t="shared" si="15"/>
        <v>2.5999999999999999E-3</v>
      </c>
      <c r="E62" s="818"/>
      <c r="F62" s="2498"/>
      <c r="G62" s="1283">
        <f t="shared" si="20"/>
        <v>2.5999999999999999E-3</v>
      </c>
      <c r="H62" s="1287">
        <f t="shared" si="16"/>
        <v>2.5999999999999999E-3</v>
      </c>
      <c r="I62" s="816">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2954</v>
      </c>
      <c r="B63" s="2879">
        <f>估价对象房地状况!C24</f>
        <v>0</v>
      </c>
      <c r="C63" s="2767" t="s">
        <v>3094</v>
      </c>
      <c r="D63" s="1285">
        <f t="shared" si="15"/>
        <v>-3.2000000000000002E-3</v>
      </c>
      <c r="E63" s="818"/>
      <c r="F63" s="2498"/>
      <c r="G63" s="1283">
        <f t="shared" si="20"/>
        <v>3.2000000000000002E-3</v>
      </c>
      <c r="H63" s="1287">
        <f t="shared" si="16"/>
        <v>3.2000000000000002E-3</v>
      </c>
      <c r="I63" s="816">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2955</v>
      </c>
      <c r="B64" s="2881" t="s">
        <v>2956</v>
      </c>
      <c r="C64" s="2767" t="s">
        <v>3093</v>
      </c>
      <c r="D64" s="1285">
        <f t="shared" si="15"/>
        <v>3.2000000000000002E-3</v>
      </c>
      <c r="E64" s="818"/>
      <c r="F64" s="2498"/>
      <c r="G64" s="1283">
        <f t="shared" si="20"/>
        <v>3.2000000000000002E-3</v>
      </c>
      <c r="H64" s="1287">
        <f t="shared" si="16"/>
        <v>3.2000000000000002E-3</v>
      </c>
      <c r="I64" s="816">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5.5">
      <c r="A65" s="2875" t="s">
        <v>2957</v>
      </c>
      <c r="B65" s="1723" t="str">
        <f>估价对象房地状况!C21</f>
        <v>估价对象所在区域公共配套设施齐备情况</v>
      </c>
      <c r="C65" s="2767" t="s">
        <v>3093</v>
      </c>
      <c r="D65" s="1285">
        <f t="shared" si="15"/>
        <v>3.8999999999999998E-3</v>
      </c>
      <c r="E65" s="818"/>
      <c r="F65" s="2498"/>
      <c r="G65" s="1283">
        <f t="shared" si="20"/>
        <v>3.8999999999999998E-3</v>
      </c>
      <c r="H65" s="1287">
        <f t="shared" si="16"/>
        <v>3.8999999999999998E-3</v>
      </c>
      <c r="I65" s="816">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2958</v>
      </c>
      <c r="B66" s="1723" t="str">
        <f>估价对象房地状况!C22</f>
        <v>估价对象所在区域基础设施水平</v>
      </c>
      <c r="C66" s="2767" t="s">
        <v>3095</v>
      </c>
      <c r="D66" s="1285">
        <f t="shared" si="15"/>
        <v>1.5599999999999999E-2</v>
      </c>
      <c r="E66" s="818"/>
      <c r="F66" s="2498"/>
      <c r="G66" s="1283">
        <f t="shared" si="20"/>
        <v>7.7999999999999996E-3</v>
      </c>
      <c r="H66" s="1287">
        <f t="shared" si="16"/>
        <v>7.7999999999999996E-3</v>
      </c>
      <c r="I66" s="816">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9" thickBot="1">
      <c r="A67" s="2883" t="s">
        <v>2959</v>
      </c>
      <c r="B67" s="2885" t="str">
        <f>估价对象房地状况!C20</f>
        <v>区域自然环境：；人文环境；综合评价环境状况一般</v>
      </c>
      <c r="C67" s="2767" t="s">
        <v>3092</v>
      </c>
      <c r="D67" s="1285">
        <f t="shared" si="15"/>
        <v>0</v>
      </c>
      <c r="E67" s="821"/>
      <c r="F67" s="2498"/>
      <c r="G67" s="1283">
        <f t="shared" si="20"/>
        <v>3.8999999999999998E-3</v>
      </c>
      <c r="H67" s="1287">
        <f t="shared" si="16"/>
        <v>3.8999999999999998E-3</v>
      </c>
      <c r="I67" s="820">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2963</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2941</v>
      </c>
      <c r="B69" s="2944"/>
      <c r="C69" s="2944" t="s">
        <v>2943</v>
      </c>
      <c r="D69" s="2944" t="s">
        <v>2944</v>
      </c>
      <c r="E69" s="815" t="s">
        <v>2945</v>
      </c>
      <c r="F69" s="2876" t="s">
        <v>2961</v>
      </c>
      <c r="G69" s="2944" t="s">
        <v>754</v>
      </c>
      <c r="H69" s="2877" t="s">
        <v>2947</v>
      </c>
      <c r="I69" s="2944" t="s">
        <v>2948</v>
      </c>
      <c r="J69" s="603" t="s">
        <v>2599</v>
      </c>
      <c r="K69" s="603" t="s">
        <v>2600</v>
      </c>
      <c r="L69" s="603" t="s">
        <v>2601</v>
      </c>
      <c r="M69" s="603" t="s">
        <v>2602</v>
      </c>
      <c r="N69" s="603" t="s">
        <v>2603</v>
      </c>
      <c r="AA69" s="1370"/>
      <c r="AB69" s="1370"/>
      <c r="AC69" s="1370"/>
      <c r="AD69" s="1370"/>
      <c r="AE69" s="1370"/>
      <c r="AF69" s="1370"/>
      <c r="AG69" s="1370"/>
      <c r="AH69" s="1370"/>
      <c r="AI69" s="1370"/>
      <c r="AJ69" s="1370"/>
      <c r="AK69" s="1370"/>
    </row>
    <row r="70" spans="1:37" s="1369" customFormat="1" ht="51">
      <c r="A70" s="2875" t="s">
        <v>2964</v>
      </c>
      <c r="B70" s="2878" t="str">
        <f>估价对象房地状况!C15</f>
        <v>估价对象周边居住用地比例、居住小区规模和社区发展完善程度，综合评价居住社区成熟度一般</v>
      </c>
      <c r="C70" s="2767"/>
      <c r="D70" s="1285">
        <f t="shared" ref="D70:D78" si="21">SUMIF($J$69:$N$69,C70,J70:N70)</f>
        <v>0</v>
      </c>
      <c r="E70" s="817">
        <f>ROUND(SUM(D70:D78),4)</f>
        <v>0</v>
      </c>
      <c r="F70" s="2498" t="str">
        <f>IF(E2="住宅",SUMIF(L1:L12,G2,N1:N12),"——")</f>
        <v>——</v>
      </c>
      <c r="G70" s="1283"/>
      <c r="H70" s="1287" t="str">
        <f t="shared" ref="H70:H78" si="22">IFERROR(ROUNDDOWN($F$70*I70/2,4),"——")</f>
        <v>——</v>
      </c>
      <c r="I70" s="816">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5" t="s">
        <v>2950</v>
      </c>
      <c r="B71" s="2879" t="str">
        <f>估价对象房地状况!C18</f>
        <v>估价对象周边道路状况、公共交通通达情况、停车便捷程度，综合评价交通便捷度较好</v>
      </c>
      <c r="C71" s="2767"/>
      <c r="D71" s="1285">
        <f t="shared" si="21"/>
        <v>0</v>
      </c>
      <c r="E71" s="822"/>
      <c r="F71" s="2498"/>
      <c r="G71" s="1283"/>
      <c r="H71" s="1287" t="str">
        <f t="shared" si="22"/>
        <v>——</v>
      </c>
      <c r="I71" s="816">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2951</v>
      </c>
      <c r="B72" s="2879">
        <f>估价对象房地状况!C19</f>
        <v>0</v>
      </c>
      <c r="C72" s="2767"/>
      <c r="D72" s="1285">
        <f t="shared" si="21"/>
        <v>0</v>
      </c>
      <c r="E72" s="822"/>
      <c r="F72" s="2498"/>
      <c r="G72" s="1283"/>
      <c r="H72" s="1287" t="str">
        <f t="shared" si="22"/>
        <v>——</v>
      </c>
      <c r="I72" s="816">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2965</v>
      </c>
      <c r="B73" s="2879">
        <f>估价对象房地状况!C24</f>
        <v>0</v>
      </c>
      <c r="C73" s="2767"/>
      <c r="D73" s="1285">
        <f t="shared" si="21"/>
        <v>0</v>
      </c>
      <c r="E73" s="822"/>
      <c r="F73" s="2498"/>
      <c r="G73" s="1283"/>
      <c r="H73" s="1287" t="str">
        <f t="shared" si="22"/>
        <v>——</v>
      </c>
      <c r="I73" s="816">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5" t="s">
        <v>2957</v>
      </c>
      <c r="B74" s="1723" t="str">
        <f>估价对象房地状况!C21</f>
        <v>估价对象所在区域公共配套设施齐备情况</v>
      </c>
      <c r="C74" s="2767"/>
      <c r="D74" s="1285">
        <f t="shared" si="21"/>
        <v>0</v>
      </c>
      <c r="E74" s="822"/>
      <c r="F74" s="2498"/>
      <c r="G74" s="1283"/>
      <c r="H74" s="1287" t="str">
        <f t="shared" si="22"/>
        <v>——</v>
      </c>
      <c r="I74" s="816">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2958</v>
      </c>
      <c r="B75" s="1723" t="str">
        <f>估价对象房地状况!C22</f>
        <v>估价对象所在区域基础设施水平</v>
      </c>
      <c r="C75" s="2767"/>
      <c r="D75" s="1285">
        <f t="shared" si="21"/>
        <v>0</v>
      </c>
      <c r="E75" s="822"/>
      <c r="F75" s="2498"/>
      <c r="G75" s="1283"/>
      <c r="H75" s="1287" t="str">
        <f t="shared" si="22"/>
        <v>——</v>
      </c>
      <c r="I75" s="816">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2955</v>
      </c>
      <c r="B76" s="2881" t="s">
        <v>2956</v>
      </c>
      <c r="C76" s="2767"/>
      <c r="D76" s="1285">
        <f t="shared" si="21"/>
        <v>0</v>
      </c>
      <c r="E76" s="822"/>
      <c r="F76" s="2498"/>
      <c r="G76" s="1283"/>
      <c r="H76" s="1287" t="str">
        <f t="shared" si="22"/>
        <v>——</v>
      </c>
      <c r="I76" s="816">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38.25">
      <c r="A77" s="2875" t="s">
        <v>2959</v>
      </c>
      <c r="B77" s="2878" t="str">
        <f>估价对象房地状况!C20</f>
        <v>区域自然环境：；人文环境；综合评价环境状况一般</v>
      </c>
      <c r="C77" s="2767"/>
      <c r="D77" s="1285">
        <f t="shared" si="21"/>
        <v>0</v>
      </c>
      <c r="E77" s="822"/>
      <c r="F77" s="2498"/>
      <c r="G77" s="1283"/>
      <c r="H77" s="1287" t="str">
        <f t="shared" si="22"/>
        <v>——</v>
      </c>
      <c r="I77" s="816">
        <v>0.15</v>
      </c>
      <c r="J77" s="1284">
        <f t="shared" si="23"/>
        <v>0</v>
      </c>
      <c r="K77" s="1284">
        <f t="shared" si="24"/>
        <v>0</v>
      </c>
      <c r="L77" s="1284">
        <v>0</v>
      </c>
      <c r="M77" s="1284">
        <f t="shared" si="25"/>
        <v>0</v>
      </c>
      <c r="N77" s="1284">
        <f t="shared" si="25"/>
        <v>0</v>
      </c>
      <c r="Z77" s="2717"/>
      <c r="AA77" s="2793"/>
      <c r="AG77" s="1371"/>
      <c r="AK77" s="2793"/>
    </row>
    <row r="78" spans="1:37" ht="24.75" thickBot="1">
      <c r="A78" s="2883" t="s">
        <v>2966</v>
      </c>
      <c r="B78" s="2887"/>
      <c r="C78" s="2767"/>
      <c r="D78" s="1285">
        <f t="shared" si="21"/>
        <v>0</v>
      </c>
      <c r="E78" s="823"/>
      <c r="F78" s="2498"/>
      <c r="G78" s="1283"/>
      <c r="H78" s="1287" t="str">
        <f t="shared" si="22"/>
        <v>——</v>
      </c>
      <c r="I78" s="820">
        <v>0.04</v>
      </c>
      <c r="J78" s="1284">
        <f t="shared" si="23"/>
        <v>0</v>
      </c>
      <c r="K78" s="1284">
        <f t="shared" si="24"/>
        <v>0</v>
      </c>
      <c r="L78" s="1284">
        <v>0</v>
      </c>
      <c r="M78" s="1284">
        <f t="shared" si="25"/>
        <v>0</v>
      </c>
      <c r="N78" s="1284">
        <f t="shared" si="25"/>
        <v>0</v>
      </c>
      <c r="Z78" s="2717"/>
      <c r="AA78" s="2793"/>
      <c r="AG78" s="1371"/>
      <c r="AK78" s="2793"/>
    </row>
    <row r="79" spans="1:37" ht="15">
      <c r="A79" s="2871" t="s">
        <v>2967</v>
      </c>
      <c r="B79" s="2872">
        <f>1+E81</f>
        <v>1</v>
      </c>
      <c r="C79" s="810"/>
      <c r="D79" s="810"/>
      <c r="E79" s="811"/>
      <c r="F79" s="2874"/>
      <c r="G79" s="6"/>
      <c r="H79" s="6"/>
      <c r="I79" s="6"/>
      <c r="J79" s="7"/>
      <c r="K79" s="7"/>
      <c r="L79" s="7"/>
      <c r="M79" s="7"/>
      <c r="N79" s="7"/>
      <c r="Z79" s="2717"/>
      <c r="AA79" s="2793"/>
      <c r="AG79" s="1371"/>
      <c r="AK79" s="2793"/>
    </row>
    <row r="80" spans="1:37" ht="24.75">
      <c r="A80" s="2875" t="s">
        <v>2941</v>
      </c>
      <c r="B80" s="2944"/>
      <c r="C80" s="2944" t="s">
        <v>2943</v>
      </c>
      <c r="D80" s="2944" t="s">
        <v>2944</v>
      </c>
      <c r="E80" s="815" t="s">
        <v>2945</v>
      </c>
      <c r="F80" s="2876" t="s">
        <v>2961</v>
      </c>
      <c r="G80" s="2944" t="s">
        <v>754</v>
      </c>
      <c r="H80" s="2877" t="s">
        <v>2947</v>
      </c>
      <c r="I80" s="2944" t="s">
        <v>2948</v>
      </c>
      <c r="J80" s="603" t="s">
        <v>2599</v>
      </c>
      <c r="K80" s="603" t="s">
        <v>2600</v>
      </c>
      <c r="L80" s="603" t="s">
        <v>2601</v>
      </c>
      <c r="M80" s="603" t="s">
        <v>2602</v>
      </c>
      <c r="N80" s="603" t="s">
        <v>2603</v>
      </c>
      <c r="Z80" s="2717"/>
      <c r="AA80" s="2793"/>
      <c r="AG80" s="1371"/>
      <c r="AK80" s="2793"/>
    </row>
    <row r="81" spans="1:37" ht="38.25">
      <c r="A81" s="2875" t="s">
        <v>2968</v>
      </c>
      <c r="B81" s="2879" t="str">
        <f>估价对象房地状况!G15</f>
        <v>估价对象位于XX开发区，园区建设成熟度XX，产业集聚程度XX</v>
      </c>
      <c r="C81" s="2767"/>
      <c r="D81" s="1285">
        <f t="shared" ref="D81:D88" si="26">SUMIF($J$80:$N$80,C81,J81:N81)</f>
        <v>0</v>
      </c>
      <c r="E81" s="817">
        <f>ROUND(SUM(D81:D88),4)</f>
        <v>0</v>
      </c>
      <c r="F81" s="2498" t="str">
        <f>IF(E2="工业",SUMIF(L1:L12,G2,N1:N12),"——")</f>
        <v>——</v>
      </c>
      <c r="G81" s="1283"/>
      <c r="H81" s="1287" t="str">
        <f t="shared" ref="H81:H88" si="27">IFERROR(ROUNDDOWN($F$81*I81/2,4),"——")</f>
        <v>——</v>
      </c>
      <c r="I81" s="816">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2950</v>
      </c>
      <c r="B82" s="2879" t="str">
        <f>估价对象房地状况!G16</f>
        <v>估价对象周边道路状况、公共交通通达情况、停车便捷程度，综合评价交通便捷度较好</v>
      </c>
      <c r="C82" s="2767"/>
      <c r="D82" s="1285">
        <f t="shared" si="26"/>
        <v>0</v>
      </c>
      <c r="E82" s="822"/>
      <c r="F82" s="2498"/>
      <c r="G82" s="1283"/>
      <c r="H82" s="1287" t="str">
        <f t="shared" si="27"/>
        <v>——</v>
      </c>
      <c r="I82" s="816">
        <v>0.33</v>
      </c>
      <c r="J82" s="1284">
        <f t="shared" si="28"/>
        <v>0</v>
      </c>
      <c r="K82" s="1284">
        <f t="shared" si="29"/>
        <v>0</v>
      </c>
      <c r="L82" s="1284">
        <v>0</v>
      </c>
      <c r="M82" s="1284">
        <f t="shared" si="30"/>
        <v>0</v>
      </c>
      <c r="N82" s="1284">
        <f t="shared" si="30"/>
        <v>0</v>
      </c>
      <c r="Z82" s="2717"/>
      <c r="AA82" s="2793"/>
      <c r="AG82" s="1371"/>
      <c r="AK82" s="2793"/>
    </row>
    <row r="83" spans="1:37" ht="24">
      <c r="A83" s="2875" t="s">
        <v>2951</v>
      </c>
      <c r="B83" s="2879">
        <f>估价对象房地状况!G17</f>
        <v>0</v>
      </c>
      <c r="C83" s="2767"/>
      <c r="D83" s="1285">
        <f t="shared" si="26"/>
        <v>0</v>
      </c>
      <c r="E83" s="822"/>
      <c r="F83" s="2498"/>
      <c r="G83" s="1283"/>
      <c r="H83" s="1287" t="str">
        <f t="shared" si="27"/>
        <v>——</v>
      </c>
      <c r="I83" s="816">
        <v>0.05</v>
      </c>
      <c r="J83" s="1284">
        <f t="shared" si="28"/>
        <v>0</v>
      </c>
      <c r="K83" s="1284">
        <f t="shared" si="29"/>
        <v>0</v>
      </c>
      <c r="L83" s="1284">
        <v>0</v>
      </c>
      <c r="M83" s="1284">
        <f t="shared" si="30"/>
        <v>0</v>
      </c>
      <c r="N83" s="1284">
        <f t="shared" si="30"/>
        <v>0</v>
      </c>
      <c r="Z83" s="2717"/>
      <c r="AA83" s="2793"/>
      <c r="AG83" s="1371"/>
      <c r="AK83" s="2793"/>
    </row>
    <row r="84" spans="1:37" ht="14.25">
      <c r="A84" s="2875" t="s">
        <v>2965</v>
      </c>
      <c r="B84" s="2879">
        <f>估价对象房地状况!G22</f>
        <v>0</v>
      </c>
      <c r="C84" s="2767"/>
      <c r="D84" s="1285">
        <f t="shared" si="26"/>
        <v>0</v>
      </c>
      <c r="E84" s="822"/>
      <c r="F84" s="2498"/>
      <c r="G84" s="1283"/>
      <c r="H84" s="1287" t="str">
        <f t="shared" si="27"/>
        <v>——</v>
      </c>
      <c r="I84" s="816">
        <v>0.04</v>
      </c>
      <c r="J84" s="1284">
        <f t="shared" si="28"/>
        <v>0</v>
      </c>
      <c r="K84" s="1284">
        <f t="shared" si="29"/>
        <v>0</v>
      </c>
      <c r="L84" s="1284">
        <v>0</v>
      </c>
      <c r="M84" s="1284">
        <f t="shared" si="30"/>
        <v>0</v>
      </c>
      <c r="N84" s="1284">
        <f t="shared" si="30"/>
        <v>0</v>
      </c>
      <c r="Z84" s="2717"/>
      <c r="AA84" s="2793"/>
      <c r="AG84" s="1371"/>
      <c r="AK84" s="2793"/>
    </row>
    <row r="85" spans="1:37" ht="25.5">
      <c r="A85" s="2875" t="s">
        <v>2957</v>
      </c>
      <c r="B85" s="1723" t="str">
        <f>估价对象房地状况!G19</f>
        <v>估价对象所在区域公共配套设施齐备情况</v>
      </c>
      <c r="C85" s="2767"/>
      <c r="D85" s="1285">
        <f t="shared" si="26"/>
        <v>0</v>
      </c>
      <c r="E85" s="822"/>
      <c r="F85" s="2498"/>
      <c r="G85" s="1283"/>
      <c r="H85" s="1287" t="str">
        <f t="shared" si="27"/>
        <v>——</v>
      </c>
      <c r="I85" s="816">
        <v>0.06</v>
      </c>
      <c r="J85" s="1284">
        <f t="shared" si="28"/>
        <v>0</v>
      </c>
      <c r="K85" s="1284">
        <f t="shared" si="29"/>
        <v>0</v>
      </c>
      <c r="L85" s="1284">
        <v>0</v>
      </c>
      <c r="M85" s="1284">
        <f t="shared" si="30"/>
        <v>0</v>
      </c>
      <c r="N85" s="1284">
        <f t="shared" si="30"/>
        <v>0</v>
      </c>
      <c r="Z85" s="2717"/>
      <c r="AA85" s="2793"/>
      <c r="AG85" s="1371"/>
      <c r="AK85" s="2793"/>
    </row>
    <row r="86" spans="1:37" ht="25.5">
      <c r="A86" s="2875" t="s">
        <v>2958</v>
      </c>
      <c r="B86" s="1723" t="str">
        <f>估价对象房地状况!G20</f>
        <v>估价对象所在区域基础设施水平</v>
      </c>
      <c r="C86" s="2767"/>
      <c r="D86" s="1285">
        <f t="shared" si="26"/>
        <v>0</v>
      </c>
      <c r="E86" s="822"/>
      <c r="F86" s="2498"/>
      <c r="G86" s="1283"/>
      <c r="H86" s="1287" t="str">
        <f t="shared" si="27"/>
        <v>——</v>
      </c>
      <c r="I86" s="816">
        <v>0.15</v>
      </c>
      <c r="J86" s="1284">
        <f t="shared" si="28"/>
        <v>0</v>
      </c>
      <c r="K86" s="1284">
        <f t="shared" si="29"/>
        <v>0</v>
      </c>
      <c r="L86" s="1284">
        <v>0</v>
      </c>
      <c r="M86" s="1284">
        <f t="shared" si="30"/>
        <v>0</v>
      </c>
      <c r="N86" s="1284">
        <f t="shared" si="30"/>
        <v>0</v>
      </c>
      <c r="Z86" s="2717"/>
      <c r="AA86" s="2793"/>
      <c r="AG86" s="1371"/>
      <c r="AK86" s="2793"/>
    </row>
    <row r="87" spans="1:37" ht="24">
      <c r="A87" s="2875" t="s">
        <v>2955</v>
      </c>
      <c r="B87" s="2881" t="s">
        <v>2969</v>
      </c>
      <c r="C87" s="2767"/>
      <c r="D87" s="1285">
        <f t="shared" si="26"/>
        <v>0</v>
      </c>
      <c r="E87" s="822"/>
      <c r="F87" s="2498"/>
      <c r="G87" s="1283"/>
      <c r="H87" s="1287" t="str">
        <f t="shared" si="27"/>
        <v>——</v>
      </c>
      <c r="I87" s="816">
        <v>0.05</v>
      </c>
      <c r="J87" s="1284">
        <f t="shared" si="28"/>
        <v>0</v>
      </c>
      <c r="K87" s="1284">
        <f t="shared" si="29"/>
        <v>0</v>
      </c>
      <c r="L87" s="1284">
        <v>0</v>
      </c>
      <c r="M87" s="1284">
        <f t="shared" si="30"/>
        <v>0</v>
      </c>
      <c r="N87" s="1284">
        <f t="shared" si="30"/>
        <v>0</v>
      </c>
      <c r="Z87" s="2717"/>
      <c r="AA87" s="2793"/>
      <c r="AG87" s="1371"/>
      <c r="AK87" s="2793"/>
    </row>
    <row r="88" spans="1:37" ht="39" thickBot="1">
      <c r="A88" s="2883" t="s">
        <v>2970</v>
      </c>
      <c r="B88" s="2888" t="str">
        <f>估价对象房地状况!G18</f>
        <v>该园区内是否有污染型企业，绿化情况，卫生条件，整体环境状况判断</v>
      </c>
      <c r="C88" s="2767"/>
      <c r="D88" s="1285">
        <f t="shared" si="26"/>
        <v>0</v>
      </c>
      <c r="E88" s="823"/>
      <c r="F88" s="2498"/>
      <c r="G88" s="1283"/>
      <c r="H88" s="1287" t="str">
        <f t="shared" si="27"/>
        <v>——</v>
      </c>
      <c r="I88" s="820">
        <v>0.06</v>
      </c>
      <c r="J88" s="1284">
        <f t="shared" si="28"/>
        <v>0</v>
      </c>
      <c r="K88" s="1284">
        <f t="shared" si="29"/>
        <v>0</v>
      </c>
      <c r="L88" s="1284">
        <v>0</v>
      </c>
      <c r="M88" s="1284">
        <f t="shared" si="30"/>
        <v>0</v>
      </c>
      <c r="N88" s="1284">
        <f t="shared" si="30"/>
        <v>0</v>
      </c>
      <c r="Z88" s="2717"/>
      <c r="AA88" s="2793"/>
      <c r="AG88" s="1371"/>
      <c r="AK88" s="2793"/>
    </row>
    <row r="90" spans="1:37">
      <c r="A90" s="3263" t="s">
        <v>2971</v>
      </c>
      <c r="B90" s="3263"/>
      <c r="C90" s="3263"/>
      <c r="D90" s="3263"/>
      <c r="E90" s="3263"/>
      <c r="F90" s="3263"/>
      <c r="G90" s="3263"/>
      <c r="H90" s="3263"/>
      <c r="I90" s="3263"/>
      <c r="J90" s="3263"/>
      <c r="K90" s="2953"/>
      <c r="L90" s="2953"/>
      <c r="M90" s="2953"/>
      <c r="N90" s="2953"/>
    </row>
    <row r="91" spans="1:37">
      <c r="A91" s="3265" t="s">
        <v>2972</v>
      </c>
      <c r="B91" s="3265" t="s">
        <v>2973</v>
      </c>
      <c r="C91" s="2843" t="s">
        <v>2974</v>
      </c>
      <c r="D91" s="2844"/>
      <c r="E91" s="2844"/>
      <c r="F91" s="2844"/>
      <c r="G91" s="2844"/>
      <c r="H91" s="2844"/>
      <c r="I91" s="2844"/>
      <c r="J91" s="2890"/>
      <c r="K91" s="2891"/>
      <c r="L91" s="2891"/>
      <c r="M91" s="2891"/>
      <c r="N91" s="2891"/>
    </row>
    <row r="92" spans="1:37">
      <c r="A92" s="3265"/>
      <c r="B92" s="3265"/>
      <c r="C92" s="2955" t="s">
        <v>2840</v>
      </c>
      <c r="D92" s="2955" t="s">
        <v>2841</v>
      </c>
      <c r="E92" s="2955" t="s">
        <v>2842</v>
      </c>
      <c r="F92" s="2955" t="s">
        <v>2843</v>
      </c>
      <c r="G92" s="2955" t="s">
        <v>2844</v>
      </c>
      <c r="H92" s="2955" t="s">
        <v>2845</v>
      </c>
      <c r="I92" s="2955" t="s">
        <v>2846</v>
      </c>
      <c r="J92" s="2955" t="s">
        <v>2847</v>
      </c>
      <c r="K92" s="2955" t="s">
        <v>2848</v>
      </c>
      <c r="L92" s="2955" t="s">
        <v>2849</v>
      </c>
      <c r="M92" s="2955" t="s">
        <v>2850</v>
      </c>
      <c r="N92" s="2955" t="s">
        <v>2851</v>
      </c>
    </row>
    <row r="93" spans="1:37">
      <c r="A93" s="3266"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7"/>
      <c r="B99" s="2892" t="s">
        <v>2856</v>
      </c>
      <c r="C99" s="2894">
        <f>$I$3</f>
        <v>0</v>
      </c>
      <c r="D99" s="2894">
        <f t="shared" ref="D99:M99" si="31">$I$3</f>
        <v>0</v>
      </c>
      <c r="E99" s="2894">
        <f t="shared" si="31"/>
        <v>0</v>
      </c>
      <c r="F99" s="2894">
        <f t="shared" si="31"/>
        <v>0</v>
      </c>
      <c r="G99" s="2894">
        <f t="shared" si="31"/>
        <v>0</v>
      </c>
      <c r="H99" s="2894">
        <f t="shared" si="31"/>
        <v>0</v>
      </c>
      <c r="I99" s="2894">
        <f t="shared" si="31"/>
        <v>0</v>
      </c>
      <c r="J99" s="2894">
        <f t="shared" si="31"/>
        <v>0</v>
      </c>
      <c r="K99" s="2894">
        <f t="shared" si="31"/>
        <v>0</v>
      </c>
      <c r="L99" s="2894">
        <f t="shared" si="31"/>
        <v>0</v>
      </c>
      <c r="M99" s="2894">
        <f t="shared" si="31"/>
        <v>0</v>
      </c>
      <c r="N99" s="2894">
        <f>$I$3</f>
        <v>0</v>
      </c>
    </row>
    <row r="100" spans="1:14">
      <c r="A100" s="326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66" t="s">
        <v>2976</v>
      </c>
      <c r="B101" s="2896" t="s">
        <v>2977</v>
      </c>
      <c r="C101" s="2897">
        <f>$G$3</f>
        <v>3.5</v>
      </c>
      <c r="D101" s="2897">
        <f t="shared" ref="D101:N101" si="32">$G$3</f>
        <v>3.5</v>
      </c>
      <c r="E101" s="2897">
        <f t="shared" si="32"/>
        <v>3.5</v>
      </c>
      <c r="F101" s="2897">
        <f t="shared" si="32"/>
        <v>3.5</v>
      </c>
      <c r="G101" s="2897">
        <f t="shared" si="32"/>
        <v>3.5</v>
      </c>
      <c r="H101" s="2897">
        <f t="shared" si="32"/>
        <v>3.5</v>
      </c>
      <c r="I101" s="2897">
        <f t="shared" si="32"/>
        <v>3.5</v>
      </c>
      <c r="J101" s="2897">
        <f t="shared" si="32"/>
        <v>3.5</v>
      </c>
      <c r="K101" s="2897">
        <f t="shared" si="32"/>
        <v>3.5</v>
      </c>
      <c r="L101" s="2897">
        <f t="shared" si="32"/>
        <v>3.5</v>
      </c>
      <c r="M101" s="2897">
        <f t="shared" si="32"/>
        <v>3.5</v>
      </c>
      <c r="N101" s="2897">
        <f t="shared" si="32"/>
        <v>3.5</v>
      </c>
    </row>
    <row r="102" spans="1:14">
      <c r="A102" s="3267"/>
      <c r="B102" s="2892">
        <v>1</v>
      </c>
      <c r="C102" s="2893">
        <f>1.9362/C101</f>
        <v>0.55320000000000003</v>
      </c>
      <c r="D102" s="2893">
        <f>1.9362/D101</f>
        <v>0.55320000000000003</v>
      </c>
      <c r="E102" s="2893">
        <f>1.8629/E101</f>
        <v>0.53225714285714287</v>
      </c>
      <c r="F102" s="2893">
        <f>1.8629/F101</f>
        <v>0.53225714285714287</v>
      </c>
      <c r="G102" s="2893">
        <f>1.8629/G101</f>
        <v>0.53225714285714287</v>
      </c>
      <c r="H102" s="2893">
        <f>1.8629/H101</f>
        <v>0.53225714285714287</v>
      </c>
      <c r="I102" s="2893">
        <f>1.8629/I101</f>
        <v>0.53225714285714287</v>
      </c>
      <c r="J102" s="2893">
        <f>1.942/J101</f>
        <v>0.55485714285714283</v>
      </c>
      <c r="K102" s="2893">
        <f>1.942/K101</f>
        <v>0.55485714285714283</v>
      </c>
      <c r="L102" s="2893">
        <f>1.942/L101</f>
        <v>0.55485714285714283</v>
      </c>
      <c r="M102" s="2893">
        <f>1.942/M101</f>
        <v>0.55485714285714283</v>
      </c>
      <c r="N102" s="2893">
        <f>1.942/N101</f>
        <v>0.55485714285714283</v>
      </c>
    </row>
    <row r="103" spans="1:14">
      <c r="A103" s="3267"/>
      <c r="B103" s="2892">
        <v>2</v>
      </c>
      <c r="C103" s="2893">
        <f>1.4198/C101</f>
        <v>0.40565714285714283</v>
      </c>
      <c r="D103" s="2893">
        <f>1.4198/D101</f>
        <v>0.40565714285714283</v>
      </c>
      <c r="E103" s="2893">
        <f>1.3372/E101</f>
        <v>0.38205714285714282</v>
      </c>
      <c r="F103" s="2893">
        <f>1.3372/F101</f>
        <v>0.38205714285714282</v>
      </c>
      <c r="G103" s="2893">
        <f>1.3372/G101</f>
        <v>0.38205714285714282</v>
      </c>
      <c r="H103" s="2893">
        <f>1.3372/H101</f>
        <v>0.38205714285714282</v>
      </c>
      <c r="I103" s="2893">
        <f>1.3372/I101</f>
        <v>0.38205714285714282</v>
      </c>
      <c r="J103" s="2893">
        <f>1.2799/J101</f>
        <v>0.36568571428571428</v>
      </c>
      <c r="K103" s="2893">
        <f>1.2799/K101</f>
        <v>0.36568571428571428</v>
      </c>
      <c r="L103" s="2893">
        <f>1.2799/L101</f>
        <v>0.36568571428571428</v>
      </c>
      <c r="M103" s="2893">
        <f>1.2799/M101</f>
        <v>0.36568571428571428</v>
      </c>
      <c r="N103" s="2893">
        <f>1.2799/N101</f>
        <v>0.36568571428571428</v>
      </c>
    </row>
    <row r="104" spans="1:14">
      <c r="A104" s="3267"/>
      <c r="B104" s="2892">
        <v>3</v>
      </c>
      <c r="C104" s="2893">
        <f>1.1594/C101</f>
        <v>0.33125714285714286</v>
      </c>
      <c r="D104" s="2893">
        <f>1.1594/D101</f>
        <v>0.33125714285714286</v>
      </c>
      <c r="E104" s="2893">
        <f>1.0788/E101</f>
        <v>0.30822857142857141</v>
      </c>
      <c r="F104" s="2893">
        <f>1.0788/F101</f>
        <v>0.30822857142857141</v>
      </c>
      <c r="G104" s="2893">
        <f>1.0788/G101</f>
        <v>0.30822857142857141</v>
      </c>
      <c r="H104" s="2893">
        <f>1.0788/H101</f>
        <v>0.30822857142857141</v>
      </c>
      <c r="I104" s="2893">
        <f>1.0788/I101</f>
        <v>0.30822857142857141</v>
      </c>
      <c r="J104" s="2893">
        <f>1.0072/J101</f>
        <v>0.28777142857142862</v>
      </c>
      <c r="K104" s="2893">
        <f>1.0072/K101</f>
        <v>0.28777142857142862</v>
      </c>
      <c r="L104" s="2893">
        <f>1.0072/L101</f>
        <v>0.28777142857142862</v>
      </c>
      <c r="M104" s="2893">
        <f>1.0072/M101</f>
        <v>0.28777142857142862</v>
      </c>
      <c r="N104" s="2893">
        <f>1.0072/N101</f>
        <v>0.28777142857142862</v>
      </c>
    </row>
    <row r="105" spans="1:14">
      <c r="A105" s="3267"/>
      <c r="B105" s="2892">
        <v>4</v>
      </c>
      <c r="C105" s="2893">
        <f>0.9622/C101</f>
        <v>0.27491428571428572</v>
      </c>
      <c r="D105" s="2893">
        <f>0.9622/D101</f>
        <v>0.27491428571428572</v>
      </c>
      <c r="E105" s="2893">
        <f>0.8656/E101</f>
        <v>0.24731428571428574</v>
      </c>
      <c r="F105" s="2893">
        <f>0.8656/F101</f>
        <v>0.24731428571428574</v>
      </c>
      <c r="G105" s="2893">
        <f>0.8656/G101</f>
        <v>0.24731428571428574</v>
      </c>
      <c r="H105" s="2893">
        <f>0.8656/H101</f>
        <v>0.24731428571428574</v>
      </c>
      <c r="I105" s="2893">
        <f>0.8656/I101</f>
        <v>0.24731428571428574</v>
      </c>
      <c r="J105" s="2893">
        <f>0.7525/J101</f>
        <v>0.215</v>
      </c>
      <c r="K105" s="2893">
        <f>0.7525/K101</f>
        <v>0.215</v>
      </c>
      <c r="L105" s="2893">
        <f>0.7525/L101</f>
        <v>0.215</v>
      </c>
      <c r="M105" s="2893">
        <f>0.7525/M101</f>
        <v>0.215</v>
      </c>
      <c r="N105" s="2893">
        <f>0.7525/N101</f>
        <v>0.215</v>
      </c>
    </row>
    <row r="106" spans="1:14">
      <c r="A106" s="3267"/>
      <c r="B106" s="2892">
        <v>5</v>
      </c>
      <c r="C106" s="2893">
        <f>0.8417/C101</f>
        <v>0.24048571428571427</v>
      </c>
      <c r="D106" s="2893">
        <f>0.8417/D101</f>
        <v>0.24048571428571427</v>
      </c>
      <c r="E106" s="2893">
        <f>0.7371/E101</f>
        <v>0.21059999999999998</v>
      </c>
      <c r="F106" s="2893">
        <f>0.7371/F101</f>
        <v>0.21059999999999998</v>
      </c>
      <c r="G106" s="2893">
        <f>0.7371/G101</f>
        <v>0.21059999999999998</v>
      </c>
      <c r="H106" s="2893">
        <f>0.7371/H101</f>
        <v>0.21059999999999998</v>
      </c>
      <c r="I106" s="2893">
        <f>0.7371/I101</f>
        <v>0.21059999999999998</v>
      </c>
      <c r="J106" s="2893">
        <f>0.5659/J101</f>
        <v>0.16168571428571427</v>
      </c>
      <c r="K106" s="2893">
        <f>0.5659/K101</f>
        <v>0.16168571428571427</v>
      </c>
      <c r="L106" s="2893">
        <f>0.5659/L101</f>
        <v>0.16168571428571427</v>
      </c>
      <c r="M106" s="2893">
        <f>0.5659/M101</f>
        <v>0.16168571428571427</v>
      </c>
      <c r="N106" s="2893">
        <f>0.5659/N101</f>
        <v>0.16168571428571427</v>
      </c>
    </row>
    <row r="107" spans="1:14">
      <c r="A107" s="3267"/>
      <c r="B107" s="2892">
        <v>6</v>
      </c>
      <c r="C107" s="2893">
        <f>0.7608/C101</f>
        <v>0.21737142857142858</v>
      </c>
      <c r="D107" s="2893">
        <f>0.7608/D101</f>
        <v>0.21737142857142858</v>
      </c>
      <c r="E107" s="2893">
        <f>0.6482/E101</f>
        <v>0.1852</v>
      </c>
      <c r="F107" s="2893">
        <f>0.6482/F101</f>
        <v>0.1852</v>
      </c>
      <c r="G107" s="2893">
        <f>0.6482/G101</f>
        <v>0.1852</v>
      </c>
      <c r="H107" s="2893">
        <f>0.6482/H101</f>
        <v>0.1852</v>
      </c>
      <c r="I107" s="2893">
        <f>0.6482/I101</f>
        <v>0.1852</v>
      </c>
      <c r="J107" s="2893">
        <f>0.4525/J101</f>
        <v>0.12928571428571428</v>
      </c>
      <c r="K107" s="2893">
        <f>0.4525/K101</f>
        <v>0.12928571428571428</v>
      </c>
      <c r="L107" s="2893">
        <f>0.4525/L101</f>
        <v>0.12928571428571428</v>
      </c>
      <c r="M107" s="2893">
        <f>0.4525/M101</f>
        <v>0.12928571428571428</v>
      </c>
      <c r="N107" s="2893">
        <f>0.4525/N101</f>
        <v>0.12928571428571428</v>
      </c>
    </row>
    <row r="108" spans="1:14">
      <c r="A108" s="3267"/>
      <c r="B108" s="3149" t="s">
        <v>2869</v>
      </c>
      <c r="C108" s="2894">
        <f>C99</f>
        <v>0</v>
      </c>
      <c r="D108" s="2894">
        <f t="shared" ref="D108:N108" si="33">D99</f>
        <v>0</v>
      </c>
      <c r="E108" s="2894">
        <f t="shared" si="33"/>
        <v>0</v>
      </c>
      <c r="F108" s="2894">
        <f t="shared" si="33"/>
        <v>0</v>
      </c>
      <c r="G108" s="2894">
        <f t="shared" si="33"/>
        <v>0</v>
      </c>
      <c r="H108" s="2894">
        <f t="shared" si="33"/>
        <v>0</v>
      </c>
      <c r="I108" s="2894">
        <f t="shared" si="33"/>
        <v>0</v>
      </c>
      <c r="J108" s="2894">
        <f t="shared" si="33"/>
        <v>0</v>
      </c>
      <c r="K108" s="2894">
        <f t="shared" si="33"/>
        <v>0</v>
      </c>
      <c r="L108" s="2894">
        <f t="shared" si="33"/>
        <v>0</v>
      </c>
      <c r="M108" s="2894">
        <f t="shared" si="33"/>
        <v>0</v>
      </c>
      <c r="N108" s="2894">
        <f t="shared" si="33"/>
        <v>0</v>
      </c>
    </row>
    <row r="109" spans="1:14">
      <c r="A109" s="3268"/>
      <c r="B109" s="3150"/>
      <c r="C109" s="2895">
        <f>(-0.163*(C108^2)-0.59*C108+7617)*(10^(-4))/C101</f>
        <v>0.21762857142857145</v>
      </c>
      <c r="D109" s="2895">
        <f>(-0.163*(D108^2)-0.59*D108+7617)*(10^(-4))/D101</f>
        <v>0.21762857142857145</v>
      </c>
      <c r="E109" s="2895">
        <f>(-0.161*(E108^2)-7.509*E108+6533)*(10^(-4))/E101</f>
        <v>0.18665714285714285</v>
      </c>
      <c r="F109" s="2895">
        <f>(-0.161*(F108^2)-7.509*F108+6533)*(10^(-4))/F101</f>
        <v>0.18665714285714285</v>
      </c>
      <c r="G109" s="2895">
        <f>(-0.161*(G108^2)-7.509*G108+6533)*(10^(-4))/G101</f>
        <v>0.18665714285714285</v>
      </c>
      <c r="H109" s="2895">
        <f>(-0.161*(H108^2)-7.509*H108+6533)*(10^(-4))/H101</f>
        <v>0.18665714285714285</v>
      </c>
      <c r="I109" s="2895">
        <f>(-0.161*(I108^2)-7.509*I108+6533)*(10^(-4))/I101</f>
        <v>0.18665714285714285</v>
      </c>
      <c r="J109" s="2895">
        <f>(-0.214*(J108^2)-21.991*J108+4665)*(10^(-4))/J101</f>
        <v>0.13328571428571429</v>
      </c>
      <c r="K109" s="2895">
        <f>(-0.214*(K108^2)-21.991*K108+4665)*(10^(-4))/K101</f>
        <v>0.13328571428571429</v>
      </c>
      <c r="L109" s="2895">
        <f>(-0.214*(L108^2)-21.991*L108+4665)*(10^(-4))/L101</f>
        <v>0.13328571428571429</v>
      </c>
      <c r="M109" s="2895">
        <f>(-0.214*(M108^2)-21.991*M108+4665)*(10^(-4))/M101</f>
        <v>0.13328571428571429</v>
      </c>
      <c r="N109" s="2895">
        <f>(-0.214*(N108^2)-21.991*N108+4665)*(10^(-4))/N101</f>
        <v>0.13328571428571429</v>
      </c>
    </row>
    <row r="110" spans="1:14">
      <c r="A110" s="3264" t="s">
        <v>2979</v>
      </c>
      <c r="B110" s="3264"/>
      <c r="C110" s="3264"/>
      <c r="D110" s="3264"/>
      <c r="E110" s="3264"/>
      <c r="F110" s="3264"/>
      <c r="G110" s="3264"/>
      <c r="H110" s="3264"/>
      <c r="I110" s="3264"/>
      <c r="J110" s="3264"/>
      <c r="K110" s="2954"/>
      <c r="L110" s="2954"/>
      <c r="M110" s="2954"/>
      <c r="N110" s="2954"/>
    </row>
    <row r="112" spans="1:14" ht="13.5" thickBot="1"/>
    <row r="113" spans="1:13" ht="25.5" thickBot="1">
      <c r="A113" s="899" t="s">
        <v>2980</v>
      </c>
      <c r="B113" s="1286">
        <f>G3</f>
        <v>3.5</v>
      </c>
      <c r="C113" s="900" t="s">
        <v>2981</v>
      </c>
      <c r="D113" s="901">
        <f>SUMPRODUCT((A115:A118=F113)*(B114:M114=H113)*B115:M118)</f>
        <v>0.81120000000000003</v>
      </c>
      <c r="E113" s="2721" t="s">
        <v>2814</v>
      </c>
      <c r="F113" s="2900" t="str">
        <f>E2</f>
        <v>办公</v>
      </c>
      <c r="G113" s="2721" t="s">
        <v>2815</v>
      </c>
      <c r="H113" s="2900" t="str">
        <f>G2</f>
        <v>七级</v>
      </c>
      <c r="I113" s="2721"/>
      <c r="J113" s="2901"/>
      <c r="K113" s="2901"/>
      <c r="L113" s="2901"/>
      <c r="M113" s="2901"/>
    </row>
    <row r="114" spans="1:13">
      <c r="A114" s="904"/>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5" t="s">
        <v>2878</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4">I115</f>
        <v>0.63480000000000003</v>
      </c>
      <c r="K115" s="906">
        <f t="shared" si="34"/>
        <v>0.63480000000000003</v>
      </c>
      <c r="L115" s="906">
        <f t="shared" si="34"/>
        <v>0.63480000000000003</v>
      </c>
      <c r="M115" s="907">
        <f t="shared" si="34"/>
        <v>0.63480000000000003</v>
      </c>
    </row>
    <row r="116" spans="1:13">
      <c r="A116" s="905" t="s">
        <v>2879</v>
      </c>
      <c r="B116" s="906">
        <f>ROUND(0.949-0.012*B113,4)</f>
        <v>0.90700000000000003</v>
      </c>
      <c r="C116" s="906">
        <f>B116</f>
        <v>0.90700000000000003</v>
      </c>
      <c r="D116" s="906">
        <f>ROUND(0.8567-0.013*B113,4)</f>
        <v>0.81120000000000003</v>
      </c>
      <c r="E116" s="906">
        <f t="shared" ref="E116:H117" si="35">D116</f>
        <v>0.81120000000000003</v>
      </c>
      <c r="F116" s="906">
        <f t="shared" si="35"/>
        <v>0.81120000000000003</v>
      </c>
      <c r="G116" s="906">
        <f t="shared" si="35"/>
        <v>0.81120000000000003</v>
      </c>
      <c r="H116" s="906">
        <f t="shared" si="35"/>
        <v>0.81120000000000003</v>
      </c>
      <c r="I116" s="906">
        <f>ROUND(0.7694-0.014*B113,4)</f>
        <v>0.72040000000000004</v>
      </c>
      <c r="J116" s="906">
        <f t="shared" si="34"/>
        <v>0.72040000000000004</v>
      </c>
      <c r="K116" s="906">
        <f t="shared" si="34"/>
        <v>0.72040000000000004</v>
      </c>
      <c r="L116" s="906">
        <f t="shared" si="34"/>
        <v>0.72040000000000004</v>
      </c>
      <c r="M116" s="907">
        <f t="shared" si="34"/>
        <v>0.72040000000000004</v>
      </c>
    </row>
    <row r="117" spans="1:13">
      <c r="A117" s="905" t="s">
        <v>2880</v>
      </c>
      <c r="B117" s="906">
        <f>ROUND(0.8808-0.006*B113,4)</f>
        <v>0.85980000000000001</v>
      </c>
      <c r="C117" s="906">
        <f>B117</f>
        <v>0.85980000000000001</v>
      </c>
      <c r="D117" s="906">
        <f>ROUND(0.8748-0.008*B113,4)</f>
        <v>0.8468</v>
      </c>
      <c r="E117" s="906">
        <f t="shared" si="35"/>
        <v>0.8468</v>
      </c>
      <c r="F117" s="906">
        <f t="shared" si="35"/>
        <v>0.8468</v>
      </c>
      <c r="G117" s="906">
        <f t="shared" si="35"/>
        <v>0.8468</v>
      </c>
      <c r="H117" s="906">
        <f t="shared" si="35"/>
        <v>0.8468</v>
      </c>
      <c r="I117" s="906">
        <f>ROUND(0.7412-0.0095*B113,4)</f>
        <v>0.70799999999999996</v>
      </c>
      <c r="J117" s="906">
        <f t="shared" si="34"/>
        <v>0.70799999999999996</v>
      </c>
      <c r="K117" s="906">
        <f t="shared" si="34"/>
        <v>0.70799999999999996</v>
      </c>
      <c r="L117" s="906">
        <f t="shared" si="34"/>
        <v>0.70799999999999996</v>
      </c>
      <c r="M117" s="907">
        <f t="shared" si="34"/>
        <v>0.70799999999999996</v>
      </c>
    </row>
    <row r="118" spans="1:13" ht="13.5" thickBot="1">
      <c r="A118" s="713" t="s">
        <v>2881</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4"/>
        <v>0.51910000000000001</v>
      </c>
      <c r="K118" s="908">
        <f t="shared" si="34"/>
        <v>0.51910000000000001</v>
      </c>
      <c r="L118" s="908">
        <f t="shared" si="34"/>
        <v>0.51910000000000001</v>
      </c>
      <c r="M118" s="909">
        <f t="shared" si="34"/>
        <v>0.51910000000000001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47" sqref="F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79" t="s">
        <v>2644</v>
      </c>
      <c r="C1" s="1632" t="s">
        <v>2532</v>
      </c>
      <c r="D1" s="3021" t="s">
        <v>4104</v>
      </c>
      <c r="E1" s="2654"/>
      <c r="F1" s="2581" t="s">
        <v>3388</v>
      </c>
      <c r="G1" s="1629" t="s">
        <v>2645</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2329</v>
      </c>
      <c r="B2" s="1417">
        <f>IF(C2="——",ROUND(C49*D3/10000,0),ROUND(C49*D3/10000,0)-D2)</f>
        <v>3103</v>
      </c>
      <c r="C2" s="2583" t="s">
        <v>70</v>
      </c>
      <c r="D2" s="1364" t="e">
        <f ca="1">SUMIF(INDIRECT("'"&amp;F2&amp;"'"&amp;"!A:A"),"承租人权益价值",INDIRECT("'"&amp;F2&amp;"'"&amp;"!c:c"))</f>
        <v>#REF!</v>
      </c>
      <c r="E2" s="2584" t="s">
        <v>2330</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2331</v>
      </c>
      <c r="B3" s="609">
        <f>IF(C2="——",C49,ROUND(B2*10000/D3,0))</f>
        <v>53289</v>
      </c>
      <c r="C3" s="400" t="s">
        <v>2646</v>
      </c>
      <c r="D3" s="399">
        <f>IF(D1="",'数据-汇总表'!E3,SUMIF('数据-汇总表'!$C19:$C33,D1,'数据-汇总表'!$E19:$E33))</f>
        <v>582.23</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48" t="s">
        <v>2650</v>
      </c>
      <c r="AC4" s="3218" t="s">
        <v>2651</v>
      </c>
    </row>
    <row r="5" spans="1:29" ht="15.75" thickBot="1">
      <c r="A5" s="404"/>
      <c r="B5" s="405"/>
      <c r="C5" s="3229" t="s">
        <v>2544</v>
      </c>
      <c r="D5" s="3230"/>
      <c r="E5" s="3281" t="s">
        <v>3706</v>
      </c>
      <c r="F5" s="3228"/>
      <c r="G5" s="3281" t="s">
        <v>3781</v>
      </c>
      <c r="H5" s="3228"/>
      <c r="I5" s="3282" t="s">
        <v>3740</v>
      </c>
      <c r="J5" s="3230"/>
      <c r="K5" s="610"/>
      <c r="L5" s="1129"/>
      <c r="M5" s="1130"/>
      <c r="N5" s="1130"/>
      <c r="O5" s="1130"/>
      <c r="P5" s="3242"/>
      <c r="Q5" s="3243"/>
      <c r="R5" s="3225"/>
      <c r="S5" s="3226"/>
      <c r="T5" s="3225"/>
      <c r="U5" s="3226"/>
      <c r="V5" s="3248"/>
      <c r="W5" s="3248"/>
      <c r="X5" s="1811"/>
      <c r="Y5" s="3225"/>
      <c r="Z5" s="3226"/>
      <c r="AA5" s="3219"/>
      <c r="AB5" s="3248"/>
      <c r="AC5" s="3219"/>
    </row>
    <row r="6" spans="1:29" ht="15.75" hidden="1" thickBot="1">
      <c r="A6" s="406"/>
      <c r="B6" s="407"/>
      <c r="C6" s="3231"/>
      <c r="D6" s="3232"/>
      <c r="E6" s="3233"/>
      <c r="F6" s="3234"/>
      <c r="G6" s="3231"/>
      <c r="H6" s="3232"/>
      <c r="I6" s="3231"/>
      <c r="J6" s="3232"/>
      <c r="K6" s="610" t="s">
        <v>2549</v>
      </c>
      <c r="L6" s="1129"/>
      <c r="M6" s="1130"/>
      <c r="N6" s="1130"/>
      <c r="O6" s="1130"/>
      <c r="P6" s="3244"/>
      <c r="Q6" s="3245"/>
      <c r="R6" s="3225"/>
      <c r="S6" s="3226"/>
      <c r="T6" s="3246"/>
      <c r="U6" s="3247"/>
      <c r="V6" s="3248"/>
      <c r="W6" s="3248"/>
      <c r="X6" s="1811"/>
      <c r="Y6" s="3246"/>
      <c r="Z6" s="3247"/>
      <c r="AA6" s="3220"/>
      <c r="AB6" s="3248"/>
      <c r="AC6" s="3220"/>
    </row>
    <row r="7" spans="1:29" s="117" customFormat="1" ht="15.75" thickBot="1">
      <c r="A7" s="408" t="s">
        <v>2550</v>
      </c>
      <c r="B7" s="409"/>
      <c r="C7" s="410">
        <f>'数据-取费表'!B2</f>
        <v>43228</v>
      </c>
      <c r="D7" s="411">
        <v>100</v>
      </c>
      <c r="E7" s="412">
        <f>C7</f>
        <v>43228</v>
      </c>
      <c r="F7" s="413">
        <f>SUMIF(58:58,YEAR(E7)&amp;"-"&amp;MONTH(E7),59:59)</f>
        <v>100</v>
      </c>
      <c r="G7" s="412">
        <f>E7</f>
        <v>43228</v>
      </c>
      <c r="H7" s="411">
        <f>SUMIF(58:58,YEAR(G7)&amp;"-"&amp;MONTH(G7),59:59)</f>
        <v>100</v>
      </c>
      <c r="I7" s="412">
        <f>E7</f>
        <v>43228</v>
      </c>
      <c r="J7" s="411">
        <f>SUMIF(58:58,YEAR(I7)&amp;"-"&amp;MONTH(I7),59:59)</f>
        <v>100</v>
      </c>
      <c r="K7" s="611"/>
      <c r="L7" s="1131"/>
      <c r="M7" s="1132"/>
      <c r="N7" s="1132"/>
      <c r="O7" s="1132"/>
      <c r="P7" s="3221" t="s">
        <v>2551</v>
      </c>
      <c r="Q7" s="3249"/>
      <c r="R7" s="769" t="s">
        <v>17</v>
      </c>
      <c r="S7" s="770">
        <f t="shared" ref="S7:S15" si="0">F7</f>
        <v>100</v>
      </c>
      <c r="T7" s="769" t="s">
        <v>17</v>
      </c>
      <c r="U7" s="770">
        <f t="shared" ref="U7:U15" si="1">H7</f>
        <v>100</v>
      </c>
      <c r="V7" s="769" t="s">
        <v>17</v>
      </c>
      <c r="W7" s="770">
        <f t="shared" ref="W7:W15" si="2">J7</f>
        <v>100</v>
      </c>
      <c r="X7" s="771"/>
      <c r="Y7" s="3221" t="s">
        <v>2551</v>
      </c>
      <c r="Z7" s="3222"/>
      <c r="AA7" s="772">
        <f>D7/F7</f>
        <v>1</v>
      </c>
      <c r="AB7" s="772">
        <f>D7/H7</f>
        <v>1</v>
      </c>
      <c r="AC7" s="772">
        <f>D7/J7</f>
        <v>1</v>
      </c>
    </row>
    <row r="8" spans="1:29" s="117" customFormat="1" ht="15.75" thickBot="1">
      <c r="A8" s="408" t="s">
        <v>2552</v>
      </c>
      <c r="B8" s="409"/>
      <c r="C8" s="414" t="s">
        <v>2654</v>
      </c>
      <c r="D8" s="411">
        <v>100</v>
      </c>
      <c r="E8" s="414" t="s">
        <v>3392</v>
      </c>
      <c r="F8" s="413">
        <f>SUMIF(61:61,E8,62:62)-SUMIF(61:61,C8,62:62)+100</f>
        <v>100</v>
      </c>
      <c r="G8" s="414" t="s">
        <v>3392</v>
      </c>
      <c r="H8" s="411">
        <f>SUMIF(61:61,G8,62:62)-SUMIF(61:61,C8,62:62)+100</f>
        <v>100</v>
      </c>
      <c r="I8" s="414" t="s">
        <v>3392</v>
      </c>
      <c r="J8" s="411">
        <f>SUMIF(61:61,I8,62:62)-SUMIF(61:61,C8,62:62)+100</f>
        <v>100</v>
      </c>
      <c r="K8" s="611"/>
      <c r="L8" s="1131"/>
      <c r="M8" s="1132"/>
      <c r="N8" s="1132"/>
      <c r="O8" s="1132"/>
      <c r="P8" s="3221" t="s">
        <v>2554</v>
      </c>
      <c r="Q8" s="3222"/>
      <c r="R8" s="769" t="s">
        <v>17</v>
      </c>
      <c r="S8" s="770">
        <f t="shared" si="0"/>
        <v>100</v>
      </c>
      <c r="T8" s="769" t="s">
        <v>17</v>
      </c>
      <c r="U8" s="770">
        <f t="shared" si="1"/>
        <v>100</v>
      </c>
      <c r="V8" s="769" t="s">
        <v>17</v>
      </c>
      <c r="W8" s="770">
        <f t="shared" si="2"/>
        <v>100</v>
      </c>
      <c r="X8" s="771"/>
      <c r="Y8" s="3221" t="s">
        <v>2554</v>
      </c>
      <c r="Z8" s="3222"/>
      <c r="AA8" s="772">
        <f t="shared" ref="AA8:AA46" si="3">D8/F8</f>
        <v>1</v>
      </c>
      <c r="AB8" s="772">
        <f t="shared" ref="AB8:AB46" si="4">D8/H8</f>
        <v>1</v>
      </c>
      <c r="AC8" s="772">
        <f t="shared" ref="AC8:AC46" si="5">D8/J8</f>
        <v>1</v>
      </c>
    </row>
    <row r="9" spans="1:29" s="117" customFormat="1">
      <c r="A9" s="415" t="s">
        <v>2555</v>
      </c>
      <c r="B9" s="71" t="s">
        <v>2556</v>
      </c>
      <c r="C9" s="2990" t="s">
        <v>3390</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59"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772">
        <f t="shared" si="5"/>
        <v>1</v>
      </c>
    </row>
    <row r="10" spans="1:29" s="427" customFormat="1" ht="27.75" thickBot="1">
      <c r="A10" s="421"/>
      <c r="B10" s="422" t="s">
        <v>2559</v>
      </c>
      <c r="C10" s="423" t="s">
        <v>3389</v>
      </c>
      <c r="D10" s="136">
        <v>100</v>
      </c>
      <c r="E10" s="424" t="s">
        <v>3389</v>
      </c>
      <c r="F10" s="425">
        <f>SUMIF(65:65,E10,66:66)-SUMIF(65:65,C10,66:66)+100</f>
        <v>100</v>
      </c>
      <c r="G10" s="424" t="s">
        <v>3389</v>
      </c>
      <c r="H10" s="136">
        <f>SUMIF(65:65,G10,66:66)-SUMIF(65:65,C10,66:66)+100</f>
        <v>100</v>
      </c>
      <c r="I10" s="424" t="s">
        <v>3389</v>
      </c>
      <c r="J10" s="136">
        <f>SUMIF(65:65,I10,66:66)-SUMIF(65:65,C10,66:66)+100</f>
        <v>100</v>
      </c>
      <c r="K10" s="612">
        <v>1</v>
      </c>
      <c r="L10" s="1134"/>
      <c r="M10" s="1135"/>
      <c r="N10" s="1135"/>
      <c r="O10" s="1135"/>
      <c r="P10" s="3259"/>
      <c r="Q10" s="1793"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75" hidden="1" thickBot="1">
      <c r="A11" s="428"/>
      <c r="B11" s="422" t="s">
        <v>2560</v>
      </c>
      <c r="C11" s="429">
        <v>3.5</v>
      </c>
      <c r="D11" s="136">
        <v>100</v>
      </c>
      <c r="E11" s="430">
        <v>3.5</v>
      </c>
      <c r="F11" s="425">
        <f>LOOKUP(E11,68:68,69:69)-LOOKUP(C11,68:68,69:69)+100</f>
        <v>100</v>
      </c>
      <c r="G11" s="429">
        <v>3.5</v>
      </c>
      <c r="H11" s="136">
        <f>LOOKUP(G11,68:68,69:69)-LOOKUP(C11,68:68,69:69)+100</f>
        <v>100</v>
      </c>
      <c r="I11" s="429">
        <v>3.5</v>
      </c>
      <c r="J11" s="136">
        <f>LOOKUP(I11,68:68,69:69)-LOOKUP(C11,68:68,69:69)+100</f>
        <v>100</v>
      </c>
      <c r="K11" s="612">
        <v>1</v>
      </c>
      <c r="L11" s="1137"/>
      <c r="M11" s="1130"/>
      <c r="N11" s="1130"/>
      <c r="O11" s="1130"/>
      <c r="P11" s="3259"/>
      <c r="Q11" s="1793"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772">
        <f t="shared" si="5"/>
        <v>1</v>
      </c>
    </row>
    <row r="12" spans="1:29" s="117" customFormat="1" ht="15" hidden="1">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59"/>
      <c r="Q12" s="1793">
        <f t="shared" si="6"/>
        <v>0</v>
      </c>
      <c r="R12" s="769" t="s">
        <v>17</v>
      </c>
      <c r="S12" s="770">
        <f t="shared" si="0"/>
        <v>100</v>
      </c>
      <c r="T12" s="769" t="s">
        <v>17</v>
      </c>
      <c r="U12" s="770">
        <f t="shared" si="1"/>
        <v>100</v>
      </c>
      <c r="V12" s="769" t="s">
        <v>17</v>
      </c>
      <c r="W12" s="770">
        <f t="shared" si="2"/>
        <v>100</v>
      </c>
      <c r="X12" s="771"/>
      <c r="Y12" s="3095"/>
      <c r="Z12" s="55">
        <f t="shared" si="7"/>
        <v>0</v>
      </c>
      <c r="AA12" s="772">
        <f>D12/F12</f>
        <v>1</v>
      </c>
      <c r="AB12" s="772">
        <f>D12/H12</f>
        <v>1</v>
      </c>
      <c r="AC12" s="772">
        <f>D12/J12</f>
        <v>1</v>
      </c>
    </row>
    <row r="13" spans="1:29" ht="15" hidden="1">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59"/>
      <c r="Q13" s="1793">
        <f t="shared" si="6"/>
        <v>0</v>
      </c>
      <c r="R13" s="769" t="s">
        <v>17</v>
      </c>
      <c r="S13" s="770">
        <f t="shared" si="0"/>
        <v>100</v>
      </c>
      <c r="T13" s="769" t="s">
        <v>17</v>
      </c>
      <c r="U13" s="770">
        <f t="shared" si="1"/>
        <v>100</v>
      </c>
      <c r="V13" s="769" t="s">
        <v>17</v>
      </c>
      <c r="W13" s="770">
        <f t="shared" si="2"/>
        <v>100</v>
      </c>
      <c r="X13" s="771"/>
      <c r="Y13" s="3095"/>
      <c r="Z13" s="55">
        <f t="shared" si="7"/>
        <v>0</v>
      </c>
      <c r="AA13" s="772">
        <f t="shared" si="3"/>
        <v>1</v>
      </c>
      <c r="AB13" s="772">
        <f t="shared" si="4"/>
        <v>1</v>
      </c>
      <c r="AC13" s="772">
        <f t="shared" si="5"/>
        <v>1</v>
      </c>
    </row>
    <row r="14" spans="1:29" ht="15.75" hidden="1"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59"/>
      <c r="Q14" s="1793">
        <f t="shared" si="6"/>
        <v>0</v>
      </c>
      <c r="R14" s="769" t="s">
        <v>17</v>
      </c>
      <c r="S14" s="770">
        <f t="shared" si="0"/>
        <v>100</v>
      </c>
      <c r="T14" s="769" t="s">
        <v>17</v>
      </c>
      <c r="U14" s="770">
        <f t="shared" si="1"/>
        <v>100</v>
      </c>
      <c r="V14" s="769" t="s">
        <v>17</v>
      </c>
      <c r="W14" s="770">
        <f t="shared" si="2"/>
        <v>100</v>
      </c>
      <c r="X14" s="771"/>
      <c r="Y14" s="3095"/>
      <c r="Z14" s="55">
        <f t="shared" si="7"/>
        <v>0</v>
      </c>
      <c r="AA14" s="772">
        <f t="shared" si="3"/>
        <v>1</v>
      </c>
      <c r="AB14" s="772">
        <f t="shared" si="4"/>
        <v>1</v>
      </c>
      <c r="AC14" s="772">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4</v>
      </c>
      <c r="L15" s="1139"/>
      <c r="M15" s="1130"/>
      <c r="N15" s="1130"/>
      <c r="O15" s="1130"/>
      <c r="P15" s="3283" t="s">
        <v>2562</v>
      </c>
      <c r="Q15" s="1808" t="str">
        <f t="shared" si="6"/>
        <v>商业繁华度</v>
      </c>
      <c r="R15" s="773" t="s">
        <v>17</v>
      </c>
      <c r="S15" s="774">
        <f t="shared" si="0"/>
        <v>100</v>
      </c>
      <c r="T15" s="773" t="s">
        <v>17</v>
      </c>
      <c r="U15" s="774">
        <f t="shared" si="1"/>
        <v>100</v>
      </c>
      <c r="V15" s="773" t="s">
        <v>17</v>
      </c>
      <c r="W15" s="774">
        <f t="shared" si="2"/>
        <v>100</v>
      </c>
      <c r="X15" s="1811"/>
      <c r="Y15" s="3250" t="s">
        <v>2562</v>
      </c>
      <c r="Z15" s="1812" t="str">
        <f t="shared" si="7"/>
        <v>商业繁华度</v>
      </c>
      <c r="AA15" s="1809">
        <f t="shared" si="3"/>
        <v>1</v>
      </c>
      <c r="AB15" s="1809">
        <f t="shared" si="4"/>
        <v>1</v>
      </c>
      <c r="AC15" s="1809">
        <f t="shared" si="5"/>
        <v>1</v>
      </c>
    </row>
    <row r="16" spans="1:29" ht="15">
      <c r="A16" s="428"/>
      <c r="B16" s="446"/>
      <c r="C16" s="447" t="s">
        <v>3093</v>
      </c>
      <c r="D16" s="448"/>
      <c r="E16" s="447" t="s">
        <v>3093</v>
      </c>
      <c r="F16" s="449"/>
      <c r="G16" s="447" t="s">
        <v>3093</v>
      </c>
      <c r="H16" s="450"/>
      <c r="I16" s="447" t="s">
        <v>3093</v>
      </c>
      <c r="J16" s="448"/>
      <c r="K16" s="615"/>
      <c r="L16" s="1139"/>
      <c r="M16" s="1130"/>
      <c r="N16" s="1130"/>
      <c r="O16" s="1130"/>
      <c r="P16" s="3284"/>
      <c r="Q16" s="1808"/>
      <c r="R16" s="773"/>
      <c r="S16" s="774"/>
      <c r="T16" s="773"/>
      <c r="U16" s="774"/>
      <c r="V16" s="773"/>
      <c r="W16" s="774"/>
      <c r="X16" s="1811"/>
      <c r="Y16" s="3251"/>
      <c r="Z16" s="1812"/>
      <c r="AA16" s="1809">
        <v>1</v>
      </c>
      <c r="AB16" s="1809">
        <v>1</v>
      </c>
      <c r="AC16" s="1809">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284"/>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456"/>
      <c r="C18" s="2605" t="s">
        <v>3093</v>
      </c>
      <c r="D18" s="450"/>
      <c r="E18" s="2607" t="s">
        <v>3093</v>
      </c>
      <c r="F18" s="453"/>
      <c r="G18" s="2606" t="s">
        <v>3093</v>
      </c>
      <c r="H18" s="448"/>
      <c r="I18" s="2607" t="s">
        <v>3093</v>
      </c>
      <c r="J18" s="448"/>
      <c r="K18" s="615"/>
      <c r="L18" s="1139"/>
      <c r="M18" s="1130"/>
      <c r="N18" s="1130"/>
      <c r="O18" s="1130"/>
      <c r="P18" s="3284"/>
      <c r="Q18" s="1808"/>
      <c r="R18" s="773"/>
      <c r="S18" s="774"/>
      <c r="T18" s="773"/>
      <c r="U18" s="774"/>
      <c r="V18" s="773"/>
      <c r="W18" s="774"/>
      <c r="X18" s="1811"/>
      <c r="Y18" s="3251"/>
      <c r="Z18" s="1812"/>
      <c r="AA18" s="1809">
        <v>1</v>
      </c>
      <c r="AB18" s="1809">
        <v>1</v>
      </c>
      <c r="AC18" s="1809">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84"/>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8"/>
      <c r="B20" s="456"/>
      <c r="C20" s="447" t="s">
        <v>3093</v>
      </c>
      <c r="D20" s="448"/>
      <c r="E20" s="2602" t="s">
        <v>3093</v>
      </c>
      <c r="F20" s="449"/>
      <c r="G20" s="2601" t="s">
        <v>3093</v>
      </c>
      <c r="H20" s="448"/>
      <c r="I20" s="2602" t="s">
        <v>3093</v>
      </c>
      <c r="J20" s="448"/>
      <c r="K20" s="615"/>
      <c r="L20" s="1139"/>
      <c r="M20" s="1130"/>
      <c r="N20" s="1130"/>
      <c r="O20" s="1130"/>
      <c r="P20" s="3284"/>
      <c r="Q20" s="1808"/>
      <c r="R20" s="773"/>
      <c r="S20" s="774"/>
      <c r="T20" s="773"/>
      <c r="U20" s="774"/>
      <c r="V20" s="773"/>
      <c r="W20" s="774"/>
      <c r="X20" s="1811"/>
      <c r="Y20" s="3251"/>
      <c r="Z20" s="1812"/>
      <c r="AA20" s="1809">
        <v>1</v>
      </c>
      <c r="AB20" s="1809">
        <v>1</v>
      </c>
      <c r="AC20" s="1809">
        <v>1</v>
      </c>
    </row>
    <row r="21" spans="1:29" ht="28.5">
      <c r="A21" s="428"/>
      <c r="B21" s="1383"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3"/>
      <c r="C22" s="2605" t="s">
        <v>3113</v>
      </c>
      <c r="D22" s="448"/>
      <c r="E22" s="447" t="s">
        <v>3113</v>
      </c>
      <c r="F22" s="449"/>
      <c r="G22" s="447" t="s">
        <v>3113</v>
      </c>
      <c r="H22" s="448"/>
      <c r="I22" s="447" t="s">
        <v>3113</v>
      </c>
      <c r="J22" s="448"/>
      <c r="K22" s="1382"/>
      <c r="L22" s="1139"/>
      <c r="M22" s="1130"/>
      <c r="N22" s="1130"/>
      <c r="O22" s="1130"/>
      <c r="P22" s="3284"/>
      <c r="Q22" s="1808"/>
      <c r="R22" s="773"/>
      <c r="S22" s="774"/>
      <c r="T22" s="773"/>
      <c r="U22" s="774"/>
      <c r="V22" s="773"/>
      <c r="W22" s="774"/>
      <c r="X22" s="1811"/>
      <c r="Y22" s="3251"/>
      <c r="Z22" s="1812"/>
      <c r="AA22" s="1809">
        <v>1</v>
      </c>
      <c r="AB22" s="1809">
        <v>1</v>
      </c>
      <c r="AC22" s="1809">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84"/>
      <c r="Q23" s="1808" t="str">
        <f>B23</f>
        <v>自然及人文环境</v>
      </c>
      <c r="R23" s="773" t="s">
        <v>17</v>
      </c>
      <c r="S23" s="774">
        <f>F23</f>
        <v>100</v>
      </c>
      <c r="T23" s="773" t="s">
        <v>17</v>
      </c>
      <c r="U23" s="774">
        <f>H23</f>
        <v>100</v>
      </c>
      <c r="V23" s="773" t="s">
        <v>17</v>
      </c>
      <c r="W23" s="774">
        <f>J23</f>
        <v>100</v>
      </c>
      <c r="X23" s="1811"/>
      <c r="Y23" s="3251"/>
      <c r="Z23" s="1812" t="str">
        <f>Q23</f>
        <v>自然及人文环境</v>
      </c>
      <c r="AA23" s="1809">
        <f t="shared" si="3"/>
        <v>1</v>
      </c>
      <c r="AB23" s="1809">
        <f t="shared" si="4"/>
        <v>1</v>
      </c>
      <c r="AC23" s="1809">
        <f t="shared" si="5"/>
        <v>1</v>
      </c>
    </row>
    <row r="24" spans="1:29" ht="15">
      <c r="A24" s="428"/>
      <c r="B24" s="456"/>
      <c r="C24" s="447" t="s">
        <v>3092</v>
      </c>
      <c r="D24" s="448"/>
      <c r="E24" s="2602" t="s">
        <v>3092</v>
      </c>
      <c r="F24" s="449"/>
      <c r="G24" s="2601" t="s">
        <v>3092</v>
      </c>
      <c r="H24" s="448"/>
      <c r="I24" s="2602" t="s">
        <v>3092</v>
      </c>
      <c r="J24" s="448"/>
      <c r="K24" s="615"/>
      <c r="L24" s="1139"/>
      <c r="M24" s="1130"/>
      <c r="N24" s="1130"/>
      <c r="O24" s="1130"/>
      <c r="P24" s="3284"/>
      <c r="Q24" s="1808"/>
      <c r="R24" s="773"/>
      <c r="S24" s="774"/>
      <c r="T24" s="773"/>
      <c r="U24" s="774"/>
      <c r="V24" s="773"/>
      <c r="W24" s="774"/>
      <c r="X24" s="1811"/>
      <c r="Y24" s="3251"/>
      <c r="Z24" s="1812"/>
      <c r="AA24" s="1809">
        <v>1</v>
      </c>
      <c r="AB24" s="1809">
        <v>1</v>
      </c>
      <c r="AC24" s="1809">
        <v>1</v>
      </c>
    </row>
    <row r="25" spans="1:29" ht="15">
      <c r="A25" s="428"/>
      <c r="B25" s="422" t="s">
        <v>2658</v>
      </c>
      <c r="C25" s="616" t="s">
        <v>3093</v>
      </c>
      <c r="D25" s="435">
        <v>100</v>
      </c>
      <c r="E25" s="616" t="s">
        <v>3093</v>
      </c>
      <c r="F25" s="461">
        <f>SUMIF(86:86,E25,87:87)-SUMIF(86:86,C25,87:87)+100</f>
        <v>100</v>
      </c>
      <c r="G25" s="616" t="s">
        <v>3093</v>
      </c>
      <c r="H25" s="435">
        <f>SUMIF(86:86,G25,87:87)-SUMIF(86:86,C25,87:87)+100</f>
        <v>100</v>
      </c>
      <c r="I25" s="616" t="s">
        <v>3093</v>
      </c>
      <c r="J25" s="435">
        <f>SUMIF(86:86,I25,87:87)-SUMIF(86:86,C25,87:87)+100</f>
        <v>100</v>
      </c>
      <c r="K25" s="612">
        <v>2</v>
      </c>
      <c r="L25" s="1139"/>
      <c r="M25" s="1130"/>
      <c r="N25" s="1130"/>
      <c r="O25" s="1130"/>
      <c r="P25" s="3284"/>
      <c r="Q25" s="1808" t="str">
        <f t="shared" ref="Q25:Q46" si="11">B25</f>
        <v>临街状况</v>
      </c>
      <c r="R25" s="773" t="s">
        <v>17</v>
      </c>
      <c r="S25" s="774">
        <f>F25</f>
        <v>100</v>
      </c>
      <c r="T25" s="773" t="s">
        <v>17</v>
      </c>
      <c r="U25" s="774">
        <f>H25</f>
        <v>100</v>
      </c>
      <c r="V25" s="773" t="s">
        <v>17</v>
      </c>
      <c r="W25" s="774">
        <f>J25</f>
        <v>100</v>
      </c>
      <c r="X25" s="1811"/>
      <c r="Y25" s="3251"/>
      <c r="Z25" s="1812" t="str">
        <f>Q25</f>
        <v>临街状况</v>
      </c>
      <c r="AA25" s="1809">
        <f t="shared" si="3"/>
        <v>1</v>
      </c>
      <c r="AB25" s="1809">
        <f t="shared" si="4"/>
        <v>1</v>
      </c>
      <c r="AC25" s="1809">
        <f t="shared" si="5"/>
        <v>1</v>
      </c>
    </row>
    <row r="26" spans="1:29" ht="15">
      <c r="A26" s="428"/>
      <c r="B26" s="2992" t="s">
        <v>3741</v>
      </c>
      <c r="C26" s="2991" t="s">
        <v>3738</v>
      </c>
      <c r="D26" s="435">
        <v>100</v>
      </c>
      <c r="E26" s="2991" t="s">
        <v>3738</v>
      </c>
      <c r="F26" s="461">
        <f>SUMIF(88:88,E26,89:89)-SUMIF(88:88,C26,89:89)+100</f>
        <v>100</v>
      </c>
      <c r="G26" s="2991" t="s">
        <v>3738</v>
      </c>
      <c r="H26" s="435">
        <f>SUMIF(88:88,G26,89:89)-SUMIF(88:88,C26,89:89)+100</f>
        <v>100</v>
      </c>
      <c r="I26" s="2991" t="s">
        <v>3738</v>
      </c>
      <c r="J26" s="435">
        <f>SUMIF(88:88,I26,89:89)-SUMIF(88:88,C26,89:89)+100</f>
        <v>100</v>
      </c>
      <c r="K26" s="613"/>
      <c r="L26" s="1139"/>
      <c r="M26" s="1130"/>
      <c r="N26" s="1130"/>
      <c r="O26" s="1130"/>
      <c r="P26" s="3284"/>
      <c r="Q26" s="1808" t="str">
        <f t="shared" si="11"/>
        <v>可视性</v>
      </c>
      <c r="R26" s="773" t="s">
        <v>17</v>
      </c>
      <c r="S26" s="774">
        <f>F26</f>
        <v>100</v>
      </c>
      <c r="T26" s="773" t="s">
        <v>17</v>
      </c>
      <c r="U26" s="774">
        <f>H26</f>
        <v>100</v>
      </c>
      <c r="V26" s="773" t="s">
        <v>17</v>
      </c>
      <c r="W26" s="774">
        <f>J26</f>
        <v>100</v>
      </c>
      <c r="X26" s="1811"/>
      <c r="Y26" s="3251"/>
      <c r="Z26" s="1812" t="str">
        <f>Q26</f>
        <v>可视性</v>
      </c>
      <c r="AA26" s="1809">
        <f t="shared" si="3"/>
        <v>1</v>
      </c>
      <c r="AB26" s="1809">
        <f t="shared" si="4"/>
        <v>1</v>
      </c>
      <c r="AC26" s="1809">
        <f t="shared" si="5"/>
        <v>1</v>
      </c>
    </row>
    <row r="27" spans="1:29" s="117" customFormat="1" ht="15">
      <c r="A27" s="431"/>
      <c r="B27" s="451" t="s">
        <v>2659</v>
      </c>
      <c r="C27" s="2662" t="s">
        <v>3714</v>
      </c>
      <c r="D27" s="462">
        <v>100</v>
      </c>
      <c r="E27" s="2662" t="s">
        <v>3714</v>
      </c>
      <c r="F27" s="464">
        <f>SUMIF(90:90,E27,91:91)-SUMIF(90:90,C27,91:91)+100</f>
        <v>100</v>
      </c>
      <c r="G27" s="2662" t="s">
        <v>3714</v>
      </c>
      <c r="H27" s="462">
        <f>SUMIF(90:90,G27,91:91)-SUMIF(90:90,C27,91:91)+100</f>
        <v>100</v>
      </c>
      <c r="I27" s="2662" t="s">
        <v>3092</v>
      </c>
      <c r="J27" s="462">
        <f>SUMIF(90:90,I27,91:91)-SUMIF(90:90,C27,91:91)+100</f>
        <v>95</v>
      </c>
      <c r="K27" s="612">
        <v>5</v>
      </c>
      <c r="L27" s="1131"/>
      <c r="M27" s="1132"/>
      <c r="N27" s="1132"/>
      <c r="O27" s="1132"/>
      <c r="P27" s="3284"/>
      <c r="Q27" s="1793" t="str">
        <f t="shared" si="11"/>
        <v>人流量</v>
      </c>
      <c r="R27" s="769" t="s">
        <v>17</v>
      </c>
      <c r="S27" s="770">
        <f>F27</f>
        <v>100</v>
      </c>
      <c r="T27" s="769" t="s">
        <v>17</v>
      </c>
      <c r="U27" s="770">
        <f>H27</f>
        <v>100</v>
      </c>
      <c r="V27" s="769" t="s">
        <v>17</v>
      </c>
      <c r="W27" s="770">
        <f>J27</f>
        <v>95</v>
      </c>
      <c r="X27" s="771"/>
      <c r="Y27" s="3251"/>
      <c r="Z27" s="55" t="str">
        <f>Q27</f>
        <v>人流量</v>
      </c>
      <c r="AA27" s="1809">
        <f>D27/F27</f>
        <v>1</v>
      </c>
      <c r="AB27" s="1809">
        <f>D27/H27</f>
        <v>1</v>
      </c>
      <c r="AC27" s="1809">
        <f>D27/J27</f>
        <v>1.0526315789473684</v>
      </c>
    </row>
    <row r="28" spans="1:29" ht="15.75" thickBot="1">
      <c r="A28" s="428"/>
      <c r="B28" s="422" t="s">
        <v>2660</v>
      </c>
      <c r="C28" s="616" t="s">
        <v>3739</v>
      </c>
      <c r="D28" s="435">
        <v>100</v>
      </c>
      <c r="E28" s="616" t="s">
        <v>3739</v>
      </c>
      <c r="F28" s="461">
        <f>SUMIF(92:92,E28,93:93)-SUMIF(92:92,C28,93:93)+100</f>
        <v>100</v>
      </c>
      <c r="G28" s="616" t="s">
        <v>3739</v>
      </c>
      <c r="H28" s="435">
        <f>SUMIF(92:92,G28,93:93)-SUMIF(92:92,C28,93:93)+100</f>
        <v>100</v>
      </c>
      <c r="I28" s="616" t="s">
        <v>3739</v>
      </c>
      <c r="J28" s="435">
        <f>SUMIF(92:92,I28,93:93)-SUMIF(92:92,C28,93:93)+100</f>
        <v>100</v>
      </c>
      <c r="K28" s="613"/>
      <c r="L28" s="1139"/>
      <c r="M28" s="1130"/>
      <c r="N28" s="1130"/>
      <c r="O28" s="1130"/>
      <c r="P28" s="328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1"/>
      <c r="Z28" s="1812" t="str">
        <f t="shared" ref="Z28:Z46" si="15">Q28</f>
        <v>楼层</v>
      </c>
      <c r="AA28" s="1809">
        <f t="shared" si="3"/>
        <v>1</v>
      </c>
      <c r="AB28" s="1809">
        <f t="shared" si="4"/>
        <v>1</v>
      </c>
      <c r="AC28" s="1809">
        <f t="shared" si="5"/>
        <v>1</v>
      </c>
    </row>
    <row r="29" spans="1:29" ht="15" hidden="1">
      <c r="A29" s="428"/>
      <c r="B29" s="1385"/>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84"/>
      <c r="Q29" s="1808">
        <f t="shared" si="11"/>
        <v>0</v>
      </c>
      <c r="R29" s="773" t="s">
        <v>17</v>
      </c>
      <c r="S29" s="774">
        <f t="shared" si="12"/>
        <v>100</v>
      </c>
      <c r="T29" s="773" t="s">
        <v>17</v>
      </c>
      <c r="U29" s="774">
        <f t="shared" si="13"/>
        <v>100</v>
      </c>
      <c r="V29" s="773" t="s">
        <v>17</v>
      </c>
      <c r="W29" s="774">
        <f t="shared" si="14"/>
        <v>100</v>
      </c>
      <c r="X29" s="1811"/>
      <c r="Y29" s="3251"/>
      <c r="Z29" s="1812">
        <f t="shared" si="15"/>
        <v>0</v>
      </c>
      <c r="AA29" s="1809">
        <f t="shared" si="3"/>
        <v>1</v>
      </c>
      <c r="AB29" s="1809">
        <f t="shared" si="4"/>
        <v>1</v>
      </c>
      <c r="AC29" s="1809">
        <f t="shared" si="5"/>
        <v>1</v>
      </c>
    </row>
    <row r="30" spans="1:29" ht="15" hidden="1">
      <c r="A30" s="428"/>
      <c r="B30" s="1385"/>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84"/>
      <c r="Q30" s="1808">
        <f t="shared" si="11"/>
        <v>0</v>
      </c>
      <c r="R30" s="773" t="s">
        <v>17</v>
      </c>
      <c r="S30" s="774">
        <f t="shared" si="12"/>
        <v>100</v>
      </c>
      <c r="T30" s="773" t="s">
        <v>17</v>
      </c>
      <c r="U30" s="774">
        <f t="shared" si="13"/>
        <v>100</v>
      </c>
      <c r="V30" s="773" t="s">
        <v>17</v>
      </c>
      <c r="W30" s="774">
        <f t="shared" si="14"/>
        <v>100</v>
      </c>
      <c r="X30" s="1811"/>
      <c r="Y30" s="3251"/>
      <c r="Z30" s="1812">
        <f t="shared" si="15"/>
        <v>0</v>
      </c>
      <c r="AA30" s="1809">
        <f t="shared" si="3"/>
        <v>1</v>
      </c>
      <c r="AB30" s="1809">
        <f t="shared" si="4"/>
        <v>1</v>
      </c>
      <c r="AC30" s="1809">
        <f t="shared" si="5"/>
        <v>1</v>
      </c>
    </row>
    <row r="31" spans="1:29" ht="15.75" hidden="1" thickBot="1">
      <c r="A31" s="436"/>
      <c r="B31" s="1385"/>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84"/>
      <c r="Q31" s="1808">
        <f t="shared" si="11"/>
        <v>0</v>
      </c>
      <c r="R31" s="773" t="s">
        <v>17</v>
      </c>
      <c r="S31" s="774">
        <f t="shared" si="12"/>
        <v>100</v>
      </c>
      <c r="T31" s="773" t="s">
        <v>17</v>
      </c>
      <c r="U31" s="774">
        <f t="shared" si="13"/>
        <v>100</v>
      </c>
      <c r="V31" s="773" t="s">
        <v>17</v>
      </c>
      <c r="W31" s="774">
        <f t="shared" si="14"/>
        <v>100</v>
      </c>
      <c r="X31" s="1811"/>
      <c r="Y31" s="3251"/>
      <c r="Z31" s="1812">
        <f t="shared" si="15"/>
        <v>0</v>
      </c>
      <c r="AA31" s="1809">
        <f t="shared" si="3"/>
        <v>1</v>
      </c>
      <c r="AB31" s="1809">
        <f t="shared" si="4"/>
        <v>1</v>
      </c>
      <c r="AC31" s="1809">
        <f t="shared" si="5"/>
        <v>1</v>
      </c>
    </row>
    <row r="32" spans="1:29" ht="15">
      <c r="A32" s="440" t="s">
        <v>2565</v>
      </c>
      <c r="B32" s="71" t="s">
        <v>2661</v>
      </c>
      <c r="C32" s="2614" t="s">
        <v>3064</v>
      </c>
      <c r="D32" s="467">
        <v>100</v>
      </c>
      <c r="E32" s="2614" t="s">
        <v>3064</v>
      </c>
      <c r="F32" s="461">
        <f>SUMIF(100:100,E32,101:101)-SUMIF(100:100,C32,101:101)+100</f>
        <v>100</v>
      </c>
      <c r="G32" s="2614" t="s">
        <v>3064</v>
      </c>
      <c r="H32" s="435">
        <f>SUMIF(100:100,G32,101:101)-SUMIF(100:100,C32,101:101)+100</f>
        <v>100</v>
      </c>
      <c r="I32" s="2614" t="s">
        <v>3064</v>
      </c>
      <c r="J32" s="467">
        <f>SUMIF(100:100,I32,101:101)-SUMIF(100:100,C32,101:101)+100</f>
        <v>100</v>
      </c>
      <c r="K32" s="612">
        <v>5</v>
      </c>
      <c r="L32" s="1139"/>
      <c r="M32" s="1130"/>
      <c r="N32" s="1130"/>
      <c r="O32" s="1130"/>
      <c r="P32" s="3285" t="s">
        <v>2567</v>
      </c>
      <c r="Q32" s="1808" t="str">
        <f t="shared" si="11"/>
        <v>商业类型</v>
      </c>
      <c r="R32" s="773" t="s">
        <v>17</v>
      </c>
      <c r="S32" s="774">
        <f t="shared" si="12"/>
        <v>100</v>
      </c>
      <c r="T32" s="773" t="s">
        <v>17</v>
      </c>
      <c r="U32" s="774">
        <f t="shared" si="13"/>
        <v>100</v>
      </c>
      <c r="V32" s="773" t="s">
        <v>17</v>
      </c>
      <c r="W32" s="774">
        <f t="shared" si="14"/>
        <v>100</v>
      </c>
      <c r="X32" s="1811"/>
      <c r="Y32" s="3253" t="s">
        <v>2567</v>
      </c>
      <c r="Z32" s="1812" t="str">
        <f t="shared" si="15"/>
        <v>商业类型</v>
      </c>
      <c r="AA32" s="1809">
        <f t="shared" si="3"/>
        <v>1</v>
      </c>
      <c r="AB32" s="1809">
        <f t="shared" si="4"/>
        <v>1</v>
      </c>
      <c r="AC32" s="1809">
        <f t="shared" si="5"/>
        <v>1</v>
      </c>
    </row>
    <row r="33" spans="1:29" s="471" customFormat="1" ht="15">
      <c r="A33" s="468"/>
      <c r="B33" s="422" t="s">
        <v>2568</v>
      </c>
      <c r="C33" s="469">
        <f>'数据-汇总表'!F21</f>
        <v>582.23</v>
      </c>
      <c r="D33" s="136">
        <v>100</v>
      </c>
      <c r="E33" s="430">
        <v>376</v>
      </c>
      <c r="F33" s="425">
        <f>LOOKUP(E33,103:103,104:104)-LOOKUP(C33,103:103,104:104)+100</f>
        <v>101</v>
      </c>
      <c r="G33" s="429">
        <v>100</v>
      </c>
      <c r="H33" s="136">
        <f>LOOKUP(G33,103:103,104:104)-LOOKUP(C33,103:103,104:104)+100</f>
        <v>102</v>
      </c>
      <c r="I33" s="429">
        <v>86</v>
      </c>
      <c r="J33" s="136">
        <f>LOOKUP(I33,103:103,104:104)-LOOKUP(C33,103:103,104:104)+100</f>
        <v>103</v>
      </c>
      <c r="K33" s="613"/>
      <c r="L33" s="1137"/>
      <c r="M33" s="1140"/>
      <c r="N33" s="1140"/>
      <c r="O33" s="1140"/>
      <c r="P33" s="3286"/>
      <c r="Q33" s="775" t="str">
        <f t="shared" si="11"/>
        <v>项目建筑规模</v>
      </c>
      <c r="R33" s="776" t="s">
        <v>17</v>
      </c>
      <c r="S33" s="777">
        <f t="shared" si="12"/>
        <v>101</v>
      </c>
      <c r="T33" s="776" t="s">
        <v>17</v>
      </c>
      <c r="U33" s="777">
        <f t="shared" si="13"/>
        <v>102</v>
      </c>
      <c r="V33" s="776" t="s">
        <v>17</v>
      </c>
      <c r="W33" s="777">
        <f t="shared" si="14"/>
        <v>103</v>
      </c>
      <c r="X33" s="778"/>
      <c r="Y33" s="3253"/>
      <c r="Z33" s="779" t="str">
        <f t="shared" si="15"/>
        <v>项目建筑规模</v>
      </c>
      <c r="AA33" s="1809">
        <f t="shared" si="3"/>
        <v>0.99009900990099009</v>
      </c>
      <c r="AB33" s="1809">
        <f t="shared" si="4"/>
        <v>0.98039215686274506</v>
      </c>
      <c r="AC33" s="1809">
        <f t="shared" si="5"/>
        <v>0.970873786407767</v>
      </c>
    </row>
    <row r="34" spans="1:29" ht="15">
      <c r="A34" s="472"/>
      <c r="B34" s="422" t="s">
        <v>2569</v>
      </c>
      <c r="C34" s="2616" t="s">
        <v>3080</v>
      </c>
      <c r="D34" s="435">
        <v>100</v>
      </c>
      <c r="E34" s="2616" t="s">
        <v>3080</v>
      </c>
      <c r="F34" s="461">
        <f>SUMIF(105:105,E34,106:106)-SUMIF(105:105,C34,106:106)+100</f>
        <v>100</v>
      </c>
      <c r="G34" s="2616" t="s">
        <v>3080</v>
      </c>
      <c r="H34" s="435">
        <f>SUMIF(105:105,G34,106:106)-SUMIF(105:105,C34,106:106)+100</f>
        <v>100</v>
      </c>
      <c r="I34" s="2616" t="s">
        <v>3080</v>
      </c>
      <c r="J34" s="435">
        <f>SUMIF(105:105,I34,106:106)-SUMIF(105:105,C34,106:106)+100</f>
        <v>100</v>
      </c>
      <c r="K34" s="612">
        <v>2</v>
      </c>
      <c r="L34" s="1139"/>
      <c r="M34" s="1130"/>
      <c r="N34" s="1130"/>
      <c r="O34" s="1130"/>
      <c r="P34" s="3286"/>
      <c r="Q34" s="1808" t="str">
        <f t="shared" si="11"/>
        <v>建筑结构</v>
      </c>
      <c r="R34" s="773" t="s">
        <v>17</v>
      </c>
      <c r="S34" s="774">
        <f t="shared" si="12"/>
        <v>100</v>
      </c>
      <c r="T34" s="773" t="s">
        <v>17</v>
      </c>
      <c r="U34" s="774">
        <f t="shared" si="13"/>
        <v>100</v>
      </c>
      <c r="V34" s="773" t="s">
        <v>17</v>
      </c>
      <c r="W34" s="774">
        <f t="shared" si="14"/>
        <v>100</v>
      </c>
      <c r="X34" s="1811"/>
      <c r="Y34" s="3253"/>
      <c r="Z34" s="1812" t="str">
        <f t="shared" si="15"/>
        <v>建筑结构</v>
      </c>
      <c r="AA34" s="1809">
        <f t="shared" si="3"/>
        <v>1</v>
      </c>
      <c r="AB34" s="1809">
        <f t="shared" si="4"/>
        <v>1</v>
      </c>
      <c r="AC34" s="1809">
        <f t="shared" si="5"/>
        <v>1</v>
      </c>
    </row>
    <row r="35" spans="1:29" ht="15">
      <c r="A35" s="472"/>
      <c r="B35" s="422" t="s">
        <v>2662</v>
      </c>
      <c r="C35" s="2610" t="s">
        <v>3731</v>
      </c>
      <c r="D35" s="435">
        <v>100</v>
      </c>
      <c r="E35" s="2610" t="s">
        <v>3731</v>
      </c>
      <c r="F35" s="461">
        <f>SUMIF(107:107,E35,108:108)-SUMIF(107:107,C35,108:108)+100</f>
        <v>100</v>
      </c>
      <c r="G35" s="2610" t="s">
        <v>3731</v>
      </c>
      <c r="H35" s="435">
        <f>SUMIF(107:107,G35,108:108)-SUMIF(107:107,C35,108:108)+100</f>
        <v>100</v>
      </c>
      <c r="I35" s="2610" t="s">
        <v>3731</v>
      </c>
      <c r="J35" s="435">
        <f>SUMIF(107:107,I35,108:108)-SUMIF(107:107,C35,108:108)+100</f>
        <v>100</v>
      </c>
      <c r="K35" s="612">
        <v>2</v>
      </c>
      <c r="L35" s="1139"/>
      <c r="M35" s="1130"/>
      <c r="N35" s="1130"/>
      <c r="O35" s="1130"/>
      <c r="P35" s="3286"/>
      <c r="Q35" s="1808" t="str">
        <f t="shared" si="11"/>
        <v>公共部分装修</v>
      </c>
      <c r="R35" s="773" t="s">
        <v>17</v>
      </c>
      <c r="S35" s="774">
        <f t="shared" si="12"/>
        <v>100</v>
      </c>
      <c r="T35" s="773" t="s">
        <v>17</v>
      </c>
      <c r="U35" s="774">
        <f t="shared" si="13"/>
        <v>100</v>
      </c>
      <c r="V35" s="773" t="s">
        <v>17</v>
      </c>
      <c r="W35" s="774">
        <f t="shared" si="14"/>
        <v>100</v>
      </c>
      <c r="X35" s="1811"/>
      <c r="Y35" s="3253"/>
      <c r="Z35" s="1812" t="str">
        <f t="shared" si="15"/>
        <v>公共部分装修</v>
      </c>
      <c r="AA35" s="1809">
        <f t="shared" si="3"/>
        <v>1</v>
      </c>
      <c r="AB35" s="1809">
        <f t="shared" si="4"/>
        <v>1</v>
      </c>
      <c r="AC35" s="1809">
        <f t="shared" si="5"/>
        <v>1</v>
      </c>
    </row>
    <row r="36" spans="1:29" ht="15">
      <c r="A36" s="472"/>
      <c r="B36" s="422" t="s">
        <v>2663</v>
      </c>
      <c r="C36" s="474">
        <f>'数据-取费表'!N8</f>
        <v>0.97</v>
      </c>
      <c r="D36" s="435">
        <v>100</v>
      </c>
      <c r="E36" s="474">
        <f>ROUND(1-(2018-2006)/60,2)</f>
        <v>0.8</v>
      </c>
      <c r="F36" s="461">
        <f>LOOKUP(E36,110:110,111:111)-LOOKUP(C36,110:110,111:111)+100</f>
        <v>98</v>
      </c>
      <c r="G36" s="474">
        <f>ROUND(1-(2018-2004)/60,2)</f>
        <v>0.77</v>
      </c>
      <c r="H36" s="461">
        <f>LOOKUP(G36,110:110,111:111)-LOOKUP(C36,110:110,111:111)+100</f>
        <v>96</v>
      </c>
      <c r="I36" s="474">
        <f>ROUND(1-(2018-2004)/60,2)</f>
        <v>0.77</v>
      </c>
      <c r="J36" s="435">
        <f>LOOKUP(I36,110:110,111:111)-LOOKUP(C36,110:110,111:111)+100</f>
        <v>96</v>
      </c>
      <c r="K36" s="612">
        <v>2</v>
      </c>
      <c r="L36" s="1139"/>
      <c r="M36" s="1130"/>
      <c r="N36" s="1130"/>
      <c r="O36" s="1130"/>
      <c r="P36" s="3286"/>
      <c r="Q36" s="1808" t="str">
        <f t="shared" si="11"/>
        <v>成新度</v>
      </c>
      <c r="R36" s="773" t="s">
        <v>17</v>
      </c>
      <c r="S36" s="774">
        <f t="shared" si="12"/>
        <v>98</v>
      </c>
      <c r="T36" s="773" t="s">
        <v>17</v>
      </c>
      <c r="U36" s="774">
        <f t="shared" si="13"/>
        <v>96</v>
      </c>
      <c r="V36" s="773" t="s">
        <v>17</v>
      </c>
      <c r="W36" s="774">
        <f t="shared" si="14"/>
        <v>96</v>
      </c>
      <c r="X36" s="1811"/>
      <c r="Y36" s="3253"/>
      <c r="Z36" s="1812" t="str">
        <f t="shared" si="15"/>
        <v>成新度</v>
      </c>
      <c r="AA36" s="1809">
        <f t="shared" si="3"/>
        <v>1.0204081632653061</v>
      </c>
      <c r="AB36" s="1809">
        <f t="shared" si="4"/>
        <v>1.0416666666666667</v>
      </c>
      <c r="AC36" s="1809">
        <f t="shared" si="5"/>
        <v>1.0416666666666667</v>
      </c>
    </row>
    <row r="37" spans="1:29" s="117" customFormat="1" ht="15">
      <c r="A37" s="473"/>
      <c r="B37" s="422" t="s">
        <v>2664</v>
      </c>
      <c r="C37" s="2610" t="s">
        <v>3113</v>
      </c>
      <c r="D37" s="136">
        <v>100</v>
      </c>
      <c r="E37" s="2610" t="s">
        <v>3113</v>
      </c>
      <c r="F37" s="461">
        <f>SUMIF(112:112,E37,113:113)-SUMIF(112:112,C37,113:113)+100</f>
        <v>100</v>
      </c>
      <c r="G37" s="2610" t="s">
        <v>3113</v>
      </c>
      <c r="H37" s="435">
        <f>SUMIF(112:112,G37,113:113)-SUMIF(112:112,C37,113:113)+100</f>
        <v>100</v>
      </c>
      <c r="I37" s="2610" t="s">
        <v>3113</v>
      </c>
      <c r="J37" s="435">
        <f>SUMIF(112:112,I37,113:113)-SUMIF(112:112,C37,113:113)+100</f>
        <v>100</v>
      </c>
      <c r="K37" s="612">
        <v>2</v>
      </c>
      <c r="L37" s="1131"/>
      <c r="M37" s="1132"/>
      <c r="N37" s="1132"/>
      <c r="O37" s="1132"/>
      <c r="P37" s="3286"/>
      <c r="Q37" s="1793" t="str">
        <f t="shared" si="11"/>
        <v>市政基础设施</v>
      </c>
      <c r="R37" s="769" t="s">
        <v>17</v>
      </c>
      <c r="S37" s="770">
        <f t="shared" si="12"/>
        <v>100</v>
      </c>
      <c r="T37" s="769" t="s">
        <v>17</v>
      </c>
      <c r="U37" s="770">
        <f t="shared" si="13"/>
        <v>100</v>
      </c>
      <c r="V37" s="769" t="s">
        <v>17</v>
      </c>
      <c r="W37" s="770">
        <f t="shared" si="14"/>
        <v>100</v>
      </c>
      <c r="X37" s="771"/>
      <c r="Y37" s="3253"/>
      <c r="Z37" s="55" t="str">
        <f t="shared" si="15"/>
        <v>市政基础设施</v>
      </c>
      <c r="AA37" s="772">
        <f t="shared" si="3"/>
        <v>1</v>
      </c>
      <c r="AB37" s="772">
        <f t="shared" si="4"/>
        <v>1</v>
      </c>
      <c r="AC37" s="772">
        <f t="shared" si="5"/>
        <v>1</v>
      </c>
    </row>
    <row r="38" spans="1:29" ht="15">
      <c r="A38" s="472"/>
      <c r="B38" s="422" t="s">
        <v>2665</v>
      </c>
      <c r="C38" s="2610" t="s">
        <v>3726</v>
      </c>
      <c r="D38" s="435">
        <v>100</v>
      </c>
      <c r="E38" s="2610" t="s">
        <v>3726</v>
      </c>
      <c r="F38" s="461">
        <f>SUMIF(114:114,E38,115:115)-SUMIF(114:114,C38,115:115)+100</f>
        <v>100</v>
      </c>
      <c r="G38" s="2610" t="s">
        <v>3726</v>
      </c>
      <c r="H38" s="435">
        <f>SUMIF(114:114,G38,115:115)-SUMIF(114:114,C38,115:115)+100</f>
        <v>100</v>
      </c>
      <c r="I38" s="2610" t="s">
        <v>3726</v>
      </c>
      <c r="J38" s="435">
        <f>SUMIF(114:114,I38,115:115)-SUMIF(114:114,C38,115:115)+100</f>
        <v>100</v>
      </c>
      <c r="K38" s="612">
        <v>2</v>
      </c>
      <c r="L38" s="1139"/>
      <c r="M38" s="1130"/>
      <c r="N38" s="1130"/>
      <c r="O38" s="1130"/>
      <c r="P38" s="3286" t="s">
        <v>2567</v>
      </c>
      <c r="Q38" s="1808" t="str">
        <f t="shared" si="11"/>
        <v>业态</v>
      </c>
      <c r="R38" s="773" t="s">
        <v>17</v>
      </c>
      <c r="S38" s="774">
        <f t="shared" si="12"/>
        <v>100</v>
      </c>
      <c r="T38" s="773" t="s">
        <v>17</v>
      </c>
      <c r="U38" s="774">
        <f t="shared" si="13"/>
        <v>100</v>
      </c>
      <c r="V38" s="773" t="s">
        <v>17</v>
      </c>
      <c r="W38" s="774">
        <f t="shared" si="14"/>
        <v>100</v>
      </c>
      <c r="X38" s="1811"/>
      <c r="Y38" s="3253" t="s">
        <v>2567</v>
      </c>
      <c r="Z38" s="1812" t="str">
        <f t="shared" si="15"/>
        <v>业态</v>
      </c>
      <c r="AA38" s="1809">
        <f t="shared" si="3"/>
        <v>1</v>
      </c>
      <c r="AB38" s="1809">
        <f t="shared" si="4"/>
        <v>1</v>
      </c>
      <c r="AC38" s="1809">
        <f t="shared" si="5"/>
        <v>1</v>
      </c>
    </row>
    <row r="39" spans="1:29" ht="15">
      <c r="A39" s="472"/>
      <c r="B39" s="422" t="s">
        <v>2666</v>
      </c>
      <c r="C39" s="2610" t="s">
        <v>3777</v>
      </c>
      <c r="D39" s="435">
        <v>100</v>
      </c>
      <c r="E39" s="2610" t="s">
        <v>3778</v>
      </c>
      <c r="F39" s="461">
        <f>SUMIF(116:116,E39,117:117)-SUMIF(116:116,C39,117:117)+100</f>
        <v>90</v>
      </c>
      <c r="G39" s="2610" t="s">
        <v>3778</v>
      </c>
      <c r="H39" s="435">
        <f>SUMIF(116:116,G39,117:117)-SUMIF(116:116,C39,117:117)+100</f>
        <v>90</v>
      </c>
      <c r="I39" s="2610" t="s">
        <v>3778</v>
      </c>
      <c r="J39" s="435">
        <f>SUMIF(116:116,I39,117:117)-SUMIF(116:116,C39,117:117)+100</f>
        <v>90</v>
      </c>
      <c r="K39" s="612">
        <v>10</v>
      </c>
      <c r="L39" s="1139"/>
      <c r="M39" s="1130"/>
      <c r="N39" s="1130"/>
      <c r="O39" s="1130"/>
      <c r="P39" s="3286"/>
      <c r="Q39" s="1808" t="str">
        <f t="shared" si="11"/>
        <v>层高</v>
      </c>
      <c r="R39" s="773" t="s">
        <v>17</v>
      </c>
      <c r="S39" s="774">
        <f t="shared" si="12"/>
        <v>90</v>
      </c>
      <c r="T39" s="773" t="s">
        <v>17</v>
      </c>
      <c r="U39" s="774">
        <f t="shared" si="13"/>
        <v>90</v>
      </c>
      <c r="V39" s="773" t="s">
        <v>17</v>
      </c>
      <c r="W39" s="774">
        <f t="shared" si="14"/>
        <v>90</v>
      </c>
      <c r="X39" s="1811"/>
      <c r="Y39" s="3253"/>
      <c r="Z39" s="1812" t="str">
        <f t="shared" si="15"/>
        <v>层高</v>
      </c>
      <c r="AA39" s="1809">
        <f t="shared" si="3"/>
        <v>1.1111111111111112</v>
      </c>
      <c r="AB39" s="1809">
        <f t="shared" si="4"/>
        <v>1.1111111111111112</v>
      </c>
      <c r="AC39" s="1809">
        <f t="shared" si="5"/>
        <v>1.1111111111111112</v>
      </c>
    </row>
    <row r="40" spans="1:29" ht="15" hidden="1">
      <c r="A40" s="472"/>
      <c r="B40" s="422" t="s">
        <v>2667</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86"/>
      <c r="Q40" s="1808" t="str">
        <f t="shared" si="11"/>
        <v>单套建筑面积</v>
      </c>
      <c r="R40" s="773" t="s">
        <v>17</v>
      </c>
      <c r="S40" s="774">
        <f t="shared" si="12"/>
        <v>100</v>
      </c>
      <c r="T40" s="773" t="s">
        <v>17</v>
      </c>
      <c r="U40" s="774">
        <f t="shared" si="13"/>
        <v>100</v>
      </c>
      <c r="V40" s="773" t="s">
        <v>17</v>
      </c>
      <c r="W40" s="774">
        <f t="shared" si="14"/>
        <v>100</v>
      </c>
      <c r="X40" s="1811"/>
      <c r="Y40" s="3253"/>
      <c r="Z40" s="1812" t="str">
        <f t="shared" si="15"/>
        <v>单套建筑面积</v>
      </c>
      <c r="AA40" s="1809">
        <f t="shared" si="3"/>
        <v>1</v>
      </c>
      <c r="AB40" s="1809">
        <f t="shared" si="4"/>
        <v>1</v>
      </c>
      <c r="AC40" s="1809">
        <f t="shared" si="5"/>
        <v>1</v>
      </c>
    </row>
    <row r="41" spans="1:29" s="471" customFormat="1" ht="15" hidden="1">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53"/>
      <c r="Z41" s="779" t="str">
        <f t="shared" si="15"/>
        <v>进深比</v>
      </c>
      <c r="AA41" s="1809">
        <f t="shared" si="3"/>
        <v>1</v>
      </c>
      <c r="AB41" s="1809">
        <f t="shared" si="4"/>
        <v>1</v>
      </c>
      <c r="AC41" s="1809">
        <f t="shared" si="5"/>
        <v>1</v>
      </c>
    </row>
    <row r="42" spans="1:29" ht="15.75" thickBot="1">
      <c r="A42" s="472"/>
      <c r="B42" s="422" t="s">
        <v>2669</v>
      </c>
      <c r="C42" s="2610" t="s">
        <v>3736</v>
      </c>
      <c r="D42" s="435">
        <v>100</v>
      </c>
      <c r="E42" s="2610" t="s">
        <v>3734</v>
      </c>
      <c r="F42" s="461">
        <f>SUMIF(122:122,E42,123:123)-SUMIF(122:122,C42,123:123)+100</f>
        <v>101</v>
      </c>
      <c r="G42" s="2610" t="s">
        <v>3731</v>
      </c>
      <c r="H42" s="435">
        <f>SUMIF(122:122,G42,123:123)-SUMIF(122:122,C42,123:123)+100</f>
        <v>103</v>
      </c>
      <c r="I42" s="2610" t="s">
        <v>3736</v>
      </c>
      <c r="J42" s="435">
        <f>SUMIF(122:122,I42,123:123)-SUMIF(122:122,C42,123:123)+100</f>
        <v>100</v>
      </c>
      <c r="K42" s="612">
        <v>1</v>
      </c>
      <c r="L42" s="1139"/>
      <c r="M42" s="1130"/>
      <c r="N42" s="1130"/>
      <c r="O42" s="1130"/>
      <c r="P42" s="3286"/>
      <c r="Q42" s="1808" t="str">
        <f t="shared" si="11"/>
        <v>内部装修</v>
      </c>
      <c r="R42" s="773" t="s">
        <v>17</v>
      </c>
      <c r="S42" s="774">
        <f t="shared" si="12"/>
        <v>101</v>
      </c>
      <c r="T42" s="773" t="s">
        <v>17</v>
      </c>
      <c r="U42" s="774">
        <f t="shared" si="13"/>
        <v>103</v>
      </c>
      <c r="V42" s="773" t="s">
        <v>17</v>
      </c>
      <c r="W42" s="774">
        <f t="shared" si="14"/>
        <v>100</v>
      </c>
      <c r="X42" s="1811"/>
      <c r="Y42" s="3253"/>
      <c r="Z42" s="1812" t="str">
        <f t="shared" si="15"/>
        <v>内部装修</v>
      </c>
      <c r="AA42" s="1809">
        <f t="shared" si="3"/>
        <v>0.99009900990099009</v>
      </c>
      <c r="AB42" s="1809">
        <f t="shared" si="4"/>
        <v>0.970873786407767</v>
      </c>
      <c r="AC42" s="1809">
        <f t="shared" si="5"/>
        <v>1</v>
      </c>
    </row>
    <row r="43" spans="1:29" ht="15.75" hidden="1" thickBot="1">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286"/>
      <c r="Q43" s="1808" t="str">
        <f t="shared" si="11"/>
        <v>内部装修维护情况</v>
      </c>
      <c r="R43" s="773" t="s">
        <v>17</v>
      </c>
      <c r="S43" s="774">
        <f t="shared" si="12"/>
        <v>100</v>
      </c>
      <c r="T43" s="773" t="s">
        <v>17</v>
      </c>
      <c r="U43" s="774">
        <f t="shared" si="13"/>
        <v>100</v>
      </c>
      <c r="V43" s="773" t="s">
        <v>17</v>
      </c>
      <c r="W43" s="774">
        <f t="shared" si="14"/>
        <v>100</v>
      </c>
      <c r="X43" s="1811"/>
      <c r="Y43" s="3253"/>
      <c r="Z43" s="1812" t="str">
        <f t="shared" si="15"/>
        <v>内部装修维护情况</v>
      </c>
      <c r="AA43" s="1809">
        <f t="shared" si="3"/>
        <v>1</v>
      </c>
      <c r="AB43" s="1809">
        <f t="shared" si="4"/>
        <v>1</v>
      </c>
      <c r="AC43" s="1809">
        <f t="shared" si="5"/>
        <v>1</v>
      </c>
    </row>
    <row r="44" spans="1:29" s="117" customFormat="1" ht="15" hidden="1">
      <c r="A44" s="473"/>
      <c r="B44" s="1385"/>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6"/>
      <c r="Q44" s="1793">
        <f t="shared" si="11"/>
        <v>0</v>
      </c>
      <c r="R44" s="769" t="s">
        <v>17</v>
      </c>
      <c r="S44" s="770">
        <f t="shared" si="12"/>
        <v>100</v>
      </c>
      <c r="T44" s="769" t="s">
        <v>17</v>
      </c>
      <c r="U44" s="770">
        <f t="shared" si="13"/>
        <v>100</v>
      </c>
      <c r="V44" s="769" t="s">
        <v>17</v>
      </c>
      <c r="W44" s="770">
        <f t="shared" si="14"/>
        <v>100</v>
      </c>
      <c r="X44" s="771"/>
      <c r="Y44" s="3253"/>
      <c r="Z44" s="55">
        <f t="shared" si="15"/>
        <v>0</v>
      </c>
      <c r="AA44" s="772">
        <f t="shared" si="3"/>
        <v>1</v>
      </c>
      <c r="AB44" s="772">
        <f t="shared" si="4"/>
        <v>1</v>
      </c>
      <c r="AC44" s="772">
        <f t="shared" si="5"/>
        <v>1</v>
      </c>
    </row>
    <row r="45" spans="1:29" ht="15" hidden="1">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6"/>
      <c r="Q45" s="1808">
        <f t="shared" si="11"/>
        <v>0</v>
      </c>
      <c r="R45" s="773" t="s">
        <v>17</v>
      </c>
      <c r="S45" s="774">
        <f t="shared" si="12"/>
        <v>100</v>
      </c>
      <c r="T45" s="773" t="s">
        <v>17</v>
      </c>
      <c r="U45" s="774">
        <f t="shared" si="13"/>
        <v>100</v>
      </c>
      <c r="V45" s="773" t="s">
        <v>17</v>
      </c>
      <c r="W45" s="774">
        <f t="shared" si="14"/>
        <v>100</v>
      </c>
      <c r="X45" s="1811"/>
      <c r="Y45" s="3253"/>
      <c r="Z45" s="1812">
        <f t="shared" si="15"/>
        <v>0</v>
      </c>
      <c r="AA45" s="1809">
        <f t="shared" si="3"/>
        <v>1</v>
      </c>
      <c r="AB45" s="1809">
        <f t="shared" si="4"/>
        <v>1</v>
      </c>
      <c r="AC45" s="1809">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7"/>
      <c r="Q46" s="1808">
        <f t="shared" si="11"/>
        <v>0</v>
      </c>
      <c r="R46" s="773" t="s">
        <v>17</v>
      </c>
      <c r="S46" s="774">
        <f t="shared" si="12"/>
        <v>100</v>
      </c>
      <c r="T46" s="773" t="s">
        <v>17</v>
      </c>
      <c r="U46" s="774">
        <f t="shared" si="13"/>
        <v>100</v>
      </c>
      <c r="V46" s="773" t="s">
        <v>17</v>
      </c>
      <c r="W46" s="774">
        <f t="shared" si="14"/>
        <v>100</v>
      </c>
      <c r="X46" s="1811"/>
      <c r="Y46" s="3288"/>
      <c r="Z46" s="1812">
        <f t="shared" si="15"/>
        <v>0</v>
      </c>
      <c r="AA46" s="1809">
        <f t="shared" si="3"/>
        <v>1</v>
      </c>
      <c r="AB46" s="1809">
        <f t="shared" si="4"/>
        <v>1</v>
      </c>
      <c r="AC46" s="1809">
        <f t="shared" si="5"/>
        <v>1</v>
      </c>
    </row>
    <row r="47" spans="1:29" ht="15">
      <c r="A47" s="479" t="s">
        <v>2579</v>
      </c>
      <c r="B47" s="480"/>
      <c r="C47" s="1406" t="s">
        <v>1</v>
      </c>
      <c r="D47" s="1407"/>
      <c r="E47" s="1408">
        <v>47872</v>
      </c>
      <c r="F47" s="1409"/>
      <c r="G47" s="1410">
        <v>50000</v>
      </c>
      <c r="H47" s="1411"/>
      <c r="I47" s="1408">
        <v>43605</v>
      </c>
      <c r="J47" s="1411"/>
      <c r="K47" s="782"/>
      <c r="L47" s="1142"/>
      <c r="M47" s="1143"/>
      <c r="N47" s="1130"/>
      <c r="O47" s="1143"/>
      <c r="P47" s="3235" t="str">
        <f>A47</f>
        <v>成交单价（元/平方米）</v>
      </c>
      <c r="Q47" s="3235"/>
      <c r="R47" s="3248">
        <f>E47</f>
        <v>47872</v>
      </c>
      <c r="S47" s="3248"/>
      <c r="T47" s="3248">
        <f>G47</f>
        <v>50000</v>
      </c>
      <c r="U47" s="3248"/>
      <c r="V47" s="3248">
        <f>I47</f>
        <v>43605</v>
      </c>
      <c r="W47" s="3248"/>
      <c r="X47" s="758"/>
      <c r="Y47" s="780"/>
      <c r="Z47" s="758"/>
      <c r="AA47" s="758"/>
      <c r="AB47" s="758"/>
      <c r="AC47" s="758"/>
    </row>
    <row r="48" spans="1:29" ht="15.75" thickBot="1">
      <c r="A48" s="486" t="s">
        <v>2670</v>
      </c>
      <c r="B48" s="487"/>
      <c r="C48" s="1412">
        <f>R49</f>
        <v>53289</v>
      </c>
      <c r="D48" s="1413"/>
      <c r="E48" s="1414">
        <f>R48</f>
        <v>53207</v>
      </c>
      <c r="F48" s="1414"/>
      <c r="G48" s="1412">
        <f>T48</f>
        <v>55083</v>
      </c>
      <c r="H48" s="1413"/>
      <c r="I48" s="1414">
        <f>V48</f>
        <v>51578</v>
      </c>
      <c r="J48" s="1413"/>
      <c r="K48" s="783"/>
      <c r="L48" s="1142"/>
      <c r="M48" s="1143"/>
      <c r="N48" s="1130"/>
      <c r="O48" s="1143"/>
      <c r="P48" s="3235" t="str">
        <f>A48</f>
        <v>比较价值（元/平方米）</v>
      </c>
      <c r="Q48" s="3235"/>
      <c r="R48" s="3289">
        <f>IF(F1="售价",ROUND(PRODUCT(R47,AA7:AA46),0),ROUND(PRODUCT(R47,AA7:AA46),1))</f>
        <v>53207</v>
      </c>
      <c r="S48" s="3289"/>
      <c r="T48" s="3289">
        <f>IF(F1="售价",ROUND(PRODUCT(T47,AB7:AB46),0),ROUND(PRODUCT(T47,AB7:AB46),1))</f>
        <v>55083</v>
      </c>
      <c r="U48" s="3289"/>
      <c r="V48" s="3289">
        <f>IF(F1="售价",ROUND(PRODUCT(V47,AC7:AC46),0),ROUND(PRODUCT(V47,AC7:AC46),1))</f>
        <v>51578</v>
      </c>
      <c r="W48" s="3289"/>
      <c r="X48" s="758"/>
      <c r="Y48" s="758"/>
      <c r="Z48" s="758"/>
      <c r="AA48" s="758"/>
      <c r="AB48" s="758"/>
      <c r="AC48" s="758"/>
    </row>
    <row r="49" spans="1:29" ht="15.75" thickBot="1">
      <c r="A49" s="492" t="s">
        <v>2671</v>
      </c>
      <c r="B49" s="493"/>
      <c r="C49" s="1416">
        <f>R49</f>
        <v>53289</v>
      </c>
      <c r="D49" s="1416"/>
      <c r="E49" s="1416"/>
      <c r="F49" s="1416"/>
      <c r="G49" s="1416"/>
      <c r="H49" s="1416"/>
      <c r="I49" s="1416"/>
      <c r="J49" s="1416"/>
      <c r="K49" s="784"/>
      <c r="L49" s="1142"/>
      <c r="M49" s="1143"/>
      <c r="N49" s="1130"/>
      <c r="O49" s="1143"/>
      <c r="P49" s="3255" t="str">
        <f>A49</f>
        <v>估价对象XX用房的比较价值（楼面单价，元/平方米）</v>
      </c>
      <c r="Q49" s="3256"/>
      <c r="R49" s="3290">
        <f>IF(F1="售价",ROUND(AVERAGE(R48:V48),0),ROUND(AVERAGE(R48:V48),1))</f>
        <v>53289</v>
      </c>
      <c r="S49" s="3290"/>
      <c r="T49" s="3290"/>
      <c r="U49" s="3290"/>
      <c r="V49" s="3290"/>
      <c r="W49" s="329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7" t="s">
        <v>2672</v>
      </c>
      <c r="D52" s="498"/>
      <c r="E52" s="499">
        <f>IF(E47&lt;E48,E48/E47-1,E47/E48-1)</f>
        <v>0.11144301470588225</v>
      </c>
      <c r="F52" s="500" t="str">
        <f>IF(OR(E52&gt;=0.3,E52&lt;=-0.3),"超过30%","")</f>
        <v/>
      </c>
      <c r="G52" s="499">
        <f>IF(G47&lt;G48,G48/G47-1,G47/G48-1)</f>
        <v>0.10166000000000008</v>
      </c>
      <c r="H52" s="500" t="str">
        <f>IF(OR(G52&gt;=0.3,G52&lt;=-0.3),"超过30%","")</f>
        <v/>
      </c>
      <c r="I52" s="499">
        <f>IF(I47&lt;I48,I48/I47-1,I47/I48-1)</f>
        <v>0.18284600389863548</v>
      </c>
      <c r="J52" s="500"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7" t="s">
        <v>2673</v>
      </c>
      <c r="D53" s="501"/>
      <c r="E53" s="499">
        <f>IF(E48&lt;G48,G48/E48-1,E48/G48-1)</f>
        <v>3.5258518615971512E-2</v>
      </c>
      <c r="F53" s="500" t="str">
        <f>IF(OR(E53&gt;=0.2,E53&lt;=-0.2),"超过20%","")</f>
        <v/>
      </c>
      <c r="G53" s="499">
        <f>IF(G48&lt;I48,I48/G48-1,G48/I48-1)</f>
        <v>6.7955329791771657E-2</v>
      </c>
      <c r="H53" s="500" t="str">
        <f>IF(OR(G53&gt;=0.2,G53&lt;=-0.2),"超过20%","")</f>
        <v/>
      </c>
      <c r="I53" s="499">
        <f>IF(I48&lt;E48,E48/I48-1,I48/E48-1)</f>
        <v>3.1583233161425417E-2</v>
      </c>
      <c r="J53" s="500"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2" customFormat="1" ht="13.5" customHeight="1">
      <c r="A54" s="1144"/>
      <c r="B54" s="1144"/>
      <c r="C54" s="497" t="s">
        <v>2674</v>
      </c>
      <c r="D54" s="501"/>
      <c r="E54" s="499">
        <f>IF(E47&lt;G47,G47/E47-1,E47/G47-1)</f>
        <v>4.4451871657753994E-2</v>
      </c>
      <c r="F54" s="500" t="str">
        <f>IF(OR(E54&gt;=0.3,E54&lt;=-0.3),"超过30%","")</f>
        <v/>
      </c>
      <c r="G54" s="499">
        <f>IF(G47&lt;I47,I47/G47-1,G47/I47-1)</f>
        <v>0.14665749340671952</v>
      </c>
      <c r="H54" s="500" t="str">
        <f>IF(OR(G54&gt;=0.3,G54&lt;=-0.3),"超过30%","")</f>
        <v/>
      </c>
      <c r="I54" s="499">
        <f>IF(I47&lt;E47,E47/I47-1,I47/E47-1)</f>
        <v>9.7855750487329418E-2</v>
      </c>
      <c r="J54" s="500" t="str">
        <f>IF(OR(I54&gt;=0.3,I54&lt;=-0.3),"超过30%","")</f>
        <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2550</v>
      </c>
      <c r="B58" s="506"/>
      <c r="C58" s="1572" t="str">
        <f>YEAR(C7)&amp;"-"&amp;MONTH(C7)</f>
        <v>2018-5</v>
      </c>
      <c r="D58" s="1573">
        <f>EDATE(C58,-1)</f>
        <v>43191</v>
      </c>
      <c r="E58" s="1573">
        <f t="shared" ref="E58:N58" si="16">EDATE(D58,-1)</f>
        <v>43160</v>
      </c>
      <c r="F58" s="1573">
        <f t="shared" si="16"/>
        <v>43132</v>
      </c>
      <c r="G58" s="1573">
        <f t="shared" si="16"/>
        <v>43101</v>
      </c>
      <c r="H58" s="1573">
        <f t="shared" si="16"/>
        <v>43070</v>
      </c>
      <c r="I58" s="1573">
        <f t="shared" si="16"/>
        <v>43040</v>
      </c>
      <c r="J58" s="1573">
        <f t="shared" si="16"/>
        <v>43009</v>
      </c>
      <c r="K58" s="1573">
        <f t="shared" si="16"/>
        <v>42979</v>
      </c>
      <c r="L58" s="1573">
        <f t="shared" si="16"/>
        <v>42948</v>
      </c>
      <c r="M58" s="1573">
        <f t="shared" si="16"/>
        <v>42917</v>
      </c>
      <c r="N58" s="1573">
        <f t="shared" si="16"/>
        <v>42887</v>
      </c>
      <c r="O58" s="1573">
        <f>EDATE(N58,-1)</f>
        <v>42856</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2590</v>
      </c>
      <c r="B63" s="528" t="s">
        <v>2556</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1"/>
      <c r="O65" s="1151"/>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7"/>
      <c r="Q66" s="504"/>
    </row>
    <row r="67" spans="1:17" ht="15.75" thickTop="1">
      <c r="A67" s="534"/>
      <c r="B67" s="546" t="s">
        <v>2560</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0</v>
      </c>
      <c r="D68" s="549">
        <v>1</v>
      </c>
      <c r="E68" s="549">
        <v>2</v>
      </c>
      <c r="F68" s="549">
        <v>3</v>
      </c>
      <c r="G68" s="549"/>
      <c r="H68" s="549"/>
      <c r="I68" s="549"/>
      <c r="J68" s="549"/>
      <c r="K68" s="550"/>
      <c r="L68" s="551"/>
      <c r="M68" s="552"/>
      <c r="N68" s="1151"/>
      <c r="O68" s="1151"/>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1"/>
      <c r="O76" s="1151"/>
      <c r="P76" s="2631"/>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2"/>
      <c r="O77" s="1152"/>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2657</v>
      </c>
      <c r="C82" s="659" t="s">
        <v>2676</v>
      </c>
      <c r="D82" s="659" t="s">
        <v>2677</v>
      </c>
      <c r="E82" s="659" t="s">
        <v>2678</v>
      </c>
      <c r="F82" s="659" t="s">
        <v>2679</v>
      </c>
      <c r="G82" s="659" t="s">
        <v>2680</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2"/>
      <c r="O83" s="1152"/>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1"/>
      <c r="O84" s="1151"/>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7"/>
      <c r="Q85" s="504"/>
    </row>
    <row r="86" spans="1:17" s="117" customFormat="1" ht="15.75" thickTop="1">
      <c r="A86" s="579"/>
      <c r="B86" s="538" t="s">
        <v>2681</v>
      </c>
      <c r="C86" s="2968" t="s">
        <v>3707</v>
      </c>
      <c r="D86" s="2968" t="s">
        <v>3708</v>
      </c>
      <c r="E86" s="2968" t="s">
        <v>3709</v>
      </c>
      <c r="F86" s="2968" t="s">
        <v>3710</v>
      </c>
      <c r="G86" s="2968" t="s">
        <v>3712</v>
      </c>
      <c r="H86" s="554"/>
      <c r="I86" s="554"/>
      <c r="J86" s="554"/>
      <c r="K86" s="554"/>
      <c r="L86" s="580"/>
      <c r="M86" s="581"/>
      <c r="N86" s="1150"/>
      <c r="O86" s="1150"/>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7"/>
      <c r="Q87" s="504"/>
    </row>
    <row r="88" spans="1:17" s="117" customFormat="1" ht="15.75" thickTop="1">
      <c r="A88" s="579"/>
      <c r="B88" s="538" t="str">
        <f>B26</f>
        <v>可视性</v>
      </c>
      <c r="C88" s="554" t="s">
        <v>3095</v>
      </c>
      <c r="D88" s="554" t="s">
        <v>3093</v>
      </c>
      <c r="E88" s="554" t="s">
        <v>3092</v>
      </c>
      <c r="F88" s="2632" t="s">
        <v>3094</v>
      </c>
      <c r="G88" s="554" t="s">
        <v>3711</v>
      </c>
      <c r="H88" s="554"/>
      <c r="I88" s="554"/>
      <c r="J88" s="554"/>
      <c r="K88" s="554"/>
      <c r="L88" s="554"/>
      <c r="M88" s="581"/>
      <c r="N88" s="1150"/>
      <c r="O88" s="1150"/>
      <c r="P88" s="2627"/>
      <c r="Q88" s="504"/>
    </row>
    <row r="89" spans="1:17" s="117" customFormat="1" ht="15.75" thickBot="1">
      <c r="A89" s="579"/>
      <c r="B89" s="543"/>
      <c r="C89" s="560">
        <v>102</v>
      </c>
      <c r="D89" s="536">
        <v>101</v>
      </c>
      <c r="E89" s="536">
        <v>100</v>
      </c>
      <c r="F89" s="536">
        <v>99</v>
      </c>
      <c r="G89" s="536">
        <v>98</v>
      </c>
      <c r="H89" s="536"/>
      <c r="I89" s="536"/>
      <c r="J89" s="536"/>
      <c r="K89" s="536"/>
      <c r="L89" s="536"/>
      <c r="M89" s="536"/>
      <c r="N89" s="1152"/>
      <c r="O89" s="1152"/>
      <c r="P89" s="2627"/>
      <c r="Q89" s="504"/>
    </row>
    <row r="90" spans="1:17" s="471" customFormat="1" ht="15.75" thickTop="1">
      <c r="A90" s="553"/>
      <c r="B90" s="538" t="str">
        <f>B27</f>
        <v>人流量</v>
      </c>
      <c r="C90" s="2968" t="s">
        <v>3713</v>
      </c>
      <c r="D90" s="2968" t="s">
        <v>3715</v>
      </c>
      <c r="E90" s="2968" t="s">
        <v>3709</v>
      </c>
      <c r="F90" s="2968" t="s">
        <v>3716</v>
      </c>
      <c r="G90" s="2968" t="s">
        <v>3717</v>
      </c>
      <c r="H90" s="555"/>
      <c r="I90" s="555"/>
      <c r="J90" s="555"/>
      <c r="K90" s="555"/>
      <c r="L90" s="556"/>
      <c r="M90" s="557"/>
      <c r="N90" s="1153"/>
      <c r="O90" s="1153"/>
      <c r="P90" s="2628"/>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3"/>
      <c r="O91" s="1153"/>
      <c r="P91" s="2628"/>
      <c r="Q91" s="559"/>
    </row>
    <row r="92" spans="1:17" ht="15.75" thickTop="1">
      <c r="A92" s="534"/>
      <c r="B92" s="538" t="str">
        <f>B28</f>
        <v>楼层</v>
      </c>
      <c r="C92" s="554" t="s">
        <v>3718</v>
      </c>
      <c r="D92" s="554"/>
      <c r="E92" s="554"/>
      <c r="F92" s="554"/>
      <c r="G92" s="554"/>
      <c r="H92" s="554"/>
      <c r="I92" s="554"/>
      <c r="J92" s="554"/>
      <c r="K92" s="554"/>
      <c r="L92" s="580"/>
      <c r="M92" s="581"/>
      <c r="N92" s="1151"/>
      <c r="O92" s="1151"/>
      <c r="P92" s="2627"/>
      <c r="Q92" s="504"/>
    </row>
    <row r="93" spans="1:17" ht="15.75" thickBot="1">
      <c r="A93" s="534"/>
      <c r="B93" s="543"/>
      <c r="C93" s="536">
        <v>100</v>
      </c>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0</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2565</v>
      </c>
      <c r="B100" s="528" t="s">
        <v>2682</v>
      </c>
      <c r="C100" s="2967" t="s">
        <v>3391</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2"/>
      <c r="O101" s="1152"/>
      <c r="P101" s="2627"/>
      <c r="Q101" s="504"/>
    </row>
    <row r="102" spans="1:17" ht="15.75" thickTop="1">
      <c r="A102" s="534"/>
      <c r="B102" s="538" t="s">
        <v>2615</v>
      </c>
      <c r="C102" s="578" t="str">
        <f>C103&amp;"(含)"&amp;"-"&amp;D103</f>
        <v>0(含)-100</v>
      </c>
      <c r="D102" s="578" t="str">
        <f t="shared" ref="D102:L102" si="23">D103&amp;"(含)"&amp;"-"&amp;E103</f>
        <v>100(含)-200</v>
      </c>
      <c r="E102" s="578" t="str">
        <f t="shared" si="23"/>
        <v>200(含)-500</v>
      </c>
      <c r="F102" s="578" t="str">
        <f t="shared" si="23"/>
        <v>500(含)-800</v>
      </c>
      <c r="G102" s="578" t="str">
        <f t="shared" si="23"/>
        <v>800(含)-</v>
      </c>
      <c r="H102" s="578" t="str">
        <f t="shared" si="23"/>
        <v>(含)-</v>
      </c>
      <c r="I102" s="578" t="str">
        <f t="shared" si="23"/>
        <v>(含)-</v>
      </c>
      <c r="J102" s="578" t="str">
        <f t="shared" si="23"/>
        <v>(含)-</v>
      </c>
      <c r="K102" s="578" t="str">
        <f t="shared" si="23"/>
        <v>(含)-</v>
      </c>
      <c r="L102" s="578" t="str">
        <f t="shared" si="23"/>
        <v>(含)-</v>
      </c>
      <c r="M102" s="621" t="str">
        <f>M103&amp;"(含)"&amp;"-"&amp;P103</f>
        <v>(含)-</v>
      </c>
      <c r="N102" s="1150"/>
      <c r="O102" s="1150"/>
      <c r="P102" s="2627"/>
      <c r="Q102" s="504"/>
    </row>
    <row r="103" spans="1:17" s="471" customFormat="1">
      <c r="A103" s="593"/>
      <c r="B103" s="594"/>
      <c r="C103" s="595">
        <v>0</v>
      </c>
      <c r="D103" s="595">
        <v>100</v>
      </c>
      <c r="E103" s="595">
        <v>200</v>
      </c>
      <c r="F103" s="595">
        <v>500</v>
      </c>
      <c r="G103" s="595">
        <v>800</v>
      </c>
      <c r="H103" s="595"/>
      <c r="I103" s="595"/>
      <c r="J103" s="596"/>
      <c r="K103" s="596"/>
      <c r="L103" s="597"/>
      <c r="M103" s="598"/>
      <c r="N103" s="1153"/>
      <c r="O103" s="1153"/>
      <c r="P103" s="2628"/>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28"/>
      <c r="Q104" s="559"/>
    </row>
    <row r="105" spans="1:17" ht="15" thickTop="1">
      <c r="A105" s="599"/>
      <c r="B105" s="538" t="s">
        <v>2616</v>
      </c>
      <c r="C105" s="2968" t="s">
        <v>3719</v>
      </c>
      <c r="D105" s="2968" t="s">
        <v>3720</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7"/>
      <c r="Q106" s="504"/>
    </row>
    <row r="107" spans="1:17" ht="15" thickTop="1">
      <c r="A107" s="599"/>
      <c r="B107" s="538" t="s">
        <v>2618</v>
      </c>
      <c r="C107" s="2968" t="s">
        <v>3732</v>
      </c>
      <c r="D107" s="2968" t="s">
        <v>3733</v>
      </c>
      <c r="E107" s="2968" t="s">
        <v>3735</v>
      </c>
      <c r="F107" s="2969" t="s">
        <v>3737</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2620</v>
      </c>
      <c r="C112" s="2968" t="s">
        <v>3721</v>
      </c>
      <c r="D112" s="2968" t="s">
        <v>3722</v>
      </c>
      <c r="E112" s="2968" t="s">
        <v>3723</v>
      </c>
      <c r="F112" s="2968" t="s">
        <v>3724</v>
      </c>
      <c r="G112" s="2968" t="s">
        <v>3725</v>
      </c>
      <c r="H112" s="583"/>
      <c r="I112" s="583"/>
      <c r="J112" s="583"/>
      <c r="K112" s="584"/>
      <c r="L112" s="585"/>
      <c r="M112" s="586"/>
      <c r="N112" s="1153"/>
      <c r="O112" s="1153"/>
      <c r="P112" s="2628"/>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8"/>
      <c r="Q113" s="559"/>
    </row>
    <row r="114" spans="1:17" ht="15" thickTop="1">
      <c r="A114" s="599"/>
      <c r="B114" s="538" t="s">
        <v>2683</v>
      </c>
      <c r="C114" s="2968" t="s">
        <v>3727</v>
      </c>
      <c r="D114" s="2968" t="s">
        <v>3729</v>
      </c>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7"/>
      <c r="Q115" s="504"/>
    </row>
    <row r="116" spans="1:17" ht="15" thickTop="1">
      <c r="A116" s="599"/>
      <c r="B116" s="538" t="s">
        <v>2684</v>
      </c>
      <c r="C116" s="2968" t="s">
        <v>3779</v>
      </c>
      <c r="D116" s="2968" t="s">
        <v>3780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2685</v>
      </c>
      <c r="C118" s="626"/>
      <c r="D118" s="626"/>
      <c r="E118" s="626"/>
      <c r="F118" s="626"/>
      <c r="G118" s="626"/>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2622</v>
      </c>
      <c r="C122" s="2968" t="s">
        <v>3732</v>
      </c>
      <c r="D122" s="2968" t="s">
        <v>3733</v>
      </c>
      <c r="E122" s="2968" t="s">
        <v>3735</v>
      </c>
      <c r="F122" s="2969" t="s">
        <v>3737</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38" sqref="F3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1" t="s">
        <v>1589</v>
      </c>
      <c r="B1" s="781"/>
      <c r="C1" s="3026" t="s">
        <v>4104</v>
      </c>
      <c r="D1" s="1818" t="s">
        <v>70</v>
      </c>
      <c r="E1" s="1819" t="s">
        <v>1387</v>
      </c>
      <c r="F1" s="1282">
        <f ca="1">J53</f>
        <v>26.33</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1590</v>
      </c>
      <c r="B2" s="1841">
        <f ca="1">ROUND(D2/10000,0)</f>
        <v>2860</v>
      </c>
      <c r="C2" s="1842" t="s">
        <v>1591</v>
      </c>
      <c r="D2" s="1935">
        <f ca="1">C40+J29+L46</f>
        <v>28597326</v>
      </c>
      <c r="E2" s="1843" t="s">
        <v>1592</v>
      </c>
      <c r="F2" s="1844"/>
      <c r="G2" s="1845"/>
      <c r="H2" s="1837"/>
      <c r="I2" s="1837"/>
      <c r="J2" s="1837"/>
      <c r="K2" s="1838"/>
      <c r="L2" s="1837"/>
      <c r="M2" s="1837"/>
    </row>
    <row r="3" spans="1:37" ht="18" customHeight="1" thickBot="1">
      <c r="A3" s="1846" t="s">
        <v>1593</v>
      </c>
      <c r="B3" s="1847">
        <f ca="1">IF(ISERROR(D2/F43),0,ROUND(D2/F43,0))</f>
        <v>49117</v>
      </c>
      <c r="C3" s="1842" t="s">
        <v>1594</v>
      </c>
      <c r="D3" s="1842"/>
      <c r="E3" s="1843"/>
      <c r="F3" s="1844"/>
      <c r="G3" s="1845"/>
      <c r="H3" s="743"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1">
        <f ca="1">C6+C10+C12</f>
        <v>1917408</v>
      </c>
      <c r="D5" s="1820" t="s">
        <v>1601</v>
      </c>
      <c r="E5" s="1292"/>
      <c r="F5" s="1293"/>
      <c r="G5" s="1848"/>
      <c r="H5" s="344">
        <v>1</v>
      </c>
      <c r="I5" s="345" t="s">
        <v>1600</v>
      </c>
      <c r="J5" s="1291">
        <f ca="1">J6+J10+J12</f>
        <v>0</v>
      </c>
      <c r="K5" s="1820" t="s">
        <v>1601</v>
      </c>
      <c r="L5" s="1292"/>
      <c r="M5" s="1293"/>
    </row>
    <row r="6" spans="1:37" ht="18" customHeight="1">
      <c r="A6" s="1290" t="s">
        <v>1035</v>
      </c>
      <c r="B6" s="3291" t="s">
        <v>1403</v>
      </c>
      <c r="C6" s="1295">
        <f ca="1">ROUND(F6*F8*F7*(1-F9),0)</f>
        <v>1912626</v>
      </c>
      <c r="D6" s="164" t="s">
        <v>3026</v>
      </c>
      <c r="E6" s="347" t="s">
        <v>1405</v>
      </c>
      <c r="F6" s="348">
        <f ca="1">INDIRECT("'数据-取费表'!u"&amp;$G$1)</f>
        <v>10</v>
      </c>
      <c r="G6" s="1848"/>
      <c r="H6" s="1290" t="s">
        <v>1035</v>
      </c>
      <c r="I6" s="3291" t="s">
        <v>1403</v>
      </c>
      <c r="J6" s="346">
        <f ca="1">ROUND(M6*M8*M7*(1-M9),0)</f>
        <v>0</v>
      </c>
      <c r="K6" s="1832" t="s">
        <v>3027</v>
      </c>
      <c r="L6" s="347" t="s">
        <v>1405</v>
      </c>
      <c r="M6" s="348">
        <f ca="1">INDIRECT("'数据-取费表'!z"&amp;$G$1)</f>
        <v>0</v>
      </c>
    </row>
    <row r="7" spans="1:37" ht="18" customHeight="1">
      <c r="A7" s="1294"/>
      <c r="B7" s="3292"/>
      <c r="C7" s="1296"/>
      <c r="D7" s="352"/>
      <c r="E7" s="1297" t="s">
        <v>1406</v>
      </c>
      <c r="F7" s="348">
        <f ca="1">IF(INDIRECT("'数据-取费表'!ah"&amp;$G$1)="",INDIRECT("'数据-取费表'!k"&amp;$G$1),INDIRECT("'数据-取费表'!ah"&amp;$G$1))</f>
        <v>582.23</v>
      </c>
      <c r="G7" s="1848"/>
      <c r="H7" s="349"/>
      <c r="I7" s="3292"/>
      <c r="J7" s="351"/>
      <c r="K7" s="352"/>
      <c r="L7" s="347" t="s">
        <v>1406</v>
      </c>
      <c r="M7" s="348">
        <f ca="1">F7</f>
        <v>582.23</v>
      </c>
    </row>
    <row r="8" spans="1:37" ht="18" customHeight="1">
      <c r="A8" s="349"/>
      <c r="B8" s="3292"/>
      <c r="C8" s="351"/>
      <c r="D8" s="352"/>
      <c r="E8" s="347" t="s">
        <v>1407</v>
      </c>
      <c r="F8" s="348">
        <f ca="1">INDIRECT("'数据-取费表'!ai"&amp;$G$1)</f>
        <v>365</v>
      </c>
      <c r="G8" s="1848"/>
      <c r="H8" s="349"/>
      <c r="I8" s="3292"/>
      <c r="J8" s="351"/>
      <c r="K8" s="352"/>
      <c r="L8" s="347" t="s">
        <v>1407</v>
      </c>
      <c r="M8" s="348">
        <f ca="1">INDIRECT("'数据-取费表'!ai"&amp;$G$1)</f>
        <v>365</v>
      </c>
    </row>
    <row r="9" spans="1:37" ht="18" customHeight="1">
      <c r="A9" s="349"/>
      <c r="B9" s="3293"/>
      <c r="C9" s="351"/>
      <c r="D9" s="352"/>
      <c r="E9" s="347" t="s">
        <v>1408</v>
      </c>
      <c r="F9" s="357">
        <f ca="1">INDIRECT("'数据-取费表'!w"&amp;$G$1)</f>
        <v>0.1</v>
      </c>
      <c r="G9" s="1848"/>
      <c r="H9" s="349"/>
      <c r="I9" s="3293"/>
      <c r="J9" s="351"/>
      <c r="K9" s="352"/>
      <c r="L9" s="358" t="s">
        <v>1408</v>
      </c>
      <c r="M9" s="359">
        <f ca="1">INDIRECT("'数据-取费表'!ab"&amp;$G$1)</f>
        <v>0</v>
      </c>
    </row>
    <row r="10" spans="1:37" ht="18" customHeight="1">
      <c r="A10" s="1290" t="s">
        <v>1039</v>
      </c>
      <c r="B10" s="1821" t="s">
        <v>1409</v>
      </c>
      <c r="C10" s="361">
        <f ca="1">ROUND(IF(F10="押一",C6/12*F11,IF(F10="押二",C6/12*2*F11,IF(F10="押三",C6/12*3*F11,C11*F11))),0)</f>
        <v>4782</v>
      </c>
      <c r="D10" s="1822" t="s">
        <v>3037</v>
      </c>
      <c r="E10" s="358" t="s">
        <v>1410</v>
      </c>
      <c r="F10" s="3017" t="s">
        <v>3078</v>
      </c>
      <c r="G10" s="1848"/>
      <c r="H10" s="1290" t="s">
        <v>1039</v>
      </c>
      <c r="I10" s="1821" t="s">
        <v>1409</v>
      </c>
      <c r="J10" s="346">
        <f ca="1">ROUND(IF(M10="押一",J6/12*M11,IF(M10="押二",J6/12*2*M11,IF(M10="押三",J6/12*3*M11,J11*M11))),0)</f>
        <v>0</v>
      </c>
      <c r="K10" s="1833" t="s">
        <v>3039</v>
      </c>
      <c r="L10" s="358" t="s">
        <v>1410</v>
      </c>
      <c r="M10" s="1365"/>
    </row>
    <row r="11" spans="1:37" ht="18" customHeight="1">
      <c r="A11" s="353"/>
      <c r="B11" s="1823" t="s">
        <v>1602</v>
      </c>
      <c r="C11" s="1177"/>
      <c r="D11" s="352"/>
      <c r="E11" s="358" t="s">
        <v>1412</v>
      </c>
      <c r="F11" s="359">
        <f ca="1">'数据-取费表'!B39</f>
        <v>1.4999999999999999E-2</v>
      </c>
      <c r="G11" s="1848"/>
      <c r="H11" s="1298"/>
      <c r="I11" s="1823" t="s">
        <v>1603</v>
      </c>
      <c r="J11" s="1177"/>
      <c r="K11" s="747"/>
      <c r="L11" s="358" t="s">
        <v>1412</v>
      </c>
      <c r="M11" s="1055">
        <f ca="1">'数据-取费表'!B39</f>
        <v>1.4999999999999999E-2</v>
      </c>
    </row>
    <row r="12" spans="1:37" ht="18" customHeight="1" thickBot="1">
      <c r="A12" s="1332" t="s">
        <v>1075</v>
      </c>
      <c r="B12" s="1825" t="s">
        <v>1413</v>
      </c>
      <c r="C12" s="1333"/>
      <c r="D12" s="1334"/>
      <c r="E12" s="1339"/>
      <c r="F12" s="1335"/>
      <c r="G12" s="1848"/>
      <c r="H12" s="1332" t="s">
        <v>1075</v>
      </c>
      <c r="I12" s="1825" t="s">
        <v>1413</v>
      </c>
      <c r="J12" s="1333"/>
      <c r="K12" s="1347"/>
      <c r="L12" s="1339"/>
      <c r="M12" s="1348"/>
    </row>
    <row r="13" spans="1:37" ht="18" customHeight="1" thickTop="1">
      <c r="A13" s="1328">
        <v>2</v>
      </c>
      <c r="B13" s="1329" t="s">
        <v>1414</v>
      </c>
      <c r="C13" s="355">
        <f ca="1">ROUND(C29*F13,0)</f>
        <v>2745868</v>
      </c>
      <c r="D13" s="1330" t="s">
        <v>1415</v>
      </c>
      <c r="E13" s="1330" t="s">
        <v>1416</v>
      </c>
      <c r="F13" s="1331">
        <f ca="1">INDIRECT("'数据-取费表'!y"&amp;$G$1)</f>
        <v>0.97</v>
      </c>
      <c r="G13" s="1848"/>
      <c r="H13" s="1328">
        <v>2</v>
      </c>
      <c r="I13" s="1329" t="s">
        <v>1414</v>
      </c>
      <c r="J13" s="1289">
        <f ca="1">ROUND(J14*J15,0)</f>
        <v>0</v>
      </c>
      <c r="K13" s="1336" t="s">
        <v>1415</v>
      </c>
      <c r="L13" s="1849"/>
      <c r="M13" s="1850"/>
    </row>
    <row r="14" spans="1:37" ht="18" customHeight="1">
      <c r="A14" s="1200" t="s">
        <v>1034</v>
      </c>
      <c r="B14" s="347" t="s">
        <v>1417</v>
      </c>
      <c r="C14" s="363">
        <f ca="1">ROUND(INDIRECT("'数据-取费表'!l"&amp;$G$1)*F43+'数据-取费表'!L14*INDIRECT("'数据-取费表'!S"&amp;$G$1),0)</f>
        <v>1746690</v>
      </c>
      <c r="D14" s="1798" t="s">
        <v>1418</v>
      </c>
      <c r="E14" s="1792"/>
      <c r="F14" s="364"/>
      <c r="G14" s="1848"/>
      <c r="H14" s="1200" t="s">
        <v>1035</v>
      </c>
      <c r="I14" s="347" t="s">
        <v>1419</v>
      </c>
      <c r="J14" s="24">
        <f ca="1">C29</f>
        <v>2830792</v>
      </c>
      <c r="K14" s="15"/>
      <c r="L14" s="978"/>
      <c r="M14" s="979"/>
    </row>
    <row r="15" spans="1:37" s="1855" customFormat="1" ht="18" customHeight="1" thickBot="1">
      <c r="A15" s="1200" t="s">
        <v>1036</v>
      </c>
      <c r="B15" s="347" t="s">
        <v>1420</v>
      </c>
      <c r="C15" s="24">
        <f ca="1">ROUND(C14*F15,0)</f>
        <v>52401</v>
      </c>
      <c r="D15" s="365" t="s">
        <v>1421</v>
      </c>
      <c r="E15" s="365" t="s">
        <v>1422</v>
      </c>
      <c r="F15" s="366">
        <f>'数据-取费表'!B33</f>
        <v>0.03</v>
      </c>
      <c r="G15" s="1851"/>
      <c r="H15" s="1338" t="s">
        <v>1039</v>
      </c>
      <c r="I15" s="1339" t="s">
        <v>1416</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8"/>
      <c r="H16" s="1328" t="s">
        <v>1030</v>
      </c>
      <c r="I16" s="1329" t="s">
        <v>1424</v>
      </c>
      <c r="J16" s="355">
        <f ca="1">ROUND(J17+J22+J23+J24,0)</f>
        <v>66740</v>
      </c>
      <c r="K16" s="1336" t="s">
        <v>1425</v>
      </c>
      <c r="L16" s="1337"/>
      <c r="M16" s="1293"/>
    </row>
    <row r="17" spans="1:37" s="1855" customFormat="1" ht="18" customHeight="1">
      <c r="A17" s="1200" t="s">
        <v>1390</v>
      </c>
      <c r="B17" s="347" t="s">
        <v>1426</v>
      </c>
      <c r="C17" s="24">
        <f ca="1">ROUND(F17*(F43+INDIRECT("'数据-取费表'!S"&amp;$G$1)),0)</f>
        <v>116446</v>
      </c>
      <c r="D17" s="347" t="s">
        <v>1427</v>
      </c>
      <c r="E17" s="347" t="s">
        <v>1428</v>
      </c>
      <c r="F17" s="26">
        <f>'数据-取费表'!B35</f>
        <v>200</v>
      </c>
      <c r="G17" s="1851"/>
      <c r="H17" s="1200" t="s">
        <v>1035</v>
      </c>
      <c r="I17" s="347" t="s">
        <v>1429</v>
      </c>
      <c r="J17" s="24">
        <f ca="1">ROUND(IF(项目基本情况!B11="自然人",J5*M17,J18+J19+J20),0)</f>
        <v>24278</v>
      </c>
      <c r="K17" s="1798" t="s">
        <v>1430</v>
      </c>
      <c r="L17" s="179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7" t="s">
        <v>1432</v>
      </c>
      <c r="C18" s="24">
        <f ca="1">ROUND(C14*F18,0)</f>
        <v>26200</v>
      </c>
      <c r="D18" s="347" t="s">
        <v>1421</v>
      </c>
      <c r="E18" s="347" t="s">
        <v>1422</v>
      </c>
      <c r="F18" s="367">
        <f>'数据-取费表'!B36</f>
        <v>1.4999999999999999E-2</v>
      </c>
      <c r="G18" s="1851"/>
      <c r="H18" s="1200" t="s">
        <v>1034</v>
      </c>
      <c r="I18" s="347" t="s">
        <v>1433</v>
      </c>
      <c r="J18" s="24">
        <f ca="1">ROUND(J5*M18/(1+'数据-取费表'!C42),0)</f>
        <v>0</v>
      </c>
      <c r="K18" s="179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7" t="s">
        <v>1435</v>
      </c>
      <c r="C19" s="24">
        <f ca="1">SUM(C14:C18)</f>
        <v>1941737</v>
      </c>
      <c r="D19" s="140" t="s">
        <v>1436</v>
      </c>
      <c r="E19" s="1816"/>
      <c r="F19" s="26"/>
      <c r="G19" s="1848"/>
      <c r="H19" s="1200" t="s">
        <v>1036</v>
      </c>
      <c r="I19" s="347" t="s">
        <v>1437</v>
      </c>
      <c r="J19" s="24">
        <f ca="1">IF(K19="按租金收入计税",ROUND(J5*M19,0),ROUND(C29*M19*0.7,0))</f>
        <v>23779</v>
      </c>
      <c r="K19" s="1826" t="s">
        <v>1438</v>
      </c>
      <c r="L19" s="347" t="s">
        <v>1422</v>
      </c>
      <c r="M19" s="367">
        <f>IF(K19="按租金收入计税",'数据-取费表'!B51,'数据-取费表'!B50)</f>
        <v>1.2E-2</v>
      </c>
    </row>
    <row r="20" spans="1:37" s="1855" customFormat="1" ht="18" customHeight="1">
      <c r="A20" s="1200" t="s">
        <v>1039</v>
      </c>
      <c r="B20" s="347" t="s">
        <v>1439</v>
      </c>
      <c r="C20" s="24">
        <f ca="1">ROUND(C19*F20,0)</f>
        <v>38835</v>
      </c>
      <c r="D20" s="369" t="s">
        <v>1440</v>
      </c>
      <c r="E20" s="347" t="s">
        <v>1422</v>
      </c>
      <c r="F20" s="367">
        <f>'数据-取费表'!B37</f>
        <v>0.02</v>
      </c>
      <c r="G20" s="1851"/>
      <c r="H20" s="1200" t="s">
        <v>1389</v>
      </c>
      <c r="I20" s="164" t="s">
        <v>1441</v>
      </c>
      <c r="J20" s="25">
        <f ca="1">ROUND(M20*M21,0)</f>
        <v>499</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166.35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8"/>
      <c r="H22" s="1200" t="s">
        <v>1039</v>
      </c>
      <c r="I22" s="347" t="s">
        <v>1449</v>
      </c>
      <c r="J22" s="24">
        <f ca="1">ROUND(J14*M22,0)</f>
        <v>42462</v>
      </c>
      <c r="K22" s="1796" t="s">
        <v>1450</v>
      </c>
      <c r="L22" s="347" t="s">
        <v>1422</v>
      </c>
      <c r="M22" s="374">
        <f ca="1">INDIRECT("'数据-取费表'!Ak"&amp;$G$1)</f>
        <v>1.4999999999999999E-2</v>
      </c>
    </row>
    <row r="23" spans="1:37" s="1855" customFormat="1" ht="18" customHeight="1">
      <c r="A23" s="1200" t="s">
        <v>1034</v>
      </c>
      <c r="B23" s="347" t="s">
        <v>1451</v>
      </c>
      <c r="C23" s="24">
        <f ca="1">IF('数据-取费表'!B22&lt;=1,ROUND(C19*F24*F23/2,0)+ROUND(C20*F24*F23/2,0),ROUND(C19*(POWER((1+F24),F23/2)-1),0)+ROUND(C20*(POWER((1+F24),F23/2)-1),0))</f>
        <v>94078</v>
      </c>
      <c r="D23" s="375" t="str">
        <f>IF(F23&lt;=1,"(建造成本+管理费用)×利率×(建设周期÷2)","(建造成本+管理费用)×((1+利率)^(建设周期÷2)-1)")</f>
        <v>(建造成本+管理费用)×((1+利率)^(建设周期÷2)-1)</v>
      </c>
      <c r="E23" s="347" t="s">
        <v>1452</v>
      </c>
      <c r="F23" s="371">
        <f>'数据-取费表'!B20</f>
        <v>2</v>
      </c>
      <c r="G23" s="1851"/>
      <c r="H23" s="1200" t="s">
        <v>1075</v>
      </c>
      <c r="I23" s="347" t="s">
        <v>1453</v>
      </c>
      <c r="J23" s="24">
        <f ca="1">ROUND(J13*M23,0)</f>
        <v>0</v>
      </c>
      <c r="K23" s="179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1"/>
      <c r="H24" s="1338" t="s">
        <v>1393</v>
      </c>
      <c r="I24" s="1339" t="s">
        <v>1439</v>
      </c>
      <c r="J24" s="1340">
        <f ca="1">ROUND(J5*M24,0)</f>
        <v>0</v>
      </c>
      <c r="K24" s="1341" t="s">
        <v>1459</v>
      </c>
      <c r="L24" s="1339" t="s">
        <v>1455</v>
      </c>
      <c r="M24" s="1335">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1460</v>
      </c>
      <c r="B25" s="347" t="s">
        <v>1461</v>
      </c>
      <c r="C25" s="24"/>
      <c r="D25" s="140" t="s">
        <v>1462</v>
      </c>
      <c r="E25" s="1816"/>
      <c r="F25" s="26"/>
      <c r="G25" s="1848"/>
      <c r="H25" s="1328" t="s">
        <v>1031</v>
      </c>
      <c r="I25" s="1343" t="s">
        <v>1463</v>
      </c>
      <c r="J25" s="355">
        <f ca="1">J5-J16</f>
        <v>-66740</v>
      </c>
      <c r="K25" s="1344" t="s">
        <v>1464</v>
      </c>
      <c r="L25" s="1345"/>
      <c r="M25" s="1346"/>
    </row>
    <row r="26" spans="1:37" ht="18" customHeight="1">
      <c r="A26" s="1200" t="s">
        <v>1034</v>
      </c>
      <c r="B26" s="347" t="s">
        <v>1465</v>
      </c>
      <c r="C26" s="24">
        <f ca="1">ROUND((C19+C20)*F26,0)</f>
        <v>495143</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7.4999999999999997E-3</v>
      </c>
      <c r="D27" s="369" t="s">
        <v>1472</v>
      </c>
      <c r="E27" s="365"/>
      <c r="F27" s="366"/>
      <c r="G27" s="1848"/>
      <c r="H27" s="349"/>
      <c r="I27" s="350"/>
      <c r="J27" s="351"/>
      <c r="K27" s="378" t="s">
        <v>1473</v>
      </c>
      <c r="L27" s="347" t="s">
        <v>1474</v>
      </c>
      <c r="M27" s="379">
        <f ca="1">INDIRECT("'数据-取费表'!ag"&amp;$G$1)</f>
        <v>0</v>
      </c>
    </row>
    <row r="28" spans="1:37" s="1855" customFormat="1" ht="18" customHeight="1">
      <c r="A28" s="1200"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1478</v>
      </c>
      <c r="C29" s="1340">
        <f ca="1">ROUND((C19+C20+C23+C26)/(1-F21-C24-C27-C28),0)</f>
        <v>2830792</v>
      </c>
      <c r="D29" s="1341"/>
      <c r="E29" s="1339"/>
      <c r="F29" s="1342"/>
      <c r="G29" s="1851"/>
      <c r="H29" s="380" t="s">
        <v>1033</v>
      </c>
      <c r="I29" s="381" t="s">
        <v>1479</v>
      </c>
      <c r="J29" s="382">
        <f ca="1">ROUND(J26/(1+F40)^F41,0)</f>
        <v>0</v>
      </c>
      <c r="K29" s="383" t="s">
        <v>1480</v>
      </c>
      <c r="L29" s="384"/>
      <c r="M29" s="385">
        <f ca="1">INDIRECT("'数据-取费表'!k"&amp;$G$1)</f>
        <v>582.23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1424</v>
      </c>
      <c r="C30" s="355">
        <f ca="1">ROUND(C31+C36+C37+C38,0)</f>
        <v>398605</v>
      </c>
      <c r="D30" s="1336" t="s">
        <v>1425</v>
      </c>
      <c r="E30" s="1337"/>
      <c r="F30" s="1293"/>
      <c r="G30" s="1848"/>
      <c r="H30" s="744"/>
      <c r="I30" s="745"/>
      <c r="J30" s="746"/>
      <c r="K30" s="747"/>
      <c r="L30" s="748"/>
      <c r="M30" s="749"/>
    </row>
    <row r="31" spans="1:37" ht="18" customHeight="1">
      <c r="A31" s="1200" t="s">
        <v>1035</v>
      </c>
      <c r="B31" s="347" t="s">
        <v>1429</v>
      </c>
      <c r="C31" s="24">
        <f ca="1">ROUND(IF(项目基本情况!B11="自然人",C5*F31,C32+C33+C34),0)</f>
        <v>332850</v>
      </c>
      <c r="D31" s="1798" t="s">
        <v>1430</v>
      </c>
      <c r="E31" s="1796"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200" t="s">
        <v>1034</v>
      </c>
      <c r="B32" s="347" t="s">
        <v>1433</v>
      </c>
      <c r="C32" s="24">
        <f ca="1">IF(项目基本情况!B11="自然人","——",ROUND(C5*F32/(1+'数据-取费表'!C42),0))</f>
        <v>102262</v>
      </c>
      <c r="D32" s="1796" t="s">
        <v>1434</v>
      </c>
      <c r="E32" s="347" t="s">
        <v>1422</v>
      </c>
      <c r="F32" s="377">
        <f>'数据-取费表'!B41</f>
        <v>5.6000000000000001E-2</v>
      </c>
      <c r="G32" s="1848"/>
      <c r="H32" s="744"/>
      <c r="I32" s="745"/>
      <c r="J32" s="746"/>
      <c r="K32" s="747"/>
      <c r="L32" s="748"/>
      <c r="M32" s="749"/>
    </row>
    <row r="33" spans="1:18" ht="18" customHeight="1">
      <c r="A33" s="1200" t="s">
        <v>1036</v>
      </c>
      <c r="B33" s="347" t="s">
        <v>1437</v>
      </c>
      <c r="C33" s="24">
        <f ca="1">IF(项目基本情况!B11="自然人","——",IF(D33="按租金收入计税",ROUND(C5*F33,0),IF(D33="按房产原值计税",ROUND(C29*F33*0.7,0),INDIRECT("'数据-取费表'!Aj"&amp;$G$1))))</f>
        <v>230089</v>
      </c>
      <c r="D33" s="3027" t="s">
        <v>3079</v>
      </c>
      <c r="E33" s="347" t="s">
        <v>1422</v>
      </c>
      <c r="F33" s="367">
        <f>IF(D33="按票据","——",IF(D33="按租金收入计税",'数据-取费表'!B51,'数据-取费表'!B50))</f>
        <v>0.12</v>
      </c>
      <c r="G33" s="1848"/>
      <c r="H33" s="1856"/>
      <c r="I33" s="1857"/>
      <c r="J33" s="1858"/>
      <c r="K33" s="1859"/>
      <c r="L33" s="1856"/>
      <c r="M33" s="1856"/>
    </row>
    <row r="34" spans="1:18" ht="18" customHeight="1">
      <c r="A34" s="1290" t="s">
        <v>1389</v>
      </c>
      <c r="B34" s="164" t="s">
        <v>1441</v>
      </c>
      <c r="C34" s="25">
        <f ca="1">IF(项目基本情况!B11="自然人","——",ROUND(F34*F35,))</f>
        <v>499</v>
      </c>
      <c r="D34" s="370" t="s">
        <v>1442</v>
      </c>
      <c r="E34" s="347" t="s">
        <v>1443</v>
      </c>
      <c r="F34" s="371">
        <f>'数据-取费表'!B52</f>
        <v>3</v>
      </c>
      <c r="G34" s="1848"/>
      <c r="H34" s="744"/>
      <c r="I34" s="1857"/>
      <c r="J34" s="1858"/>
      <c r="K34" s="1860"/>
      <c r="L34" s="1861"/>
      <c r="M34" s="1861"/>
    </row>
    <row r="35" spans="1:18" ht="18" customHeight="1">
      <c r="A35" s="1352"/>
      <c r="B35" s="1350"/>
      <c r="C35" s="29"/>
      <c r="D35" s="373"/>
      <c r="E35" s="347" t="s">
        <v>1447</v>
      </c>
      <c r="F35" s="348">
        <f ca="1">INDIRECT("'数据-取费表'!r"&amp;$G$1)</f>
        <v>166.35</v>
      </c>
      <c r="G35" s="1848"/>
      <c r="H35" s="744"/>
      <c r="I35" s="1857"/>
      <c r="J35" s="1858"/>
      <c r="K35" s="1859"/>
      <c r="L35" s="1856"/>
      <c r="M35" s="1856"/>
    </row>
    <row r="36" spans="1:18" ht="18" customHeight="1">
      <c r="A36" s="1351" t="s">
        <v>1039</v>
      </c>
      <c r="B36" s="347" t="s">
        <v>1449</v>
      </c>
      <c r="C36" s="24">
        <f ca="1">ROUND(C29*F36,0)</f>
        <v>42462</v>
      </c>
      <c r="D36" s="1796" t="s">
        <v>1482</v>
      </c>
      <c r="E36" s="347" t="s">
        <v>1422</v>
      </c>
      <c r="F36" s="374">
        <f ca="1">INDIRECT("'数据-取费表'!Ak"&amp;$G$1)</f>
        <v>1.4999999999999999E-2</v>
      </c>
      <c r="G36" s="1848"/>
      <c r="H36" s="1856"/>
      <c r="I36" s="1857"/>
      <c r="J36" s="1858"/>
      <c r="K36" s="750"/>
      <c r="L36" s="1856"/>
      <c r="M36" s="1856"/>
    </row>
    <row r="37" spans="1:18" ht="18" customHeight="1">
      <c r="A37" s="1200" t="s">
        <v>1075</v>
      </c>
      <c r="B37" s="347" t="s">
        <v>1453</v>
      </c>
      <c r="C37" s="24">
        <f ca="1">ROUND(C13*F37,0)</f>
        <v>4119</v>
      </c>
      <c r="D37" s="1796" t="s">
        <v>1454</v>
      </c>
      <c r="E37" s="347" t="s">
        <v>1455</v>
      </c>
      <c r="F37" s="376">
        <f ca="1">INDIRECT("'数据-取费表'!Al"&amp;$G$1)</f>
        <v>1.5E-3</v>
      </c>
      <c r="G37" s="1848"/>
      <c r="H37" s="1856"/>
      <c r="I37" s="1857"/>
      <c r="J37" s="1858"/>
      <c r="K37" s="750"/>
      <c r="L37" s="1856"/>
      <c r="M37" s="1856"/>
    </row>
    <row r="38" spans="1:18" ht="18" customHeight="1" thickBot="1">
      <c r="A38" s="1338" t="s">
        <v>1393</v>
      </c>
      <c r="B38" s="1339" t="s">
        <v>1439</v>
      </c>
      <c r="C38" s="1340">
        <f ca="1">ROUND(C5*F38,1)</f>
        <v>19174.099999999999</v>
      </c>
      <c r="D38" s="1341" t="s">
        <v>1459</v>
      </c>
      <c r="E38" s="1339" t="s">
        <v>1455</v>
      </c>
      <c r="F38" s="1335">
        <f ca="1">INDIRECT("'数据-取费表'!Am"&amp;$G$1)</f>
        <v>0.01</v>
      </c>
      <c r="G38" s="1848"/>
      <c r="H38" s="1856"/>
      <c r="I38" s="1857"/>
      <c r="J38" s="1858"/>
      <c r="K38" s="1862"/>
      <c r="L38" s="1856"/>
      <c r="M38" s="1856"/>
    </row>
    <row r="39" spans="1:18" ht="24.6" customHeight="1" thickTop="1">
      <c r="A39" s="1328" t="s">
        <v>1031</v>
      </c>
      <c r="B39" s="1343" t="s">
        <v>1483</v>
      </c>
      <c r="C39" s="355">
        <f ca="1">C5-C30</f>
        <v>1518803</v>
      </c>
      <c r="D39" s="1344" t="s">
        <v>1484</v>
      </c>
      <c r="E39" s="1345"/>
      <c r="F39" s="1346"/>
      <c r="G39" s="1848"/>
      <c r="H39" s="1856"/>
      <c r="I39" s="1857"/>
      <c r="J39" s="1858"/>
      <c r="K39" s="1862"/>
      <c r="L39" s="1856"/>
      <c r="M39" s="1856"/>
    </row>
    <row r="40" spans="1:18" ht="18" customHeight="1">
      <c r="A40" s="344" t="s">
        <v>1032</v>
      </c>
      <c r="B40" s="345" t="s">
        <v>1485</v>
      </c>
      <c r="C40" s="346">
        <f ca="1">ROUND(C39*(1-((1+F42)/(1+F40))^F41)/(F40-F42),0)</f>
        <v>28442764</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26.33</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ROUND(C40/F43,0)</f>
        <v>48851</v>
      </c>
      <c r="D43" s="383" t="s">
        <v>1488</v>
      </c>
      <c r="E43" s="384" t="s">
        <v>1489</v>
      </c>
      <c r="F43" s="385">
        <f ca="1">INDIRECT("'数据-取费表'!k"&amp;$G$1)</f>
        <v>582.23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-33777495</v>
      </c>
      <c r="D45" s="1937" t="s">
        <v>1604</v>
      </c>
      <c r="E45" s="1863"/>
      <c r="F45" s="1863"/>
      <c r="O45" s="1866" t="s">
        <v>1519</v>
      </c>
      <c r="P45" s="1836"/>
      <c r="Q45" s="1836"/>
      <c r="R45" s="1836"/>
    </row>
    <row r="46" spans="1:18" s="1839" customFormat="1" ht="13.5" thickBot="1">
      <c r="A46" s="1867" t="s">
        <v>1520</v>
      </c>
      <c r="C46" s="1868">
        <f ca="1">ROUND(C45/10000,0)</f>
        <v>-3378</v>
      </c>
      <c r="D46" s="1869" t="str">
        <f>C2</f>
        <v>万元</v>
      </c>
      <c r="I46" s="1870" t="s">
        <v>1521</v>
      </c>
      <c r="J46" s="1871"/>
      <c r="K46" s="1872"/>
      <c r="L46" s="1873">
        <f ca="1">IF(M47="住宅",0,IF(L48&gt;J51,L60,J60))</f>
        <v>154562</v>
      </c>
      <c r="O46" s="1874" t="s">
        <v>1522</v>
      </c>
      <c r="P46" s="1875" t="s">
        <v>1523</v>
      </c>
      <c r="Q46" s="1876" t="s">
        <v>1524</v>
      </c>
      <c r="R46" s="1876" t="s">
        <v>1525</v>
      </c>
    </row>
    <row r="47" spans="1:18" s="1839" customFormat="1" ht="13.5" thickBot="1">
      <c r="A47" s="1164" t="s">
        <v>1396</v>
      </c>
      <c r="B47" s="1196" t="s">
        <v>1397</v>
      </c>
      <c r="C47" s="1196" t="s">
        <v>1398</v>
      </c>
      <c r="D47" s="1196" t="s">
        <v>1399</v>
      </c>
      <c r="E47" s="1278" t="s">
        <v>1400</v>
      </c>
      <c r="F47" s="1279"/>
      <c r="G47" s="791"/>
      <c r="I47" s="1877" t="s">
        <v>1526</v>
      </c>
      <c r="J47" s="1878" t="s">
        <v>3080</v>
      </c>
      <c r="K47" s="1879" t="s">
        <v>1527</v>
      </c>
      <c r="L47" s="1880">
        <f ca="1">INDIRECT("'数据-取费表'!d"&amp;$G$1)</f>
        <v>40</v>
      </c>
      <c r="M47" s="1835" t="str">
        <f>IF(ISNUMBER(FIND("住宅",C1)),"住宅","非住宅")</f>
        <v>非住宅</v>
      </c>
      <c r="O47" s="1881" t="s">
        <v>1040</v>
      </c>
      <c r="P47" s="1882" t="s">
        <v>1528</v>
      </c>
      <c r="Q47" s="1883">
        <f ca="1">C40+J29</f>
        <v>28442764</v>
      </c>
      <c r="R47" s="1883" t="s">
        <v>1529</v>
      </c>
    </row>
    <row r="48" spans="1:18" s="1839" customFormat="1" ht="28.5" thickBot="1">
      <c r="A48" s="1359" t="s">
        <v>1135</v>
      </c>
      <c r="B48" s="345" t="s">
        <v>1401</v>
      </c>
      <c r="C48" s="1815">
        <f ca="1">C49+C53+C55</f>
        <v>0</v>
      </c>
      <c r="D48" s="1361"/>
      <c r="E48" s="1362"/>
      <c r="F48" s="1180"/>
      <c r="G48" s="791"/>
      <c r="H48" s="792"/>
      <c r="I48" s="1884" t="s">
        <v>1530</v>
      </c>
      <c r="J48" s="1885" t="s">
        <v>3081</v>
      </c>
      <c r="K48" s="1886" t="s">
        <v>1531</v>
      </c>
      <c r="L48" s="1887">
        <f ca="1">INDIRECT("'数据-取费表'!f"&amp;$G$1)</f>
        <v>26.33</v>
      </c>
      <c r="O48" s="1881" t="s">
        <v>1041</v>
      </c>
      <c r="P48" s="1882" t="s">
        <v>1532</v>
      </c>
      <c r="Q48" s="1883">
        <f ca="1">J60</f>
        <v>154562</v>
      </c>
      <c r="R48" s="1883" t="s">
        <v>1533</v>
      </c>
    </row>
    <row r="49" spans="1:18" s="1839" customFormat="1" ht="13.5" thickBot="1">
      <c r="A49" s="1193" t="s">
        <v>1136</v>
      </c>
      <c r="B49" s="1827" t="s">
        <v>1490</v>
      </c>
      <c r="C49" s="1363">
        <f ca="1">ROUND(F49*F51*F50*(1-F52),0)</f>
        <v>0</v>
      </c>
      <c r="D49" s="1275" t="s">
        <v>1404</v>
      </c>
      <c r="E49" s="1828" t="s">
        <v>1491</v>
      </c>
      <c r="F49" s="1280"/>
      <c r="G49" s="1888"/>
      <c r="H49" s="792"/>
      <c r="I49" s="1884" t="s">
        <v>1534</v>
      </c>
      <c r="J49" s="1889">
        <v>2016</v>
      </c>
      <c r="K49" s="1886" t="s">
        <v>1535</v>
      </c>
      <c r="L49" s="1890"/>
      <c r="O49" s="1891" t="s">
        <v>1042</v>
      </c>
      <c r="P49" s="1882" t="s">
        <v>1536</v>
      </c>
      <c r="Q49" s="1883">
        <f ca="1">C29</f>
        <v>2830792</v>
      </c>
      <c r="R49" s="1883" t="s">
        <v>1529</v>
      </c>
    </row>
    <row r="50" spans="1:18" s="1839" customFormat="1" ht="13.5" thickBot="1">
      <c r="A50" s="1194"/>
      <c r="B50" s="1197"/>
      <c r="C50" s="1198"/>
      <c r="D50" s="1171"/>
      <c r="E50" s="1276" t="s">
        <v>1406</v>
      </c>
      <c r="F50" s="1277">
        <f ca="1">F7</f>
        <v>582.23</v>
      </c>
      <c r="H50" s="792"/>
      <c r="I50" s="1884" t="s">
        <v>1537</v>
      </c>
      <c r="J50" s="1892">
        <f>SUMPRODUCT((I63:I65=J47)*(J62:L62=J48)*(J63:L65))</f>
        <v>60</v>
      </c>
      <c r="K50" s="1886" t="s">
        <v>1538</v>
      </c>
      <c r="L50" s="1890"/>
      <c r="M50" s="1893"/>
      <c r="O50" s="1891" t="s">
        <v>1043</v>
      </c>
      <c r="P50" s="1882" t="s">
        <v>1539</v>
      </c>
      <c r="Q50" s="1894">
        <f ca="1">J58</f>
        <v>0.52800000000000002</v>
      </c>
      <c r="R50" s="1883"/>
    </row>
    <row r="51" spans="1:18" s="1839" customFormat="1" ht="13.5" thickBot="1">
      <c r="A51" s="1195"/>
      <c r="B51" s="1197"/>
      <c r="C51" s="1198"/>
      <c r="D51" s="1171"/>
      <c r="E51" s="1199" t="s">
        <v>1407</v>
      </c>
      <c r="F51" s="348">
        <f ca="1">F8</f>
        <v>365</v>
      </c>
      <c r="I51" s="1895" t="s">
        <v>1540</v>
      </c>
      <c r="J51" s="1896">
        <f>IF(J49="",J50,J49+J50-YEAR('数据-取费表'!B2))</f>
        <v>58</v>
      </c>
      <c r="K51" s="1897" t="s">
        <v>1541</v>
      </c>
      <c r="L51" s="1898">
        <f ca="1">ROUND(-PV(INDIRECT("'数据-取费表'!h"&amp;$G$1),L48,(C39-C13*C76),0),0)</f>
        <v>18593403</v>
      </c>
      <c r="M51" s="1899"/>
      <c r="O51" s="1891" t="s">
        <v>1044</v>
      </c>
      <c r="P51" s="1882" t="s">
        <v>1542</v>
      </c>
      <c r="Q51" s="1894">
        <f>J52</f>
        <v>0.09</v>
      </c>
      <c r="R51" s="1883"/>
    </row>
    <row r="52" spans="1:18" s="1839" customFormat="1" ht="13.5" thickBot="1">
      <c r="A52" s="1195"/>
      <c r="B52" s="1197"/>
      <c r="C52" s="1198"/>
      <c r="D52" s="1171"/>
      <c r="E52" s="1199" t="s">
        <v>1408</v>
      </c>
      <c r="F52" s="1274"/>
      <c r="I52" s="1900" t="s">
        <v>1543</v>
      </c>
      <c r="J52" s="1901">
        <v>0.09</v>
      </c>
      <c r="K52" s="1900" t="s">
        <v>1544</v>
      </c>
      <c r="L52" s="1901"/>
      <c r="O52" s="1891" t="s">
        <v>1045</v>
      </c>
      <c r="P52" s="1882" t="s">
        <v>1545</v>
      </c>
      <c r="Q52" s="1883">
        <f ca="1">J53</f>
        <v>26.33</v>
      </c>
      <c r="R52" s="1883" t="s">
        <v>1546</v>
      </c>
    </row>
    <row r="53" spans="1:18" s="1839" customFormat="1" ht="30.75" customHeight="1" thickBot="1">
      <c r="A53" s="1360" t="s">
        <v>1137</v>
      </c>
      <c r="B53" s="369" t="s">
        <v>1409</v>
      </c>
      <c r="C53" s="361">
        <f ca="1">ROUND(IF(F53="押一",C49/12*F11,IF(F53="押二",C49/12*2*F11,IF(F53="押三",C49/12*3*F11,C54*F11))),0)</f>
        <v>0</v>
      </c>
      <c r="D53" s="1822" t="s">
        <v>3040</v>
      </c>
      <c r="E53" s="358" t="s">
        <v>1410</v>
      </c>
      <c r="F53" s="1365"/>
      <c r="I53" s="1902" t="s">
        <v>1547</v>
      </c>
      <c r="J53" s="1903">
        <f ca="1">IF(M47="住宅",J51,IF(D1="——",MIN(J51,L48),IF(D1="在建（套用方法）",MIN(J51,L48-'数据-取费表'!B24),IF(D1="土地（套用方法）",MIN(J51,L48-'数据-取费表'!B20)))))</f>
        <v>26.33</v>
      </c>
      <c r="K53" s="3294" t="s">
        <v>1548</v>
      </c>
      <c r="L53" s="3295"/>
      <c r="O53" s="1881" t="s">
        <v>1046</v>
      </c>
      <c r="P53" s="1882" t="s">
        <v>1549</v>
      </c>
      <c r="Q53" s="1883">
        <f ca="1">Q47+Q48</f>
        <v>28597326</v>
      </c>
      <c r="R53" s="1883" t="s">
        <v>1047</v>
      </c>
    </row>
    <row r="54" spans="1:18" s="1839" customFormat="1" ht="13.5" thickBot="1">
      <c r="A54" s="1193"/>
      <c r="B54" s="1938" t="s">
        <v>1603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2" t="s">
        <v>1075</v>
      </c>
      <c r="B55" s="1825" t="s">
        <v>1413</v>
      </c>
      <c r="C55" s="1333"/>
      <c r="D55" s="1822"/>
      <c r="E55" s="1830"/>
      <c r="F55" s="1904"/>
      <c r="I55" s="1907" t="s">
        <v>1551</v>
      </c>
      <c r="J55" s="1908">
        <f ca="1">ROUND(IF(J47="钢混",J57/J50,1-(1-2%)*(J50-J57)/J50),3)</f>
        <v>0.52800000000000002</v>
      </c>
      <c r="K55" s="1909" t="s">
        <v>1552</v>
      </c>
      <c r="L55" s="1910"/>
      <c r="O55" s="1874" t="s">
        <v>1522</v>
      </c>
      <c r="P55" s="1875" t="s">
        <v>1523</v>
      </c>
      <c r="Q55" s="1876" t="s">
        <v>1524</v>
      </c>
      <c r="R55" s="1876" t="s">
        <v>1525</v>
      </c>
    </row>
    <row r="56" spans="1:18" s="1839" customFormat="1" ht="36" customHeight="1" thickTop="1" thickBot="1">
      <c r="A56" s="1175">
        <v>2</v>
      </c>
      <c r="B56" s="1176" t="s">
        <v>1414</v>
      </c>
      <c r="C56" s="276">
        <f ca="1">C13</f>
        <v>2745868</v>
      </c>
      <c r="D56" s="1911"/>
      <c r="E56" s="1912"/>
      <c r="F56" s="1904"/>
      <c r="I56" s="1913" t="s">
        <v>1554</v>
      </c>
      <c r="J56" s="1914" t="s">
        <v>3049</v>
      </c>
      <c r="K56" s="1884" t="s">
        <v>1555</v>
      </c>
      <c r="L56" s="1887" t="str">
        <f ca="1">IF(L48&lt;J51,"——",L48-J51)</f>
        <v>——</v>
      </c>
      <c r="O56" s="1881" t="s">
        <v>1040</v>
      </c>
      <c r="P56" s="1882" t="s">
        <v>1528</v>
      </c>
      <c r="Q56" s="1883">
        <f ca="1">C40+J29</f>
        <v>28442764</v>
      </c>
      <c r="R56" s="1883" t="s">
        <v>1529</v>
      </c>
    </row>
    <row r="57" spans="1:18" s="1839" customFormat="1" ht="24.75" thickBot="1">
      <c r="A57" s="1915"/>
      <c r="B57" s="1168" t="s">
        <v>1478</v>
      </c>
      <c r="C57" s="282">
        <f ca="1">C29</f>
        <v>2830792</v>
      </c>
      <c r="D57" s="1916"/>
      <c r="E57" s="1917"/>
      <c r="F57" s="1918"/>
      <c r="I57" s="1919" t="s">
        <v>1556</v>
      </c>
      <c r="J57" s="1920">
        <f ca="1">IF(OR(M47="住宅",J51&lt;L48,J56="是"),"——",J51-L48)</f>
        <v>31.67</v>
      </c>
      <c r="K57" s="1884" t="s">
        <v>1605</v>
      </c>
      <c r="L57" s="1887" t="str">
        <f ca="1">IF(L48&lt;J51,"——",IF(L55="比较法",L49,IF(L55="基准地价",L50,L51)))</f>
        <v>——</v>
      </c>
      <c r="O57" s="1881" t="s">
        <v>1041</v>
      </c>
      <c r="P57" s="1882" t="s">
        <v>1606</v>
      </c>
      <c r="Q57" s="1883">
        <f ca="1">L60</f>
        <v>0</v>
      </c>
      <c r="R57" s="1883" t="s">
        <v>1607</v>
      </c>
    </row>
    <row r="58" spans="1:18" s="1839" customFormat="1" ht="24.75" thickBot="1">
      <c r="A58" s="360" t="s">
        <v>1030</v>
      </c>
      <c r="B58" s="1176" t="s">
        <v>1424</v>
      </c>
      <c r="C58" s="361">
        <f ca="1">ROUND(C59+C64+C65+C66,0)</f>
        <v>284867</v>
      </c>
      <c r="D58" s="1178" t="s">
        <v>1425</v>
      </c>
      <c r="E58" s="1179"/>
      <c r="F58" s="1180"/>
      <c r="I58" s="1919" t="s">
        <v>1560</v>
      </c>
      <c r="J58" s="1921">
        <f ca="1">IF(J55&lt;0.4,0.4,J55)</f>
        <v>0.52800000000000002</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200" t="s">
        <v>1035</v>
      </c>
      <c r="B59" s="1168" t="s">
        <v>1429</v>
      </c>
      <c r="C59" s="24">
        <f ca="1">ROUND(IF(项目基本情况!B11="自然人",C48*F59,C60+C61+C62),0)</f>
        <v>238286</v>
      </c>
      <c r="D59" s="1181" t="s">
        <v>1430</v>
      </c>
      <c r="E59" s="1182" t="s">
        <v>1431</v>
      </c>
      <c r="F59" s="368" t="str">
        <f ca="1">IF(项目基本情况!B11="企业","",IF(INDIRECT("'数据-取费表'!c"&amp;$G$1)="住宅",5%,IF(F49*F50*F51/12/(1+'数据-取费表'!C42)&gt;20000,12%,7%)))</f>
        <v/>
      </c>
      <c r="I59" s="1919" t="s">
        <v>1563</v>
      </c>
      <c r="J59" s="1920">
        <f ca="1">IF(OR(M47="住宅",J51&lt;L48,J56="是"),"——",ROUND(C29*J58,0))</f>
        <v>1494658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2" t="s">
        <v>1565</v>
      </c>
      <c r="J60" s="1923">
        <f ca="1">IF(OR(M47="住宅",J51&lt;L48,J56="是"),"0",ROUND(J59/(1+J52)^J53,0))</f>
        <v>154562</v>
      </c>
      <c r="K60" s="1924" t="s">
        <v>1566</v>
      </c>
      <c r="L60" s="1923">
        <f ca="1">IF(OR(M47="住宅",L48&lt;J51),0,ROUND(L57*(L58/L59-1),0))</f>
        <v>0</v>
      </c>
      <c r="O60" s="1891" t="s">
        <v>1044</v>
      </c>
      <c r="P60" s="1882" t="s">
        <v>1567</v>
      </c>
      <c r="Q60" s="1883" t="e">
        <f ca="1">L58</f>
        <v>#DIV/0!</v>
      </c>
      <c r="R60" s="1883" t="s">
        <v>1568</v>
      </c>
    </row>
    <row r="61" spans="1:18" s="1839" customFormat="1" ht="13.5" thickBot="1">
      <c r="A61" s="1200" t="s">
        <v>1492</v>
      </c>
      <c r="B61" s="1168" t="s">
        <v>1493</v>
      </c>
      <c r="C61" s="24">
        <f ca="1">IF(项目基本情况!B11="自然人","——",IF(D61="按租金收入计税",ROUND(C48*F61,0),IF(D61="按房产原值计税",ROUND(C57*F61*0.7,0),INDIRECT("'数据-取费表'!Aj"&amp;$G$1))))</f>
        <v>237787</v>
      </c>
      <c r="D61" s="1826" t="s">
        <v>1438</v>
      </c>
      <c r="E61" s="1168"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200" t="s">
        <v>1495</v>
      </c>
      <c r="B62" s="1167" t="s">
        <v>1496</v>
      </c>
      <c r="C62" s="25">
        <f ca="1">IF(项目基本情况!B11="自然人","——",ROUND(F62*F63,0))</f>
        <v>499</v>
      </c>
      <c r="D62" s="1183" t="s">
        <v>1497</v>
      </c>
      <c r="E62" s="1168" t="s">
        <v>1498</v>
      </c>
      <c r="F62" s="371">
        <f t="shared" si="0"/>
        <v>3</v>
      </c>
      <c r="I62" s="1926" t="s">
        <v>1570</v>
      </c>
      <c r="J62" s="1927" t="s">
        <v>1571</v>
      </c>
      <c r="K62" s="1927" t="s">
        <v>1572</v>
      </c>
      <c r="L62" s="1927" t="s">
        <v>1573</v>
      </c>
      <c r="M62" s="1928" t="s">
        <v>1574</v>
      </c>
      <c r="O62" s="1881" t="s">
        <v>1046</v>
      </c>
      <c r="P62" s="1882" t="s">
        <v>1575</v>
      </c>
      <c r="Q62" s="1883">
        <f ca="1">Q56+Q57</f>
        <v>28442764</v>
      </c>
      <c r="R62" s="1883" t="s">
        <v>1047</v>
      </c>
    </row>
    <row r="63" spans="1:18" s="1839" customFormat="1" ht="13.5" thickBot="1">
      <c r="A63" s="372"/>
      <c r="B63" s="1174"/>
      <c r="C63" s="29"/>
      <c r="D63" s="1184"/>
      <c r="E63" s="1168" t="s">
        <v>1499</v>
      </c>
      <c r="F63" s="348">
        <f t="shared" ca="1" si="0"/>
        <v>166.35</v>
      </c>
      <c r="I63" s="1926" t="s">
        <v>1576</v>
      </c>
      <c r="J63" s="1927">
        <v>70</v>
      </c>
      <c r="K63" s="1927">
        <v>50</v>
      </c>
      <c r="L63" s="1927">
        <v>80</v>
      </c>
      <c r="M63" s="1929">
        <v>0.02</v>
      </c>
      <c r="O63" s="1866" t="s">
        <v>1577</v>
      </c>
      <c r="P63" s="1836"/>
      <c r="Q63" s="1836"/>
      <c r="R63" s="1836"/>
    </row>
    <row r="64" spans="1:18" s="1839" customFormat="1" ht="13.5" thickBot="1">
      <c r="A64" s="1200" t="s">
        <v>1500</v>
      </c>
      <c r="B64" s="1168" t="s">
        <v>1501</v>
      </c>
      <c r="C64" s="24">
        <f ca="1">ROUND(C57*F64,0)</f>
        <v>42462</v>
      </c>
      <c r="D64" s="1182" t="s">
        <v>1502</v>
      </c>
      <c r="E64" s="1168"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4">
        <f ca="1">ROUND(C56*F65,0)</f>
        <v>4119</v>
      </c>
      <c r="D65" s="1182" t="s">
        <v>1454</v>
      </c>
      <c r="E65" s="1168" t="s">
        <v>1455</v>
      </c>
      <c r="F65" s="376">
        <f t="shared" ca="1" si="0"/>
        <v>1.5E-3</v>
      </c>
      <c r="I65" s="1926" t="s">
        <v>1579</v>
      </c>
      <c r="J65" s="1927">
        <v>40</v>
      </c>
      <c r="K65" s="1927">
        <v>30</v>
      </c>
      <c r="L65" s="1927">
        <v>50</v>
      </c>
      <c r="M65" s="1929">
        <v>0.02</v>
      </c>
      <c r="O65" s="1881" t="s">
        <v>1040</v>
      </c>
      <c r="P65" s="1882" t="s">
        <v>1580</v>
      </c>
      <c r="Q65" s="1883">
        <f ca="1">C40+J29</f>
        <v>28442764</v>
      </c>
      <c r="R65" s="1883" t="s">
        <v>1529</v>
      </c>
    </row>
    <row r="66" spans="1:18" s="1839" customFormat="1" ht="16.5" thickBot="1">
      <c r="A66" s="1200" t="s">
        <v>1504</v>
      </c>
      <c r="B66" s="1168" t="s">
        <v>1439</v>
      </c>
      <c r="C66" s="24">
        <f ca="1">ROUND(C48*F66,0)</f>
        <v>0</v>
      </c>
      <c r="D66" s="1182" t="s">
        <v>1505</v>
      </c>
      <c r="E66" s="1168" t="s">
        <v>1422</v>
      </c>
      <c r="F66" s="357">
        <f t="shared" ca="1" si="0"/>
        <v>0.01</v>
      </c>
      <c r="O66" s="1881" t="s">
        <v>1041</v>
      </c>
      <c r="P66" s="1882" t="s">
        <v>1558</v>
      </c>
      <c r="Q66" s="1883">
        <f ca="1">L60</f>
        <v>0</v>
      </c>
      <c r="R66" s="1883" t="s">
        <v>1581</v>
      </c>
    </row>
    <row r="67" spans="1:18" s="1839" customFormat="1" ht="16.5" thickBot="1">
      <c r="A67" s="1175" t="s">
        <v>1031</v>
      </c>
      <c r="B67" s="1185" t="s">
        <v>1463</v>
      </c>
      <c r="C67" s="361">
        <f ca="1">C48-C58</f>
        <v>-284867</v>
      </c>
      <c r="D67" s="1181" t="s">
        <v>1464</v>
      </c>
      <c r="E67" s="1186"/>
      <c r="F67" s="1187"/>
      <c r="O67" s="1891" t="s">
        <v>1042</v>
      </c>
      <c r="P67" s="1882" t="s">
        <v>1562</v>
      </c>
      <c r="Q67" s="1930">
        <f ca="1">L51</f>
        <v>18593403</v>
      </c>
      <c r="R67" s="1883" t="s">
        <v>1582</v>
      </c>
    </row>
    <row r="68" spans="1:18" s="1839" customFormat="1" ht="16.5" thickBot="1">
      <c r="A68" s="1165" t="s">
        <v>1032</v>
      </c>
      <c r="B68" s="1166" t="s">
        <v>1485</v>
      </c>
      <c r="C68" s="346">
        <f ca="1">ROUND(C67*(1-((1+F70)/(1+F68))^F69)/(F68-F70),0)</f>
        <v>-5334731</v>
      </c>
      <c r="D68" s="1183" t="s">
        <v>1469</v>
      </c>
      <c r="E68" s="1168" t="s">
        <v>1470</v>
      </c>
      <c r="F68" s="357">
        <f ca="1">F40</f>
        <v>5.5E-2</v>
      </c>
      <c r="O68" s="1891" t="s">
        <v>1043</v>
      </c>
      <c r="P68" s="1931" t="s">
        <v>1583</v>
      </c>
      <c r="Q68" s="1883">
        <f ca="1">ROUND(Q69-Q70*Q71,0)</f>
        <v>1285404</v>
      </c>
      <c r="R68" s="1883" t="s">
        <v>1051</v>
      </c>
    </row>
    <row r="69" spans="1:18" s="1839" customFormat="1" ht="13.5" thickBot="1">
      <c r="A69" s="1169"/>
      <c r="B69" s="1170"/>
      <c r="C69" s="351"/>
      <c r="D69" s="1188" t="s">
        <v>1473</v>
      </c>
      <c r="E69" s="1168" t="s">
        <v>1474</v>
      </c>
      <c r="F69" s="379">
        <f ca="1">F41</f>
        <v>26.33</v>
      </c>
      <c r="O69" s="1891" t="s">
        <v>1048</v>
      </c>
      <c r="P69" s="1931" t="s">
        <v>1584</v>
      </c>
      <c r="Q69" s="1883">
        <f ca="1">C39</f>
        <v>1518803</v>
      </c>
      <c r="R69" s="1883" t="s">
        <v>1529</v>
      </c>
    </row>
    <row r="70" spans="1:18" s="1839" customFormat="1" ht="13.5" thickBot="1">
      <c r="A70" s="1172"/>
      <c r="B70" s="1173"/>
      <c r="C70" s="355"/>
      <c r="D70" s="1184"/>
      <c r="E70" s="1168" t="s">
        <v>1477</v>
      </c>
      <c r="F70" s="1274">
        <f ca="1">F42</f>
        <v>0.03</v>
      </c>
      <c r="O70" s="1891" t="s">
        <v>1049</v>
      </c>
      <c r="P70" s="1931" t="s">
        <v>1585</v>
      </c>
      <c r="Q70" s="1883">
        <f ca="1">C13</f>
        <v>2745868</v>
      </c>
      <c r="R70" s="1883" t="s">
        <v>1529</v>
      </c>
    </row>
    <row r="71" spans="1:18" s="1839" customFormat="1" ht="13.5" thickBot="1">
      <c r="A71" s="1189" t="s">
        <v>1033</v>
      </c>
      <c r="B71" s="1190" t="s">
        <v>1487</v>
      </c>
      <c r="C71" s="382">
        <f ca="1">ROUND(C68/F71,0)</f>
        <v>-9163</v>
      </c>
      <c r="D71" s="1191" t="s">
        <v>1488</v>
      </c>
      <c r="E71" s="1192" t="s">
        <v>1489</v>
      </c>
      <c r="F71" s="385">
        <f ca="1">F43</f>
        <v>582.23</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233399</v>
      </c>
      <c r="D75" s="1839"/>
      <c r="E75" s="1839"/>
      <c r="F75" s="1839"/>
      <c r="K75" s="1865"/>
      <c r="L75" s="1839"/>
      <c r="O75" s="1881" t="s">
        <v>1046</v>
      </c>
      <c r="P75" s="1882" t="s">
        <v>1549</v>
      </c>
      <c r="Q75" s="1883">
        <f ca="1">Q65+Q66</f>
        <v>28442764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0.84599999999999997</v>
      </c>
    </row>
    <row r="80" spans="1:18">
      <c r="B80" s="386" t="s">
        <v>1511</v>
      </c>
      <c r="C80" s="318">
        <f ca="1">ROUND(C75/C39,3)</f>
        <v>0.154</v>
      </c>
    </row>
    <row r="81" spans="2:3">
      <c r="B81" s="314" t="s">
        <v>1512</v>
      </c>
      <c r="C81" s="282"/>
    </row>
    <row r="82" spans="2:3">
      <c r="B82" s="317" t="s">
        <v>1513</v>
      </c>
      <c r="C82" s="319">
        <f ca="1">1-C83</f>
        <v>0.90300000000000002</v>
      </c>
    </row>
    <row r="83" spans="2:3">
      <c r="B83" s="317" t="s">
        <v>1514</v>
      </c>
      <c r="C83" s="318">
        <f ca="1">ROUND(C13/C40,3)</f>
        <v>9.7000000000000003E-2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O30" sqref="A28:O3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1" t="s">
        <v>1589</v>
      </c>
      <c r="B1" s="781"/>
      <c r="C1" s="3022" t="s">
        <v>4104</v>
      </c>
      <c r="D1" s="1818" t="s">
        <v>70</v>
      </c>
      <c r="E1" s="1819" t="s">
        <v>1387</v>
      </c>
      <c r="F1" s="1282">
        <f ca="1">J53</f>
        <v>26.33</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2844</v>
      </c>
      <c r="C2" s="1842" t="s">
        <v>1516</v>
      </c>
      <c r="D2" s="1842"/>
      <c r="E2" s="1843"/>
      <c r="F2" s="1844"/>
      <c r="G2" s="1845"/>
      <c r="H2" s="1837"/>
      <c r="I2" s="1837"/>
      <c r="J2" s="1837"/>
      <c r="K2" s="1838"/>
      <c r="L2" s="1837"/>
      <c r="M2" s="1837"/>
    </row>
    <row r="3" spans="1:37" ht="18" customHeight="1" thickBot="1">
      <c r="A3" s="1846" t="s">
        <v>1517</v>
      </c>
      <c r="B3" s="1847">
        <f ca="1">IF(ISERROR(B2*10000/F43),0,ROUND(B2*10000/F43,0))</f>
        <v>48847</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1">
        <f ca="1">C6+C10+C12</f>
        <v>191</v>
      </c>
      <c r="D5" s="1820" t="s">
        <v>1402</v>
      </c>
      <c r="E5" s="1292"/>
      <c r="F5" s="1293"/>
      <c r="G5" s="1848"/>
      <c r="H5" s="344">
        <v>1</v>
      </c>
      <c r="I5" s="345" t="s">
        <v>1401</v>
      </c>
      <c r="J5" s="1291">
        <f ca="1">J6+J10+J12</f>
        <v>0</v>
      </c>
      <c r="K5" s="1820" t="s">
        <v>1402</v>
      </c>
      <c r="L5" s="1292"/>
      <c r="M5" s="1293"/>
    </row>
    <row r="6" spans="1:37" ht="18" customHeight="1">
      <c r="A6" s="1290" t="s">
        <v>1035</v>
      </c>
      <c r="B6" s="3291" t="s">
        <v>1403</v>
      </c>
      <c r="C6" s="1295">
        <f ca="1">ROUND(F6*F8*F7*(1-F9)/10000,0)</f>
        <v>191</v>
      </c>
      <c r="D6" s="164" t="s">
        <v>3029</v>
      </c>
      <c r="E6" s="347" t="s">
        <v>1405</v>
      </c>
      <c r="F6" s="348">
        <f ca="1">INDIRECT("'数据-取费表'!u"&amp;$G$1)</f>
        <v>10</v>
      </c>
      <c r="G6" s="1848"/>
      <c r="H6" s="1290" t="s">
        <v>1035</v>
      </c>
      <c r="I6" s="3291" t="s">
        <v>1403</v>
      </c>
      <c r="J6" s="346">
        <f ca="1">ROUND(M6*M8*M7*(1-M9)/10000,0)</f>
        <v>0</v>
      </c>
      <c r="K6" s="164" t="s">
        <v>3028</v>
      </c>
      <c r="L6" s="347" t="s">
        <v>1405</v>
      </c>
      <c r="M6" s="348">
        <f ca="1">INDIRECT("'数据-取费表'!z"&amp;$G$1)</f>
        <v>0</v>
      </c>
    </row>
    <row r="7" spans="1:37" ht="18" customHeight="1">
      <c r="A7" s="1294"/>
      <c r="B7" s="3292"/>
      <c r="C7" s="1296"/>
      <c r="D7" s="352"/>
      <c r="E7" s="1297" t="s">
        <v>1406</v>
      </c>
      <c r="F7" s="348">
        <f ca="1">IF(INDIRECT("'数据-取费表'!ah"&amp;$G$1)="",INDIRECT("'数据-取费表'!k"&amp;$G$1),INDIRECT("'数据-取费表'!ah"&amp;$G$1))</f>
        <v>582.23</v>
      </c>
      <c r="G7" s="1848"/>
      <c r="H7" s="349"/>
      <c r="I7" s="3292"/>
      <c r="J7" s="351"/>
      <c r="K7" s="352"/>
      <c r="L7" s="347" t="s">
        <v>1406</v>
      </c>
      <c r="M7" s="348">
        <f ca="1">F7</f>
        <v>582.23</v>
      </c>
    </row>
    <row r="8" spans="1:37" ht="18" customHeight="1">
      <c r="A8" s="349"/>
      <c r="B8" s="3292"/>
      <c r="C8" s="351"/>
      <c r="D8" s="352"/>
      <c r="E8" s="347" t="s">
        <v>1407</v>
      </c>
      <c r="F8" s="348">
        <f ca="1">INDIRECT("'数据-取费表'!ai"&amp;$G$1)</f>
        <v>365</v>
      </c>
      <c r="G8" s="1848"/>
      <c r="H8" s="349"/>
      <c r="I8" s="3292"/>
      <c r="J8" s="351"/>
      <c r="K8" s="352"/>
      <c r="L8" s="347" t="s">
        <v>1407</v>
      </c>
      <c r="M8" s="348">
        <f ca="1">INDIRECT("'数据-取费表'!ai"&amp;$G$1)</f>
        <v>365</v>
      </c>
    </row>
    <row r="9" spans="1:37" ht="18" customHeight="1">
      <c r="A9" s="349"/>
      <c r="B9" s="3293"/>
      <c r="C9" s="351"/>
      <c r="D9" s="352"/>
      <c r="E9" s="347" t="s">
        <v>1408</v>
      </c>
      <c r="F9" s="357">
        <f ca="1">INDIRECT("'数据-取费表'!w"&amp;$G$1)</f>
        <v>0.1</v>
      </c>
      <c r="G9" s="1848"/>
      <c r="H9" s="349"/>
      <c r="I9" s="3293"/>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3038</v>
      </c>
      <c r="E10" s="358" t="s">
        <v>1410</v>
      </c>
      <c r="F10" s="3017" t="s">
        <v>3078</v>
      </c>
      <c r="G10" s="1848"/>
      <c r="H10" s="1290" t="s">
        <v>1039</v>
      </c>
      <c r="I10" s="1821" t="s">
        <v>1409</v>
      </c>
      <c r="J10" s="346">
        <f ca="1">ROUND(IF(M10="押一",J6/12*M11,IF(M10="押二",J6/12*2*M11,IF(M10="押三",J6/12*3*M11,J11*M11))),0)</f>
        <v>0</v>
      </c>
      <c r="K10" s="1822" t="s">
        <v>3037</v>
      </c>
      <c r="L10" s="358" t="s">
        <v>1410</v>
      </c>
      <c r="M10" s="1365" t="s">
        <v>1411</v>
      </c>
    </row>
    <row r="11" spans="1:37" ht="18" customHeight="1">
      <c r="A11" s="353"/>
      <c r="B11" s="1823" t="s">
        <v>1388</v>
      </c>
      <c r="C11" s="1177"/>
      <c r="D11" s="1824"/>
      <c r="E11" s="358" t="s">
        <v>1412</v>
      </c>
      <c r="F11" s="359">
        <f ca="1">'数据-取费表'!B39</f>
        <v>1.4999999999999999E-2</v>
      </c>
      <c r="G11" s="1848"/>
      <c r="H11" s="1298"/>
      <c r="I11" s="1823" t="s">
        <v>1388</v>
      </c>
      <c r="J11" s="1177"/>
      <c r="K11" s="747"/>
      <c r="L11" s="358" t="s">
        <v>1412</v>
      </c>
      <c r="M11" s="1055">
        <f ca="1">'数据-取费表'!B39</f>
        <v>1.4999999999999999E-2</v>
      </c>
    </row>
    <row r="12" spans="1:37" ht="18" customHeight="1" thickBot="1">
      <c r="A12" s="1332" t="s">
        <v>1075</v>
      </c>
      <c r="B12" s="1825" t="s">
        <v>1413</v>
      </c>
      <c r="C12" s="1333"/>
      <c r="D12" s="1334"/>
      <c r="E12" s="1339"/>
      <c r="F12" s="1335"/>
      <c r="G12" s="1848"/>
      <c r="H12" s="1332" t="s">
        <v>1075</v>
      </c>
      <c r="I12" s="1825" t="s">
        <v>1413</v>
      </c>
      <c r="J12" s="1333"/>
      <c r="K12" s="1347"/>
      <c r="L12" s="1339"/>
      <c r="M12" s="1348"/>
    </row>
    <row r="13" spans="1:37" ht="18" customHeight="1" thickTop="1">
      <c r="A13" s="1328">
        <v>2</v>
      </c>
      <c r="B13" s="1329" t="s">
        <v>1414</v>
      </c>
      <c r="C13" s="355">
        <f ca="1">ROUND(C29*F13,0)</f>
        <v>275</v>
      </c>
      <c r="D13" s="1330" t="s">
        <v>1415</v>
      </c>
      <c r="E13" s="1330" t="s">
        <v>1416</v>
      </c>
      <c r="F13" s="1331">
        <f ca="1">INDIRECT("'数据-取费表'!y"&amp;$G$1)</f>
        <v>0.97</v>
      </c>
      <c r="G13" s="1848"/>
      <c r="H13" s="1328">
        <v>2</v>
      </c>
      <c r="I13" s="1329" t="s">
        <v>1414</v>
      </c>
      <c r="J13" s="1289">
        <f ca="1">ROUND(J14*J15,0)</f>
        <v>0</v>
      </c>
      <c r="K13" s="1336" t="s">
        <v>1415</v>
      </c>
      <c r="L13" s="1849"/>
      <c r="M13" s="1850"/>
    </row>
    <row r="14" spans="1:37" ht="18" customHeight="1">
      <c r="A14" s="1200" t="s">
        <v>1034</v>
      </c>
      <c r="B14" s="347" t="s">
        <v>1417</v>
      </c>
      <c r="C14" s="363">
        <f ca="1">INDIRECT("'数据-取费表'!m"&amp;$G$1)+INDIRECT("'数据-取费表'!t"&amp;$G$1)</f>
        <v>175</v>
      </c>
      <c r="D14" s="1798" t="s">
        <v>1418</v>
      </c>
      <c r="E14" s="1792"/>
      <c r="F14" s="364"/>
      <c r="G14" s="1848"/>
      <c r="H14" s="1200" t="s">
        <v>1035</v>
      </c>
      <c r="I14" s="347" t="s">
        <v>1419</v>
      </c>
      <c r="J14" s="24">
        <f ca="1">C29</f>
        <v>284</v>
      </c>
      <c r="K14" s="15"/>
      <c r="L14" s="978"/>
      <c r="M14" s="979"/>
    </row>
    <row r="15" spans="1:37" s="1855" customFormat="1" ht="18" customHeight="1" thickBot="1">
      <c r="A15" s="1200" t="s">
        <v>1036</v>
      </c>
      <c r="B15" s="347" t="s">
        <v>1420</v>
      </c>
      <c r="C15" s="24">
        <f ca="1">ROUND(C14*F15,0)</f>
        <v>5</v>
      </c>
      <c r="D15" s="365" t="s">
        <v>1421</v>
      </c>
      <c r="E15" s="365" t="s">
        <v>1422</v>
      </c>
      <c r="F15" s="366">
        <f>'数据-取费表'!B33</f>
        <v>0.03</v>
      </c>
      <c r="G15" s="1851"/>
      <c r="H15" s="1338" t="s">
        <v>1039</v>
      </c>
      <c r="I15" s="1339" t="s">
        <v>1416</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8"/>
      <c r="H16" s="1328" t="s">
        <v>1030</v>
      </c>
      <c r="I16" s="1329" t="s">
        <v>1424</v>
      </c>
      <c r="J16" s="355">
        <f ca="1">ROUND(J17+J22+J23+J24,0)</f>
        <v>7</v>
      </c>
      <c r="K16" s="1336" t="s">
        <v>1425</v>
      </c>
      <c r="L16" s="1337"/>
      <c r="M16" s="1293"/>
    </row>
    <row r="17" spans="1:37" s="1855" customFormat="1" ht="18" customHeight="1">
      <c r="A17" s="1200" t="s">
        <v>1390</v>
      </c>
      <c r="B17" s="347" t="s">
        <v>1426</v>
      </c>
      <c r="C17" s="24">
        <f ca="1">ROUND(F17*(F43+INDIRECT("'数据-取费表'!S"&amp;$G$1))/10000,0)</f>
        <v>12</v>
      </c>
      <c r="D17" s="347" t="s">
        <v>1427</v>
      </c>
      <c r="E17" s="347" t="s">
        <v>1428</v>
      </c>
      <c r="F17" s="26">
        <f>'数据-取费表'!B35</f>
        <v>200</v>
      </c>
      <c r="G17" s="1851"/>
      <c r="H17" s="1200" t="s">
        <v>1035</v>
      </c>
      <c r="I17" s="347" t="s">
        <v>1429</v>
      </c>
      <c r="J17" s="24">
        <f ca="1">ROUND(IF(项目基本情况!B11="自然人",J5*M17,J18+J19+J20),1)</f>
        <v>2.4</v>
      </c>
      <c r="K17" s="1798" t="s">
        <v>1430</v>
      </c>
      <c r="L17" s="179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7" t="s">
        <v>1432</v>
      </c>
      <c r="C18" s="24">
        <f ca="1">ROUND(C14*F18,0)</f>
        <v>3</v>
      </c>
      <c r="D18" s="347" t="s">
        <v>1421</v>
      </c>
      <c r="E18" s="347" t="s">
        <v>1422</v>
      </c>
      <c r="F18" s="367">
        <f>'数据-取费表'!B36</f>
        <v>1.4999999999999999E-2</v>
      </c>
      <c r="G18" s="1851"/>
      <c r="H18" s="1200" t="s">
        <v>1034</v>
      </c>
      <c r="I18" s="347" t="s">
        <v>1433</v>
      </c>
      <c r="J18" s="24">
        <f ca="1">ROUND(J5*M18/(1+'数据-取费表'!C42),2)</f>
        <v>0</v>
      </c>
      <c r="K18" s="179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7" t="s">
        <v>1435</v>
      </c>
      <c r="C19" s="24">
        <f ca="1">SUM(C14:C18)</f>
        <v>195</v>
      </c>
      <c r="D19" s="140" t="s">
        <v>1436</v>
      </c>
      <c r="E19" s="1816"/>
      <c r="F19" s="26"/>
      <c r="G19" s="1848"/>
      <c r="H19" s="1200" t="s">
        <v>1036</v>
      </c>
      <c r="I19" s="347" t="s">
        <v>1437</v>
      </c>
      <c r="J19" s="24">
        <f ca="1">IF(K19="按租金收入计税",ROUND(J5*M19,2),ROUND(C29*M19*0.7,2))</f>
        <v>2.39</v>
      </c>
      <c r="K19" s="1826" t="s">
        <v>1438</v>
      </c>
      <c r="L19" s="347" t="s">
        <v>1422</v>
      </c>
      <c r="M19" s="367">
        <f>IF(K19="按租金收入计税",'数据-取费表'!B51,'数据-取费表'!B50)</f>
        <v>1.2E-2</v>
      </c>
    </row>
    <row r="20" spans="1:37" s="1855" customFormat="1" ht="18" customHeight="1">
      <c r="A20" s="1200" t="s">
        <v>1039</v>
      </c>
      <c r="B20" s="347" t="s">
        <v>1439</v>
      </c>
      <c r="C20" s="24">
        <f ca="1">ROUND(C19*F20,0)</f>
        <v>4</v>
      </c>
      <c r="D20" s="369" t="s">
        <v>1440</v>
      </c>
      <c r="E20" s="347" t="s">
        <v>1422</v>
      </c>
      <c r="F20" s="367">
        <f>'数据-取费表'!B37</f>
        <v>0.02</v>
      </c>
      <c r="G20" s="1851"/>
      <c r="H20" s="1200" t="s">
        <v>1389</v>
      </c>
      <c r="I20" s="164" t="s">
        <v>1441</v>
      </c>
      <c r="J20" s="25">
        <f ca="1">ROUND(M20*M21/10000,2)</f>
        <v>0.05</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166.35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8"/>
      <c r="H22" s="1200" t="s">
        <v>1039</v>
      </c>
      <c r="I22" s="347" t="s">
        <v>1449</v>
      </c>
      <c r="J22" s="24">
        <f ca="1">ROUND(J14*M22,1)</f>
        <v>4.3</v>
      </c>
      <c r="K22" s="1796" t="s">
        <v>1450</v>
      </c>
      <c r="L22" s="347" t="s">
        <v>1422</v>
      </c>
      <c r="M22" s="374">
        <f ca="1">INDIRECT("'数据-取费表'!Ak"&amp;$G$1)</f>
        <v>1.4999999999999999E-2</v>
      </c>
    </row>
    <row r="23" spans="1:37" s="1855" customFormat="1" ht="18" customHeight="1">
      <c r="A23" s="1200"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1452</v>
      </c>
      <c r="F23" s="371">
        <f>'数据-取费表'!B20</f>
        <v>2</v>
      </c>
      <c r="G23" s="1851"/>
      <c r="H23" s="1200" t="s">
        <v>1075</v>
      </c>
      <c r="I23" s="347" t="s">
        <v>1453</v>
      </c>
      <c r="J23" s="24">
        <f ca="1">ROUND(J13*M23,1)</f>
        <v>0</v>
      </c>
      <c r="K23" s="179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1"/>
      <c r="H24" s="1338" t="s">
        <v>1393</v>
      </c>
      <c r="I24" s="1339" t="s">
        <v>1439</v>
      </c>
      <c r="J24" s="1340">
        <f ca="1">ROUND(J5*M24,1)</f>
        <v>0</v>
      </c>
      <c r="K24" s="1341" t="s">
        <v>1459</v>
      </c>
      <c r="L24" s="1339" t="s">
        <v>1455</v>
      </c>
      <c r="M24" s="1335">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1460</v>
      </c>
      <c r="B25" s="347" t="s">
        <v>1461</v>
      </c>
      <c r="C25" s="24"/>
      <c r="D25" s="140" t="s">
        <v>1462</v>
      </c>
      <c r="E25" s="1816"/>
      <c r="F25" s="26"/>
      <c r="G25" s="1848"/>
      <c r="H25" s="1328" t="s">
        <v>1031</v>
      </c>
      <c r="I25" s="1343" t="s">
        <v>1463</v>
      </c>
      <c r="J25" s="355">
        <f ca="1">J5-J16</f>
        <v>-7</v>
      </c>
      <c r="K25" s="1344" t="s">
        <v>1464</v>
      </c>
      <c r="L25" s="1345"/>
      <c r="M25" s="1346"/>
    </row>
    <row r="26" spans="1:37">
      <c r="A26" s="1200" t="s">
        <v>1034</v>
      </c>
      <c r="B26" s="347" t="s">
        <v>1465</v>
      </c>
      <c r="C26" s="24">
        <f ca="1">ROUND((C19+C20)*F26,0)</f>
        <v>50</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7.4999999999999997E-3</v>
      </c>
      <c r="D27" s="369" t="s">
        <v>1472</v>
      </c>
      <c r="E27" s="365"/>
      <c r="F27" s="366"/>
      <c r="G27" s="1848"/>
      <c r="H27" s="349"/>
      <c r="I27" s="350"/>
      <c r="J27" s="351"/>
      <c r="K27" s="378" t="s">
        <v>1473</v>
      </c>
      <c r="L27" s="347" t="s">
        <v>1474</v>
      </c>
      <c r="M27" s="379">
        <f ca="1">INDIRECT("'数据-取费表'!ag"&amp;$G$1)</f>
        <v>0</v>
      </c>
    </row>
    <row r="28" spans="1:37" s="1855" customFormat="1" ht="18" customHeight="1">
      <c r="A28" s="1200"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1478</v>
      </c>
      <c r="C29" s="1340">
        <f ca="1">ROUND((C19+C20+C23+C26)/(1-F21-C24-C27-C28),0)</f>
        <v>284</v>
      </c>
      <c r="D29" s="1341"/>
      <c r="E29" s="1339"/>
      <c r="F29" s="1342"/>
      <c r="G29" s="1851"/>
      <c r="H29" s="380" t="s">
        <v>1033</v>
      </c>
      <c r="I29" s="381" t="s">
        <v>1479</v>
      </c>
      <c r="J29" s="382">
        <f ca="1">ROUND(J26/(1+F40)^F41,0)</f>
        <v>0</v>
      </c>
      <c r="K29" s="383" t="s">
        <v>1480</v>
      </c>
      <c r="L29" s="384"/>
      <c r="M29" s="385">
        <f ca="1">INDIRECT("'数据-取费表'!k"&amp;$G$1)</f>
        <v>582.23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1424</v>
      </c>
      <c r="C30" s="355">
        <f ca="1">ROUND(C31+C36+C37+C38,0)</f>
        <v>40</v>
      </c>
      <c r="D30" s="1336" t="s">
        <v>1425</v>
      </c>
      <c r="E30" s="1337"/>
      <c r="F30" s="1293"/>
      <c r="G30" s="1848"/>
      <c r="H30" s="744"/>
      <c r="I30" s="745"/>
      <c r="J30" s="746"/>
      <c r="K30" s="747"/>
      <c r="L30" s="748"/>
      <c r="M30" s="749"/>
    </row>
    <row r="31" spans="1:37" ht="18" customHeight="1">
      <c r="A31" s="1200" t="s">
        <v>1035</v>
      </c>
      <c r="B31" s="347" t="s">
        <v>1429</v>
      </c>
      <c r="C31" s="24">
        <f ca="1">ROUND(IF(项目基本情况!B11="自然人",C5*F31,C32+C33+C34),1)</f>
        <v>33.200000000000003</v>
      </c>
      <c r="D31" s="1798" t="s">
        <v>1430</v>
      </c>
      <c r="E31" s="1796"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200" t="s">
        <v>1034</v>
      </c>
      <c r="B32" s="347" t="s">
        <v>1433</v>
      </c>
      <c r="C32" s="24">
        <f ca="1">IF(项目基本情况!B11="自然人","——",ROUND(C5*F32/(1+'数据-取费表'!C42),2))</f>
        <v>10.19</v>
      </c>
      <c r="D32" s="1796" t="s">
        <v>1434</v>
      </c>
      <c r="E32" s="347" t="s">
        <v>1422</v>
      </c>
      <c r="F32" s="377">
        <f>'数据-取费表'!B41</f>
        <v>5.6000000000000001E-2</v>
      </c>
      <c r="G32" s="1848"/>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22.92</v>
      </c>
      <c r="D33" s="1826" t="s">
        <v>3079</v>
      </c>
      <c r="E33" s="347" t="s">
        <v>1422</v>
      </c>
      <c r="F33" s="367">
        <f>IF(D33="按票据","——",IF(D33="按租金收入计税",'数据-取费表'!B51,'数据-取费表'!B50))</f>
        <v>0.12</v>
      </c>
      <c r="G33" s="1848"/>
      <c r="H33" s="1856"/>
      <c r="I33" s="1857"/>
      <c r="J33" s="1858"/>
      <c r="K33" s="1859"/>
      <c r="L33" s="1856"/>
      <c r="M33" s="1856"/>
    </row>
    <row r="34" spans="1:18" ht="18" customHeight="1">
      <c r="A34" s="1290" t="s">
        <v>1389</v>
      </c>
      <c r="B34" s="164" t="s">
        <v>1441</v>
      </c>
      <c r="C34" s="25">
        <f ca="1">IF(项目基本情况!B11="自然人","——",ROUND(F34*F35/10000,2))</f>
        <v>0.05</v>
      </c>
      <c r="D34" s="370" t="s">
        <v>1442</v>
      </c>
      <c r="E34" s="347" t="s">
        <v>1443</v>
      </c>
      <c r="F34" s="371">
        <f>'数据-取费表'!B52</f>
        <v>3</v>
      </c>
      <c r="G34" s="1848"/>
      <c r="H34" s="744"/>
      <c r="I34" s="1857"/>
      <c r="J34" s="1858"/>
      <c r="K34" s="1860"/>
      <c r="L34" s="1861"/>
      <c r="M34" s="1861"/>
    </row>
    <row r="35" spans="1:18" ht="18" customHeight="1">
      <c r="A35" s="1352"/>
      <c r="B35" s="1350"/>
      <c r="C35" s="29"/>
      <c r="D35" s="373"/>
      <c r="E35" s="347" t="s">
        <v>1447</v>
      </c>
      <c r="F35" s="348">
        <f ca="1">INDIRECT("'数据-取费表'!r"&amp;$G$1)</f>
        <v>166.35</v>
      </c>
      <c r="G35" s="1848"/>
      <c r="H35" s="744"/>
      <c r="I35" s="1857"/>
      <c r="J35" s="1858"/>
      <c r="K35" s="1859"/>
      <c r="L35" s="1856"/>
      <c r="M35" s="1856"/>
    </row>
    <row r="36" spans="1:18" ht="18" customHeight="1">
      <c r="A36" s="1351" t="s">
        <v>1039</v>
      </c>
      <c r="B36" s="347" t="s">
        <v>1449</v>
      </c>
      <c r="C36" s="24">
        <f ca="1">ROUND(C29*F36,1)</f>
        <v>4.3</v>
      </c>
      <c r="D36" s="1796" t="s">
        <v>1482</v>
      </c>
      <c r="E36" s="347" t="s">
        <v>1422</v>
      </c>
      <c r="F36" s="374">
        <f ca="1">INDIRECT("'数据-取费表'!Ak"&amp;$G$1)</f>
        <v>1.4999999999999999E-2</v>
      </c>
      <c r="G36" s="1848"/>
      <c r="H36" s="1856"/>
      <c r="I36" s="1857"/>
      <c r="J36" s="1858"/>
      <c r="K36" s="750"/>
      <c r="L36" s="1856"/>
      <c r="M36" s="1856"/>
    </row>
    <row r="37" spans="1:18" ht="18" customHeight="1">
      <c r="A37" s="1200" t="s">
        <v>1075</v>
      </c>
      <c r="B37" s="347" t="s">
        <v>1453</v>
      </c>
      <c r="C37" s="24">
        <f ca="1">ROUND(C13*F37,1)</f>
        <v>0.4</v>
      </c>
      <c r="D37" s="1796" t="s">
        <v>1454</v>
      </c>
      <c r="E37" s="347" t="s">
        <v>1455</v>
      </c>
      <c r="F37" s="376">
        <f ca="1">INDIRECT("'数据-取费表'!Al"&amp;$G$1)</f>
        <v>1.5E-3</v>
      </c>
      <c r="G37" s="1848"/>
      <c r="H37" s="1856"/>
      <c r="I37" s="1857"/>
      <c r="J37" s="1858"/>
      <c r="K37" s="750"/>
      <c r="L37" s="1856"/>
      <c r="M37" s="1856"/>
    </row>
    <row r="38" spans="1:18" ht="18" customHeight="1" thickBot="1">
      <c r="A38" s="1338" t="s">
        <v>1393</v>
      </c>
      <c r="B38" s="1339" t="s">
        <v>1439</v>
      </c>
      <c r="C38" s="1340">
        <f ca="1">ROUND(C5*F38,1)</f>
        <v>1.9</v>
      </c>
      <c r="D38" s="1341" t="s">
        <v>1459</v>
      </c>
      <c r="E38" s="1339" t="s">
        <v>1455</v>
      </c>
      <c r="F38" s="1335">
        <f ca="1">INDIRECT("'数据-取费表'!Am"&amp;$G$1)</f>
        <v>0.01</v>
      </c>
      <c r="G38" s="1848"/>
      <c r="H38" s="1856"/>
      <c r="I38" s="1857"/>
      <c r="J38" s="1858"/>
      <c r="K38" s="1862"/>
      <c r="L38" s="1856"/>
      <c r="M38" s="1856"/>
    </row>
    <row r="39" spans="1:18" ht="24.6" customHeight="1" thickTop="1">
      <c r="A39" s="1328" t="s">
        <v>1031</v>
      </c>
      <c r="B39" s="1343" t="s">
        <v>1483</v>
      </c>
      <c r="C39" s="355">
        <f ca="1">C5-C30</f>
        <v>151</v>
      </c>
      <c r="D39" s="1344" t="s">
        <v>1484</v>
      </c>
      <c r="E39" s="1345"/>
      <c r="F39" s="1346"/>
      <c r="G39" s="1848"/>
      <c r="H39" s="1856"/>
      <c r="I39" s="1857"/>
      <c r="J39" s="1858"/>
      <c r="K39" s="1862"/>
      <c r="L39" s="1856"/>
      <c r="M39" s="1856"/>
    </row>
    <row r="40" spans="1:18" ht="18" customHeight="1">
      <c r="A40" s="344" t="s">
        <v>1032</v>
      </c>
      <c r="B40" s="345" t="s">
        <v>1485</v>
      </c>
      <c r="C40" s="346">
        <f ca="1">ROUND(C39*(1-((1+F42)/(1+F40))^F41)/(F40-F42),0)</f>
        <v>2828</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26.33</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ROUND(C40*10000/F43,0)</f>
        <v>48572</v>
      </c>
      <c r="D43" s="383" t="s">
        <v>1488</v>
      </c>
      <c r="E43" s="384" t="s">
        <v>1489</v>
      </c>
      <c r="F43" s="385">
        <f ca="1">INDIRECT("'数据-取费表'!k"&amp;$G$1)</f>
        <v>582.23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-3227</v>
      </c>
      <c r="D46" s="1869" t="str">
        <f>C2</f>
        <v>万元</v>
      </c>
      <c r="E46" s="1863"/>
      <c r="F46" s="1863"/>
      <c r="I46" s="1870" t="s">
        <v>1521</v>
      </c>
      <c r="J46" s="1871"/>
      <c r="K46" s="1872"/>
      <c r="L46" s="1873">
        <f ca="1">IF(M47="住宅",0,IF(L48&gt;J51,L60,J60))</f>
        <v>16</v>
      </c>
      <c r="O46" s="1874" t="s">
        <v>1522</v>
      </c>
      <c r="P46" s="1875" t="s">
        <v>1523</v>
      </c>
      <c r="Q46" s="1876" t="s">
        <v>1524</v>
      </c>
      <c r="R46" s="1876" t="s">
        <v>1525</v>
      </c>
    </row>
    <row r="47" spans="1:18" s="1839" customFormat="1" ht="13.5" thickBot="1">
      <c r="A47" s="1164" t="s">
        <v>1396</v>
      </c>
      <c r="B47" s="1196" t="s">
        <v>1397</v>
      </c>
      <c r="C47" s="1366" t="s">
        <v>1398</v>
      </c>
      <c r="D47" s="1196" t="s">
        <v>1399</v>
      </c>
      <c r="E47" s="1278" t="s">
        <v>1400</v>
      </c>
      <c r="F47" s="1279"/>
      <c r="G47" s="791"/>
      <c r="I47" s="1877" t="s">
        <v>1526</v>
      </c>
      <c r="J47" s="1878" t="s">
        <v>3080</v>
      </c>
      <c r="K47" s="1879" t="s">
        <v>1527</v>
      </c>
      <c r="L47" s="1880">
        <f ca="1">INDIRECT("'数据-取费表'!d"&amp;$G$1)</f>
        <v>40</v>
      </c>
      <c r="M47" s="1835" t="str">
        <f>IF(ISNUMBER(FIND("住宅",C1)),"住宅","非住宅")</f>
        <v>非住宅</v>
      </c>
      <c r="O47" s="1881" t="s">
        <v>1040</v>
      </c>
      <c r="P47" s="1882" t="s">
        <v>1528</v>
      </c>
      <c r="Q47" s="1883">
        <f ca="1">C40+J29</f>
        <v>2828</v>
      </c>
      <c r="R47" s="1883" t="s">
        <v>1529</v>
      </c>
    </row>
    <row r="48" spans="1:18" s="1839" customFormat="1" ht="28.5" thickBot="1">
      <c r="A48" s="1359" t="s">
        <v>1135</v>
      </c>
      <c r="B48" s="345" t="s">
        <v>1401</v>
      </c>
      <c r="C48" s="1815">
        <f ca="1">C49+C53+C55</f>
        <v>0</v>
      </c>
      <c r="D48" s="1361"/>
      <c r="E48" s="1362"/>
      <c r="F48" s="1180"/>
      <c r="G48" s="791"/>
      <c r="H48" s="792"/>
      <c r="I48" s="1884" t="s">
        <v>1530</v>
      </c>
      <c r="J48" s="1885" t="s">
        <v>3081</v>
      </c>
      <c r="K48" s="1886" t="s">
        <v>1531</v>
      </c>
      <c r="L48" s="1887">
        <f ca="1">INDIRECT("'数据-取费表'!f"&amp;$G$1)</f>
        <v>26.33</v>
      </c>
      <c r="O48" s="1881" t="s">
        <v>1041</v>
      </c>
      <c r="P48" s="1882" t="s">
        <v>1532</v>
      </c>
      <c r="Q48" s="1883">
        <f ca="1">J60</f>
        <v>16</v>
      </c>
      <c r="R48" s="1883" t="s">
        <v>1533</v>
      </c>
    </row>
    <row r="49" spans="1:18" s="1839" customFormat="1" ht="13.5" thickBot="1">
      <c r="A49" s="1193" t="s">
        <v>1136</v>
      </c>
      <c r="B49" s="1827" t="s">
        <v>1490</v>
      </c>
      <c r="C49" s="1363">
        <f ca="1">ROUND(F49*F51*F50*(1-F52)/10000,0)</f>
        <v>0</v>
      </c>
      <c r="D49" s="1275" t="s">
        <v>3030</v>
      </c>
      <c r="E49" s="1828" t="s">
        <v>1491</v>
      </c>
      <c r="F49" s="1280"/>
      <c r="G49" s="1888"/>
      <c r="H49" s="792"/>
      <c r="I49" s="1884" t="s">
        <v>1534</v>
      </c>
      <c r="J49" s="1889">
        <v>2016</v>
      </c>
      <c r="K49" s="1886" t="s">
        <v>1535</v>
      </c>
      <c r="L49" s="1890"/>
      <c r="O49" s="1891" t="s">
        <v>1042</v>
      </c>
      <c r="P49" s="1882" t="s">
        <v>1536</v>
      </c>
      <c r="Q49" s="1883">
        <f ca="1">C29</f>
        <v>284</v>
      </c>
      <c r="R49" s="1883" t="s">
        <v>1529</v>
      </c>
    </row>
    <row r="50" spans="1:18" s="1839" customFormat="1" ht="13.5" thickBot="1">
      <c r="A50" s="1194"/>
      <c r="B50" s="1197"/>
      <c r="C50" s="1367"/>
      <c r="D50" s="1171"/>
      <c r="E50" s="1276" t="s">
        <v>1406</v>
      </c>
      <c r="F50" s="1277">
        <f ca="1">F7</f>
        <v>582.23</v>
      </c>
      <c r="H50" s="792"/>
      <c r="I50" s="1884" t="s">
        <v>1537</v>
      </c>
      <c r="J50" s="1892">
        <f>SUMPRODUCT((I63:I65=J47)*(J62:L62=J48)*(J63:L65))</f>
        <v>60</v>
      </c>
      <c r="K50" s="1886" t="s">
        <v>1538</v>
      </c>
      <c r="L50" s="1890"/>
      <c r="M50" s="1893"/>
      <c r="O50" s="1891" t="s">
        <v>1043</v>
      </c>
      <c r="P50" s="1882" t="s">
        <v>1539</v>
      </c>
      <c r="Q50" s="1894">
        <f ca="1">J58</f>
        <v>0.52800000000000002</v>
      </c>
      <c r="R50" s="1883"/>
    </row>
    <row r="51" spans="1:18" s="1839" customFormat="1" ht="13.5" thickBot="1">
      <c r="A51" s="1195"/>
      <c r="B51" s="1197"/>
      <c r="C51" s="1198"/>
      <c r="D51" s="1171"/>
      <c r="E51" s="1199" t="s">
        <v>1407</v>
      </c>
      <c r="F51" s="348">
        <f ca="1">F8</f>
        <v>365</v>
      </c>
      <c r="I51" s="1895" t="s">
        <v>1540</v>
      </c>
      <c r="J51" s="1896">
        <f>IF(J49="",J50,J49+J50-YEAR('数据-取费表'!B2))</f>
        <v>58</v>
      </c>
      <c r="K51" s="1897" t="s">
        <v>1541</v>
      </c>
      <c r="L51" s="1898">
        <f ca="1">ROUND(-PV(INDIRECT("'数据-取费表'!h"&amp;$G$1),L48,(C39-C13*C76),0),0)</f>
        <v>1846</v>
      </c>
      <c r="M51" s="1899"/>
      <c r="O51" s="1891" t="s">
        <v>1044</v>
      </c>
      <c r="P51" s="1882" t="s">
        <v>1542</v>
      </c>
      <c r="Q51" s="1894">
        <f>J52</f>
        <v>0.09</v>
      </c>
      <c r="R51" s="1883"/>
    </row>
    <row r="52" spans="1:18" s="1839" customFormat="1" ht="13.5" thickBot="1">
      <c r="A52" s="1195"/>
      <c r="B52" s="1197"/>
      <c r="C52" s="1198"/>
      <c r="D52" s="1171"/>
      <c r="E52" s="1199" t="s">
        <v>1408</v>
      </c>
      <c r="F52" s="1274"/>
      <c r="I52" s="1900" t="s">
        <v>1543</v>
      </c>
      <c r="J52" s="1901">
        <v>0.09</v>
      </c>
      <c r="K52" s="1900" t="s">
        <v>1544</v>
      </c>
      <c r="L52" s="1901">
        <v>0.05</v>
      </c>
      <c r="O52" s="1891" t="s">
        <v>1045</v>
      </c>
      <c r="P52" s="1882" t="s">
        <v>1545</v>
      </c>
      <c r="Q52" s="1883">
        <f ca="1">J53</f>
        <v>26.33</v>
      </c>
      <c r="R52" s="1883" t="s">
        <v>1546</v>
      </c>
    </row>
    <row r="53" spans="1:18" s="1839" customFormat="1" ht="24.75" thickBot="1">
      <c r="A53" s="1404" t="s">
        <v>1137</v>
      </c>
      <c r="B53" s="1829" t="s">
        <v>1409</v>
      </c>
      <c r="C53" s="361">
        <f ca="1">ROUND(IF(F53="押一",C49/12*F11,IF(F53="押二",C49/12*2*F11,IF(F53="押三",C49/12*3*F11,C54*F11))),0)</f>
        <v>0</v>
      </c>
      <c r="D53" s="1822" t="s">
        <v>3037</v>
      </c>
      <c r="E53" s="358" t="s">
        <v>1410</v>
      </c>
      <c r="F53" s="1365"/>
      <c r="I53" s="1902" t="s">
        <v>1547</v>
      </c>
      <c r="J53" s="1903">
        <f ca="1">IF(M47="住宅",J51,IF(D1="——",MIN(J51,L48),IF(D1="在建（套用方法）",MIN(J51,L48-'数据-取费表'!B24),IF(D1="土地（套用方法）",MIN(J51,L48-'数据-取费表'!B20)))))</f>
        <v>26.33</v>
      </c>
      <c r="K53" s="3294" t="s">
        <v>1548</v>
      </c>
      <c r="L53" s="3295"/>
      <c r="O53" s="1881" t="s">
        <v>1046</v>
      </c>
      <c r="P53" s="1882" t="s">
        <v>1549</v>
      </c>
      <c r="Q53" s="1883">
        <f ca="1">Q47+Q48</f>
        <v>2844</v>
      </c>
      <c r="R53" s="1883" t="s">
        <v>1047</v>
      </c>
    </row>
    <row r="54" spans="1:18" s="1839" customFormat="1" ht="13.5" thickBot="1">
      <c r="A54" s="1405"/>
      <c r="B54" s="1823" t="s">
        <v>1388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2" t="s">
        <v>1075</v>
      </c>
      <c r="B55" s="1825" t="s">
        <v>1413</v>
      </c>
      <c r="C55" s="1333"/>
      <c r="D55" s="1822"/>
      <c r="E55" s="1830"/>
      <c r="F55" s="1904"/>
      <c r="I55" s="1907" t="s">
        <v>1551</v>
      </c>
      <c r="J55" s="1908">
        <f ca="1">ROUND(IF(J47="钢混",J57/J50,1-(1-2%)*(J50-J57)/J50),3)</f>
        <v>0.52800000000000002</v>
      </c>
      <c r="K55" s="1909" t="s">
        <v>1552</v>
      </c>
      <c r="L55" s="1910" t="s">
        <v>1553</v>
      </c>
      <c r="O55" s="1874" t="s">
        <v>1522</v>
      </c>
      <c r="P55" s="1875" t="s">
        <v>1523</v>
      </c>
      <c r="Q55" s="1876" t="s">
        <v>1524</v>
      </c>
      <c r="R55" s="1876" t="s">
        <v>1525</v>
      </c>
    </row>
    <row r="56" spans="1:18" s="1839" customFormat="1" ht="25.5" thickTop="1" thickBot="1">
      <c r="A56" s="1175">
        <v>2</v>
      </c>
      <c r="B56" s="1176" t="s">
        <v>1414</v>
      </c>
      <c r="C56" s="276">
        <f ca="1">C13</f>
        <v>275</v>
      </c>
      <c r="D56" s="1911"/>
      <c r="E56" s="1912"/>
      <c r="F56" s="1904"/>
      <c r="I56" s="1913" t="s">
        <v>1554</v>
      </c>
      <c r="J56" s="1914" t="s">
        <v>3049</v>
      </c>
      <c r="K56" s="1884" t="s">
        <v>1555</v>
      </c>
      <c r="L56" s="1887" t="str">
        <f ca="1">IF(L48&lt;J51,"——",L48-J53)</f>
        <v>——</v>
      </c>
      <c r="O56" s="1881" t="s">
        <v>1040</v>
      </c>
      <c r="P56" s="1882" t="s">
        <v>1528</v>
      </c>
      <c r="Q56" s="1883">
        <f ca="1">C40+J29</f>
        <v>2828</v>
      </c>
      <c r="R56" s="1883" t="s">
        <v>1529</v>
      </c>
    </row>
    <row r="57" spans="1:18" s="1839" customFormat="1" ht="24.75" thickBot="1">
      <c r="A57" s="1915"/>
      <c r="B57" s="1168" t="s">
        <v>1478</v>
      </c>
      <c r="C57" s="282">
        <f ca="1">C29</f>
        <v>284</v>
      </c>
      <c r="D57" s="1916"/>
      <c r="E57" s="1917"/>
      <c r="F57" s="1918"/>
      <c r="I57" s="1919" t="s">
        <v>1556</v>
      </c>
      <c r="J57" s="1920">
        <f ca="1">IF(OR(M47="住宅",J51&lt;L48,J56="是"),"——",J51-L48)</f>
        <v>31.67</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6" t="s">
        <v>1424</v>
      </c>
      <c r="C58" s="361">
        <f ca="1">ROUND(C59+C64+C65+C66,0)</f>
        <v>29</v>
      </c>
      <c r="D58" s="1178" t="s">
        <v>1425</v>
      </c>
      <c r="E58" s="1179"/>
      <c r="F58" s="1180"/>
      <c r="I58" s="1919" t="s">
        <v>1560</v>
      </c>
      <c r="J58" s="1921">
        <f ca="1">IF(J55&lt;0.4,0.4,J55)</f>
        <v>0.52800000000000002</v>
      </c>
      <c r="K58" s="1897" t="s">
        <v>1561</v>
      </c>
      <c r="L58" s="1887">
        <f ca="1">ROUND(POWER(1+L52,L47-L48)*(POWER(1+L52,L48)-1)/(POWER(1+L52,L47)-1),4)</f>
        <v>0.84299999999999997</v>
      </c>
      <c r="O58" s="1891" t="s">
        <v>1042</v>
      </c>
      <c r="P58" s="1882" t="s">
        <v>1562</v>
      </c>
      <c r="Q58" s="1883">
        <f>IF(L55="比较法",L49,IF(L55="基准地价",L50,0))</f>
        <v>0</v>
      </c>
      <c r="R58" s="1883" t="s">
        <v>1529</v>
      </c>
    </row>
    <row r="59" spans="1:18" s="1839" customFormat="1" ht="24.75" thickBot="1">
      <c r="A59" s="1200" t="s">
        <v>1035</v>
      </c>
      <c r="B59" s="1168" t="s">
        <v>1429</v>
      </c>
      <c r="C59" s="24">
        <f ca="1">ROUND(IF(项目基本情况!B11="自然人",C48*F59,C60+C61+C62),1)</f>
        <v>23.9</v>
      </c>
      <c r="D59" s="1181" t="s">
        <v>1430</v>
      </c>
      <c r="E59" s="1182" t="s">
        <v>1431</v>
      </c>
      <c r="F59" s="368" t="str">
        <f ca="1">IF(项目基本情况!B11="企业","",IF(INDIRECT("'数据-取费表'!c"&amp;$G$1)="住宅",5%,IF(F49*F50*F51/12/(1+'数据-取费表'!C42)&gt;20000,12%,7%)))</f>
        <v/>
      </c>
      <c r="I59" s="1919" t="s">
        <v>1563</v>
      </c>
      <c r="J59" s="1920">
        <f ca="1">IF(OR(M47="住宅",J51&lt;L48,J56="是"),"——",ROUND(C29*J58,0))</f>
        <v>150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1.0968</v>
      </c>
      <c r="M59" s="1835">
        <f ca="1">ROUND(POWER(1+L52,L47-(J51+'数据-取费表'!B24))*(POWER(1+L52,(J51+'数据-取费表'!B24))-1)/(POWER(1+L52,L47)-1),4)</f>
        <v>1.0968</v>
      </c>
      <c r="N59" s="1835">
        <f ca="1">ROUND(POWER(1+L52,L47-(J51+'数据-取费表'!B20))*(POWER(1+L52,(J51+'数据-取费表'!B20))-1)/(POWER(1+L52,L47)-1),4)</f>
        <v>1.1032</v>
      </c>
      <c r="O59" s="1891" t="s">
        <v>1043</v>
      </c>
      <c r="P59" s="1882" t="s">
        <v>1564</v>
      </c>
      <c r="Q59" s="1894">
        <f>L52</f>
        <v>0.05</v>
      </c>
      <c r="R59" s="1883"/>
    </row>
    <row r="60" spans="1:18" s="1839"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2" t="s">
        <v>1565</v>
      </c>
      <c r="J60" s="1923">
        <f ca="1">IF(OR(M47="住宅",J51&lt;L48,J56="是"),"0",ROUND(J59/(1+J52)^J53,0))</f>
        <v>16</v>
      </c>
      <c r="K60" s="1924" t="s">
        <v>1566</v>
      </c>
      <c r="L60" s="1923">
        <f ca="1">IF(OR(M47="住宅",L48&lt;J51),0,ROUND(L57*(L58/L59-1),0))</f>
        <v>0</v>
      </c>
      <c r="O60" s="1891" t="s">
        <v>1044</v>
      </c>
      <c r="P60" s="1882" t="s">
        <v>1567</v>
      </c>
      <c r="Q60" s="1883">
        <f ca="1">L58</f>
        <v>0.84299999999999997</v>
      </c>
      <c r="R60" s="1883" t="s">
        <v>1568</v>
      </c>
    </row>
    <row r="61" spans="1:18" s="1839" customFormat="1" ht="13.5" thickBot="1">
      <c r="A61" s="1200" t="s">
        <v>1492</v>
      </c>
      <c r="B61" s="1168" t="s">
        <v>1493</v>
      </c>
      <c r="C61" s="24">
        <f ca="1">IF(项目基本情况!B11="自然人","——",IF(D61="按租金收入计税",ROUND(C48*F61,2),IF(D61="按房产原值计税",ROUND(C57*F61*0.7,2),INDIRECT("'数据-取费表'!Aj"&amp;$G$1))))</f>
        <v>23.86</v>
      </c>
      <c r="D61" s="1826" t="s">
        <v>1438</v>
      </c>
      <c r="E61" s="1168" t="s">
        <v>1494</v>
      </c>
      <c r="F61" s="367">
        <f t="shared" si="0"/>
        <v>0.12</v>
      </c>
      <c r="I61" s="1925"/>
      <c r="J61" s="1925"/>
      <c r="K61" s="1925"/>
      <c r="L61" s="1925"/>
      <c r="O61" s="1891" t="s">
        <v>1045</v>
      </c>
      <c r="P61" s="1882" t="str">
        <f>K59</f>
        <v>建筑物剩余耐用年限下的土地年期修正系数Kn</v>
      </c>
      <c r="Q61" s="1883">
        <f ca="1">L59</f>
        <v>1.0968</v>
      </c>
      <c r="R61" s="1883" t="s">
        <v>1569</v>
      </c>
    </row>
    <row r="62" spans="1:18" s="1839" customFormat="1" ht="13.5" thickBot="1">
      <c r="A62" s="1200" t="s">
        <v>1495</v>
      </c>
      <c r="B62" s="1167" t="s">
        <v>1496</v>
      </c>
      <c r="C62" s="25">
        <f ca="1">IF(项目基本情况!B11="自然人","——",ROUND(F62*F63/10000,2))</f>
        <v>0.05</v>
      </c>
      <c r="D62" s="1183" t="s">
        <v>1497</v>
      </c>
      <c r="E62" s="1168" t="s">
        <v>1498</v>
      </c>
      <c r="F62" s="371">
        <f t="shared" si="0"/>
        <v>3</v>
      </c>
      <c r="I62" s="1926" t="s">
        <v>1570</v>
      </c>
      <c r="J62" s="1927" t="s">
        <v>1571</v>
      </c>
      <c r="K62" s="1927" t="s">
        <v>1572</v>
      </c>
      <c r="L62" s="1927" t="s">
        <v>1573</v>
      </c>
      <c r="M62" s="1928" t="s">
        <v>1574</v>
      </c>
      <c r="O62" s="1881" t="s">
        <v>1046</v>
      </c>
      <c r="P62" s="1882" t="s">
        <v>1575</v>
      </c>
      <c r="Q62" s="1883">
        <f ca="1">Q56+Q57</f>
        <v>2828</v>
      </c>
      <c r="R62" s="1883" t="s">
        <v>1047</v>
      </c>
    </row>
    <row r="63" spans="1:18" s="1839" customFormat="1" ht="13.5" thickBot="1">
      <c r="A63" s="372"/>
      <c r="B63" s="1174"/>
      <c r="C63" s="29"/>
      <c r="D63" s="1184"/>
      <c r="E63" s="1168" t="s">
        <v>1499</v>
      </c>
      <c r="F63" s="348">
        <f t="shared" ca="1" si="0"/>
        <v>166.35</v>
      </c>
      <c r="I63" s="1926" t="s">
        <v>1576</v>
      </c>
      <c r="J63" s="1927">
        <v>70</v>
      </c>
      <c r="K63" s="1927">
        <v>50</v>
      </c>
      <c r="L63" s="1927">
        <v>80</v>
      </c>
      <c r="M63" s="1929">
        <v>0.02</v>
      </c>
      <c r="O63" s="1866" t="s">
        <v>1577</v>
      </c>
      <c r="P63" s="1836"/>
      <c r="Q63" s="1836"/>
      <c r="R63" s="1836"/>
    </row>
    <row r="64" spans="1:18" s="1839" customFormat="1" ht="13.5" thickBot="1">
      <c r="A64" s="1200" t="s">
        <v>1500</v>
      </c>
      <c r="B64" s="1168" t="s">
        <v>1501</v>
      </c>
      <c r="C64" s="24">
        <f ca="1">ROUND(C57*F64,1)</f>
        <v>4.3</v>
      </c>
      <c r="D64" s="1182" t="s">
        <v>1502</v>
      </c>
      <c r="E64" s="1168"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4">
        <f ca="1">ROUND(C56*F65,1)</f>
        <v>0.4</v>
      </c>
      <c r="D65" s="1182" t="s">
        <v>1454</v>
      </c>
      <c r="E65" s="1168" t="s">
        <v>1455</v>
      </c>
      <c r="F65" s="376">
        <f t="shared" ca="1" si="0"/>
        <v>1.5E-3</v>
      </c>
      <c r="I65" s="1926" t="s">
        <v>1579</v>
      </c>
      <c r="J65" s="1927">
        <v>40</v>
      </c>
      <c r="K65" s="1927">
        <v>30</v>
      </c>
      <c r="L65" s="1927">
        <v>50</v>
      </c>
      <c r="M65" s="1929">
        <v>0.02</v>
      </c>
      <c r="O65" s="1881" t="s">
        <v>1040</v>
      </c>
      <c r="P65" s="1882" t="s">
        <v>1580</v>
      </c>
      <c r="Q65" s="1883">
        <f ca="1">C40+J29</f>
        <v>2828</v>
      </c>
      <c r="R65" s="1883" t="s">
        <v>1529</v>
      </c>
    </row>
    <row r="66" spans="1:18" s="1839" customFormat="1" ht="16.5" thickBot="1">
      <c r="A66" s="1200" t="s">
        <v>1504</v>
      </c>
      <c r="B66" s="1168" t="s">
        <v>1439</v>
      </c>
      <c r="C66" s="24">
        <f ca="1">ROUND(C48*F66,1)</f>
        <v>0</v>
      </c>
      <c r="D66" s="1182" t="s">
        <v>1505</v>
      </c>
      <c r="E66" s="1168" t="s">
        <v>1422</v>
      </c>
      <c r="F66" s="357">
        <f t="shared" ca="1" si="0"/>
        <v>0.01</v>
      </c>
      <c r="O66" s="1881" t="s">
        <v>1041</v>
      </c>
      <c r="P66" s="1882" t="s">
        <v>1558</v>
      </c>
      <c r="Q66" s="1883">
        <f ca="1">L60</f>
        <v>0</v>
      </c>
      <c r="R66" s="1883" t="s">
        <v>1581</v>
      </c>
    </row>
    <row r="67" spans="1:18" s="1839" customFormat="1" ht="16.5" thickBot="1">
      <c r="A67" s="1175" t="s">
        <v>1031</v>
      </c>
      <c r="B67" s="1185" t="s">
        <v>1463</v>
      </c>
      <c r="C67" s="361">
        <f ca="1">C48-C58</f>
        <v>-29</v>
      </c>
      <c r="D67" s="1181" t="s">
        <v>1464</v>
      </c>
      <c r="E67" s="1186"/>
      <c r="F67" s="1187"/>
      <c r="O67" s="1891" t="s">
        <v>1042</v>
      </c>
      <c r="P67" s="1882" t="s">
        <v>1562</v>
      </c>
      <c r="Q67" s="1930">
        <f ca="1">L51</f>
        <v>1846</v>
      </c>
      <c r="R67" s="1883" t="s">
        <v>1582</v>
      </c>
    </row>
    <row r="68" spans="1:18" s="1839" customFormat="1" ht="16.5" thickBot="1">
      <c r="A68" s="1165" t="s">
        <v>1032</v>
      </c>
      <c r="B68" s="1166" t="s">
        <v>1485</v>
      </c>
      <c r="C68" s="346">
        <f ca="1">ROUND(C67*(1-((1+F70)/(1+F68))^F69)/(F68-F70),0)</f>
        <v>-399</v>
      </c>
      <c r="D68" s="1183" t="s">
        <v>1469</v>
      </c>
      <c r="E68" s="1168" t="s">
        <v>1470</v>
      </c>
      <c r="F68" s="357">
        <f ca="1">F40</f>
        <v>5.5E-2</v>
      </c>
      <c r="O68" s="1891" t="s">
        <v>1043</v>
      </c>
      <c r="P68" s="1931" t="s">
        <v>1583</v>
      </c>
      <c r="Q68" s="1883">
        <f ca="1">ROUND(Q69-Q70*Q71,0)</f>
        <v>128</v>
      </c>
      <c r="R68" s="1883" t="s">
        <v>1051</v>
      </c>
    </row>
    <row r="69" spans="1:18" s="1839" customFormat="1" ht="13.5" thickBot="1">
      <c r="A69" s="1169"/>
      <c r="B69" s="1170"/>
      <c r="C69" s="351"/>
      <c r="D69" s="1188" t="s">
        <v>1473</v>
      </c>
      <c r="E69" s="1168" t="s">
        <v>1474</v>
      </c>
      <c r="F69" s="379">
        <f ca="1">F41</f>
        <v>26.33</v>
      </c>
      <c r="O69" s="1891" t="s">
        <v>1048</v>
      </c>
      <c r="P69" s="1931" t="s">
        <v>1584</v>
      </c>
      <c r="Q69" s="1883">
        <f ca="1">C39</f>
        <v>151</v>
      </c>
      <c r="R69" s="1883" t="s">
        <v>1529</v>
      </c>
    </row>
    <row r="70" spans="1:18" s="1839" customFormat="1" ht="13.5" thickBot="1">
      <c r="A70" s="1172"/>
      <c r="B70" s="1173"/>
      <c r="C70" s="355"/>
      <c r="D70" s="1184"/>
      <c r="E70" s="1168" t="s">
        <v>1477</v>
      </c>
      <c r="F70" s="1274"/>
      <c r="O70" s="1891" t="s">
        <v>1049</v>
      </c>
      <c r="P70" s="1931" t="s">
        <v>1585</v>
      </c>
      <c r="Q70" s="1883">
        <f ca="1">C13</f>
        <v>275</v>
      </c>
      <c r="R70" s="1883" t="s">
        <v>1529</v>
      </c>
    </row>
    <row r="71" spans="1:18" s="1839" customFormat="1" ht="13.5" thickBot="1">
      <c r="A71" s="1189" t="s">
        <v>1033</v>
      </c>
      <c r="B71" s="1190" t="s">
        <v>1487</v>
      </c>
      <c r="C71" s="382">
        <f ca="1">ROUND(C68*10000/F71,0)</f>
        <v>-6853</v>
      </c>
      <c r="D71" s="1191" t="s">
        <v>1488</v>
      </c>
      <c r="E71" s="1192" t="s">
        <v>1489</v>
      </c>
      <c r="F71" s="385">
        <f ca="1">F43</f>
        <v>582.23</v>
      </c>
      <c r="O71" s="1891" t="s">
        <v>1050</v>
      </c>
      <c r="P71" s="1931" t="s">
        <v>1586</v>
      </c>
      <c r="Q71" s="1894">
        <f ca="1">C76</f>
        <v>8.5000000000000006E-2</v>
      </c>
      <c r="R71" s="1883"/>
    </row>
    <row r="72" spans="1:18" s="1839" customFormat="1" ht="13.5" thickBot="1">
      <c r="B72" s="795"/>
      <c r="C72" s="795"/>
      <c r="O72" s="1891" t="s">
        <v>1044</v>
      </c>
      <c r="P72" s="1882" t="s">
        <v>1564</v>
      </c>
      <c r="Q72" s="1894">
        <f>L52</f>
        <v>0.05</v>
      </c>
      <c r="R72" s="1883"/>
    </row>
    <row r="73" spans="1:18" ht="16.5" thickBot="1">
      <c r="A73" s="1839"/>
      <c r="B73" s="795"/>
      <c r="C73" s="795"/>
      <c r="D73" s="1839"/>
      <c r="E73" s="1839"/>
      <c r="F73" s="1839"/>
      <c r="O73" s="1891" t="s">
        <v>1045</v>
      </c>
      <c r="P73" s="1882" t="s">
        <v>1567</v>
      </c>
      <c r="Q73" s="1883">
        <f ca="1">L58</f>
        <v>0.84299999999999997</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f ca="1">L59</f>
        <v>1.0968</v>
      </c>
      <c r="R74" s="1883" t="s">
        <v>1569</v>
      </c>
    </row>
    <row r="75" spans="1:18" ht="13.5" thickBot="1">
      <c r="A75" s="1839"/>
      <c r="B75" s="386" t="s">
        <v>1506</v>
      </c>
      <c r="C75" s="387">
        <f ca="1">ROUND(C13*C76,0)</f>
        <v>23</v>
      </c>
      <c r="D75" s="1839"/>
      <c r="E75" s="1839"/>
      <c r="F75" s="1839"/>
      <c r="K75" s="1865"/>
      <c r="L75" s="1839"/>
      <c r="O75" s="1881" t="s">
        <v>1046</v>
      </c>
      <c r="P75" s="1882" t="s">
        <v>1549</v>
      </c>
      <c r="Q75" s="1883">
        <f ca="1">Q65+Q66</f>
        <v>2828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0.84799999999999998</v>
      </c>
    </row>
    <row r="80" spans="1:18">
      <c r="B80" s="386" t="s">
        <v>1511</v>
      </c>
      <c r="C80" s="318">
        <f ca="1">ROUND(C75/C39,3)</f>
        <v>0.152</v>
      </c>
    </row>
    <row r="81" spans="2:3">
      <c r="B81" s="314" t="s">
        <v>1512</v>
      </c>
      <c r="C81" s="282"/>
    </row>
    <row r="82" spans="2:3">
      <c r="B82" s="317" t="s">
        <v>1513</v>
      </c>
      <c r="C82" s="319">
        <f ca="1">1-C83</f>
        <v>0.90300000000000002</v>
      </c>
    </row>
    <row r="83" spans="2:3">
      <c r="B83" s="317" t="s">
        <v>1514</v>
      </c>
      <c r="C83" s="318">
        <f ca="1">ROUND(C13/C40,3)</f>
        <v>9.7000000000000003E-2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3004</v>
      </c>
      <c r="C1" s="3297" t="s">
        <v>3005</v>
      </c>
      <c r="D1" s="3298"/>
      <c r="E1" s="3298"/>
      <c r="F1" s="3298"/>
      <c r="G1" s="3298"/>
      <c r="H1" s="3298"/>
      <c r="I1" s="3298"/>
      <c r="J1" s="3298"/>
      <c r="K1" s="3298"/>
      <c r="L1" s="3298"/>
      <c r="M1" s="3298"/>
      <c r="N1" s="3298"/>
      <c r="O1" s="3298"/>
      <c r="P1" s="3298"/>
      <c r="Q1" s="3298"/>
      <c r="R1" s="3298"/>
      <c r="S1" s="3299"/>
      <c r="T1" s="1203" t="s">
        <v>3006</v>
      </c>
    </row>
    <row r="2" spans="1:45" s="706" customFormat="1" ht="38.25">
      <c r="A2" s="1204"/>
      <c r="B2" s="702" t="s">
        <v>3007</v>
      </c>
      <c r="C2" s="703" t="str">
        <f t="shared" ref="C2:L2" si="0">C3&amp;"(含)"&amp;"-"&amp;D3</f>
        <v>0(含)-100</v>
      </c>
      <c r="D2" s="704" t="str">
        <f t="shared" si="0"/>
        <v>100(含)-200</v>
      </c>
      <c r="E2" s="704" t="str">
        <f t="shared" si="0"/>
        <v>200(含)-500</v>
      </c>
      <c r="F2" s="704" t="str">
        <f t="shared" si="0"/>
        <v>500(含)-800</v>
      </c>
      <c r="G2" s="704" t="str">
        <f t="shared" si="0"/>
        <v>800(含)-1500</v>
      </c>
      <c r="H2" s="704" t="str">
        <f t="shared" si="0"/>
        <v>1500(含)-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100</v>
      </c>
      <c r="E3" s="709">
        <v>200</v>
      </c>
      <c r="F3" s="1702">
        <v>500</v>
      </c>
      <c r="G3" s="1702">
        <v>800</v>
      </c>
      <c r="H3" s="1702">
        <v>1500</v>
      </c>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99</v>
      </c>
      <c r="E4" s="1210">
        <v>98</v>
      </c>
      <c r="F4" s="1706">
        <v>97</v>
      </c>
      <c r="G4" s="1706">
        <v>96</v>
      </c>
      <c r="H4" s="1706">
        <v>95</v>
      </c>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3008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3009</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3010</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24.75">
      <c r="A13" s="1214"/>
      <c r="B13" s="2994" t="s">
        <v>3774</v>
      </c>
      <c r="C13" s="1215" t="s">
        <v>3775</v>
      </c>
      <c r="D13" s="1216" t="s">
        <v>3776</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v>100</v>
      </c>
      <c r="D14" s="1116">
        <v>90</v>
      </c>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24">
      <c r="A15" s="1214"/>
      <c r="B15" s="2994" t="s">
        <v>3771</v>
      </c>
      <c r="C15" s="2995" t="s">
        <v>3772</v>
      </c>
      <c r="D15" s="2996" t="s">
        <v>3773</v>
      </c>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v>100</v>
      </c>
      <c r="D16" s="1210">
        <v>90</v>
      </c>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3014</v>
      </c>
      <c r="B17" s="2914" t="s">
        <v>3015</v>
      </c>
      <c r="C17" s="1230">
        <v>1</v>
      </c>
      <c r="D17" s="1231">
        <v>2</v>
      </c>
      <c r="E17" s="1231">
        <v>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80</v>
      </c>
      <c r="E18" s="1243">
        <v>70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5" t="s">
        <v>3016</v>
      </c>
      <c r="E19" s="1790"/>
      <c r="F19" s="1790"/>
      <c r="G19" s="1790"/>
      <c r="H19" s="1279"/>
      <c r="I19" s="168"/>
      <c r="J19" s="168"/>
      <c r="K19" s="168"/>
      <c r="L19" s="168"/>
      <c r="M19" s="168"/>
      <c r="N19" s="168"/>
      <c r="O19" s="168"/>
      <c r="P19" s="168"/>
      <c r="Q19" s="168"/>
      <c r="R19" s="787"/>
      <c r="S19" s="138"/>
    </row>
    <row r="20" spans="1:45" ht="16.5" thickBot="1">
      <c r="A20" s="714" t="s">
        <v>3017</v>
      </c>
      <c r="B20" s="338">
        <f ca="1">IF(D20="——",S22,S22-F20)</f>
        <v>54423</v>
      </c>
      <c r="C20" s="168"/>
      <c r="D20" s="2916" t="s">
        <v>70</v>
      </c>
      <c r="E20" s="1791"/>
      <c r="F20" s="1203" t="e">
        <f ca="1">SUMIF(INDIRECT("'"&amp;H20&amp;"'"&amp;"!A:A"),"承租人权益价值",INDIRECT("'"&amp;H20&amp;"'"&amp;"!c:c"))</f>
        <v>#REF!</v>
      </c>
      <c r="G20" s="1203" t="s">
        <v>3018</v>
      </c>
      <c r="H20" s="2917"/>
      <c r="I20" s="168"/>
      <c r="J20" s="168"/>
      <c r="K20" s="168"/>
      <c r="L20" s="168"/>
      <c r="M20" s="168"/>
      <c r="N20" s="168"/>
      <c r="O20" s="168"/>
      <c r="P20" s="168"/>
      <c r="Q20" s="168"/>
      <c r="R20" s="787"/>
      <c r="S20" s="138"/>
    </row>
    <row r="21" spans="1:45" ht="15.75">
      <c r="A21" s="714" t="s">
        <v>3019</v>
      </c>
      <c r="B21" s="338">
        <f ca="1">R22</f>
        <v>38961</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13968.539999999997</v>
      </c>
      <c r="C22" s="3130" t="s">
        <v>33</v>
      </c>
      <c r="D22" s="3131"/>
      <c r="E22" s="3131"/>
      <c r="F22" s="3131"/>
      <c r="G22" s="3131"/>
      <c r="H22" s="3131"/>
      <c r="I22" s="3131"/>
      <c r="J22" s="3131"/>
      <c r="K22" s="3131"/>
      <c r="L22" s="3131"/>
      <c r="M22" s="3131"/>
      <c r="N22" s="3131"/>
      <c r="O22" s="3131"/>
      <c r="P22" s="3131"/>
      <c r="Q22" s="3296"/>
      <c r="R22" s="715">
        <f ca="1">ROUND(S22*10000/B22,0)</f>
        <v>38961</v>
      </c>
      <c r="S22" s="24">
        <f ca="1">SUM(S24:S10000)</f>
        <v>54423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层高</v>
      </c>
      <c r="M23" s="11" t="s">
        <v>3023</v>
      </c>
      <c r="N23" s="11" t="str">
        <f>B15</f>
        <v>业态</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582.23</v>
      </c>
      <c r="C24" s="718">
        <v>1</v>
      </c>
      <c r="D24" s="719"/>
      <c r="E24" s="718">
        <v>1</v>
      </c>
      <c r="F24" s="719"/>
      <c r="G24" s="718">
        <v>1</v>
      </c>
      <c r="H24" s="719"/>
      <c r="I24" s="718">
        <v>1</v>
      </c>
      <c r="J24" s="719"/>
      <c r="K24" s="718">
        <v>1</v>
      </c>
      <c r="L24" s="719" t="s">
        <v>3777</v>
      </c>
      <c r="M24" s="718">
        <v>1</v>
      </c>
      <c r="N24" s="719" t="s">
        <v>3726</v>
      </c>
      <c r="O24" s="718">
        <v>1</v>
      </c>
      <c r="P24" s="719">
        <v>1</v>
      </c>
      <c r="Q24" s="718">
        <v>1</v>
      </c>
      <c r="R24" s="3023">
        <f ca="1">'结果表-商业'!G20</f>
        <v>51203</v>
      </c>
      <c r="S24" s="718">
        <f t="shared" ref="S24:S54" ca="1" si="11">ROUND(R24*B24/10000,0)</f>
        <v>2981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102</v>
      </c>
      <c r="B25" s="59">
        <v>675.05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t="s">
        <v>3777</v>
      </c>
      <c r="M25" s="24">
        <f>(SUMIF($13:$13,L25,$14:$14)-SUMIF($13:$13,$L$24,$14:$14)+100)/100</f>
        <v>1</v>
      </c>
      <c r="N25" s="719" t="s">
        <v>3726</v>
      </c>
      <c r="O25" s="24">
        <f>(SUMIF($15:$15,N25,$16:$16)-SUMIF($15:$15,$N$24,$16:$16)+100)/100</f>
        <v>1</v>
      </c>
      <c r="P25" s="719">
        <v>1</v>
      </c>
      <c r="Q25" s="24">
        <f>(SUMIF($17:$17,P25,$18:$18)-SUMIF($17:$17,$P$24,$18:$18)+100)/100</f>
        <v>1</v>
      </c>
      <c r="R25" s="715">
        <f ca="1">IF(B25="",0,ROUND($R$24*C25*E25*G25*I25*K25*M25*O25*Q25,0))</f>
        <v>51203</v>
      </c>
      <c r="S25" s="361">
        <f t="shared" ca="1" si="11"/>
        <v>3456</v>
      </c>
    </row>
    <row r="26" spans="1:45">
      <c r="A26" s="159">
        <v>103</v>
      </c>
      <c r="B26" s="59">
        <v>56.96</v>
      </c>
      <c r="C26" s="24">
        <f t="shared" ref="C26:C89" si="12">IF(B26="",1,(LOOKUP(B26,$3:$3,$4:$4)-LOOKUP($B$24,$3:$3,$4:$4)+100)/100)</f>
        <v>1.03</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t="s">
        <v>3777</v>
      </c>
      <c r="M26" s="24">
        <f t="shared" ref="M26:M89" si="17">(SUMIF($13:$13,L26,$14:$14)-SUMIF($13:$13,$L$24,$14:$14)+100)/100</f>
        <v>1</v>
      </c>
      <c r="N26" s="719" t="s">
        <v>3726</v>
      </c>
      <c r="O26" s="24">
        <f t="shared" ref="O26:O89" si="18">(SUMIF($15:$15,N26,$16:$16)-SUMIF($15:$15,$N$24,$16:$16)+100)/100</f>
        <v>1</v>
      </c>
      <c r="P26" s="719">
        <v>1</v>
      </c>
      <c r="Q26" s="24">
        <f t="shared" ref="Q26:Q89" si="19">(SUMIF($17:$17,P26,$18:$18)-SUMIF($17:$17,$P$24,$18:$18)+100)/100</f>
        <v>1</v>
      </c>
      <c r="R26" s="715">
        <f t="shared" ref="R26:R89" ca="1" si="20">IF(B26="",0,ROUND($R$24*C26*E26*G26*I26*K26*M26*O26*Q26,0))</f>
        <v>52739</v>
      </c>
      <c r="S26" s="361">
        <f t="shared" ca="1" si="11"/>
        <v>300</v>
      </c>
    </row>
    <row r="27" spans="1:45">
      <c r="A27" s="159">
        <v>104</v>
      </c>
      <c r="B27" s="59">
        <v>310.97000000000003</v>
      </c>
      <c r="C27" s="24">
        <f t="shared" si="12"/>
        <v>1.01</v>
      </c>
      <c r="D27" s="719"/>
      <c r="E27" s="24">
        <f t="shared" si="13"/>
        <v>1</v>
      </c>
      <c r="F27" s="719"/>
      <c r="G27" s="24">
        <f t="shared" si="14"/>
        <v>1</v>
      </c>
      <c r="H27" s="719"/>
      <c r="I27" s="24">
        <f t="shared" si="15"/>
        <v>1</v>
      </c>
      <c r="J27" s="719"/>
      <c r="K27" s="24">
        <f t="shared" si="16"/>
        <v>1</v>
      </c>
      <c r="L27" s="719" t="s">
        <v>3777</v>
      </c>
      <c r="M27" s="24">
        <f t="shared" si="17"/>
        <v>1</v>
      </c>
      <c r="N27" s="719" t="s">
        <v>3726</v>
      </c>
      <c r="O27" s="24">
        <f t="shared" si="18"/>
        <v>1</v>
      </c>
      <c r="P27" s="719">
        <v>1</v>
      </c>
      <c r="Q27" s="24">
        <f t="shared" si="19"/>
        <v>1</v>
      </c>
      <c r="R27" s="715">
        <f t="shared" ca="1" si="20"/>
        <v>51715</v>
      </c>
      <c r="S27" s="361">
        <f t="shared" ca="1" si="11"/>
        <v>1608</v>
      </c>
    </row>
    <row r="28" spans="1:45">
      <c r="A28" s="159">
        <v>105</v>
      </c>
      <c r="B28" s="59">
        <v>241.28</v>
      </c>
      <c r="C28" s="24">
        <f t="shared" si="12"/>
        <v>1.01</v>
      </c>
      <c r="D28" s="719"/>
      <c r="E28" s="24">
        <f t="shared" si="13"/>
        <v>1</v>
      </c>
      <c r="F28" s="719"/>
      <c r="G28" s="24">
        <f t="shared" si="14"/>
        <v>1</v>
      </c>
      <c r="H28" s="719"/>
      <c r="I28" s="24">
        <f t="shared" si="15"/>
        <v>1</v>
      </c>
      <c r="J28" s="719"/>
      <c r="K28" s="24">
        <f t="shared" si="16"/>
        <v>1</v>
      </c>
      <c r="L28" s="719" t="s">
        <v>3777</v>
      </c>
      <c r="M28" s="24">
        <f t="shared" si="17"/>
        <v>1</v>
      </c>
      <c r="N28" s="719" t="s">
        <v>3726</v>
      </c>
      <c r="O28" s="24">
        <f t="shared" si="18"/>
        <v>1</v>
      </c>
      <c r="P28" s="719">
        <v>1</v>
      </c>
      <c r="Q28" s="24">
        <f t="shared" si="19"/>
        <v>1</v>
      </c>
      <c r="R28" s="715">
        <f t="shared" ca="1" si="20"/>
        <v>51715</v>
      </c>
      <c r="S28" s="361">
        <f t="shared" ca="1" si="11"/>
        <v>1248</v>
      </c>
    </row>
    <row r="29" spans="1:45">
      <c r="A29" s="159">
        <v>106</v>
      </c>
      <c r="B29" s="59">
        <v>173.13</v>
      </c>
      <c r="C29" s="24">
        <f t="shared" si="12"/>
        <v>1.02</v>
      </c>
      <c r="D29" s="719"/>
      <c r="E29" s="24">
        <f t="shared" si="13"/>
        <v>1</v>
      </c>
      <c r="F29" s="719"/>
      <c r="G29" s="24">
        <f t="shared" si="14"/>
        <v>1</v>
      </c>
      <c r="H29" s="719"/>
      <c r="I29" s="24">
        <f t="shared" si="15"/>
        <v>1</v>
      </c>
      <c r="J29" s="719"/>
      <c r="K29" s="24">
        <f t="shared" si="16"/>
        <v>1</v>
      </c>
      <c r="L29" s="719" t="s">
        <v>3777</v>
      </c>
      <c r="M29" s="24">
        <f t="shared" si="17"/>
        <v>1</v>
      </c>
      <c r="N29" s="719" t="s">
        <v>3726</v>
      </c>
      <c r="O29" s="24">
        <f t="shared" si="18"/>
        <v>1</v>
      </c>
      <c r="P29" s="719">
        <v>1</v>
      </c>
      <c r="Q29" s="24">
        <f t="shared" si="19"/>
        <v>1</v>
      </c>
      <c r="R29" s="715">
        <f t="shared" ca="1" si="20"/>
        <v>52227</v>
      </c>
      <c r="S29" s="361">
        <f t="shared" ca="1" si="11"/>
        <v>904</v>
      </c>
    </row>
    <row r="30" spans="1:45">
      <c r="A30" s="159">
        <v>107</v>
      </c>
      <c r="B30" s="59">
        <v>311.68</v>
      </c>
      <c r="C30" s="24">
        <f t="shared" si="12"/>
        <v>1.01</v>
      </c>
      <c r="D30" s="719"/>
      <c r="E30" s="24">
        <f t="shared" si="13"/>
        <v>1</v>
      </c>
      <c r="F30" s="719"/>
      <c r="G30" s="24">
        <f t="shared" si="14"/>
        <v>1</v>
      </c>
      <c r="H30" s="719"/>
      <c r="I30" s="24">
        <f t="shared" si="15"/>
        <v>1</v>
      </c>
      <c r="J30" s="719"/>
      <c r="K30" s="24">
        <f t="shared" si="16"/>
        <v>1</v>
      </c>
      <c r="L30" s="719" t="s">
        <v>3777</v>
      </c>
      <c r="M30" s="24">
        <f t="shared" si="17"/>
        <v>1</v>
      </c>
      <c r="N30" s="719" t="s">
        <v>3726</v>
      </c>
      <c r="O30" s="24">
        <f t="shared" si="18"/>
        <v>1</v>
      </c>
      <c r="P30" s="719">
        <v>1</v>
      </c>
      <c r="Q30" s="24">
        <f t="shared" si="19"/>
        <v>1</v>
      </c>
      <c r="R30" s="715">
        <f t="shared" ca="1" si="20"/>
        <v>51715</v>
      </c>
      <c r="S30" s="361">
        <f t="shared" ca="1" si="11"/>
        <v>1612</v>
      </c>
    </row>
    <row r="31" spans="1:45">
      <c r="A31" s="159">
        <v>108</v>
      </c>
      <c r="B31" s="59">
        <v>254.3</v>
      </c>
      <c r="C31" s="24">
        <f t="shared" si="12"/>
        <v>1.01</v>
      </c>
      <c r="D31" s="719"/>
      <c r="E31" s="24">
        <f t="shared" si="13"/>
        <v>1</v>
      </c>
      <c r="F31" s="719"/>
      <c r="G31" s="24">
        <f t="shared" si="14"/>
        <v>1</v>
      </c>
      <c r="H31" s="719"/>
      <c r="I31" s="24">
        <f t="shared" si="15"/>
        <v>1</v>
      </c>
      <c r="J31" s="719"/>
      <c r="K31" s="24">
        <f t="shared" si="16"/>
        <v>1</v>
      </c>
      <c r="L31" s="719" t="s">
        <v>3777</v>
      </c>
      <c r="M31" s="24">
        <f t="shared" si="17"/>
        <v>1</v>
      </c>
      <c r="N31" s="719" t="s">
        <v>3726</v>
      </c>
      <c r="O31" s="24">
        <f t="shared" si="18"/>
        <v>1</v>
      </c>
      <c r="P31" s="719">
        <v>1</v>
      </c>
      <c r="Q31" s="24">
        <f t="shared" si="19"/>
        <v>1</v>
      </c>
      <c r="R31" s="715">
        <f t="shared" ca="1" si="20"/>
        <v>51715</v>
      </c>
      <c r="S31" s="361">
        <f t="shared" ca="1" si="11"/>
        <v>1315</v>
      </c>
    </row>
    <row r="32" spans="1:45">
      <c r="A32" s="159">
        <v>109</v>
      </c>
      <c r="B32" s="59">
        <v>437.5</v>
      </c>
      <c r="C32" s="24">
        <f t="shared" si="12"/>
        <v>1.01</v>
      </c>
      <c r="D32" s="719"/>
      <c r="E32" s="24">
        <f t="shared" si="13"/>
        <v>1</v>
      </c>
      <c r="F32" s="719"/>
      <c r="G32" s="24">
        <f t="shared" si="14"/>
        <v>1</v>
      </c>
      <c r="H32" s="719"/>
      <c r="I32" s="24">
        <f t="shared" si="15"/>
        <v>1</v>
      </c>
      <c r="J32" s="719"/>
      <c r="K32" s="24">
        <f t="shared" si="16"/>
        <v>1</v>
      </c>
      <c r="L32" s="719" t="s">
        <v>3777</v>
      </c>
      <c r="M32" s="24">
        <f t="shared" si="17"/>
        <v>1</v>
      </c>
      <c r="N32" s="719" t="s">
        <v>3726</v>
      </c>
      <c r="O32" s="24">
        <f t="shared" si="18"/>
        <v>1</v>
      </c>
      <c r="P32" s="719">
        <v>1</v>
      </c>
      <c r="Q32" s="24">
        <f t="shared" si="19"/>
        <v>1</v>
      </c>
      <c r="R32" s="715">
        <f t="shared" ca="1" si="20"/>
        <v>51715</v>
      </c>
      <c r="S32" s="361">
        <f t="shared" ca="1" si="11"/>
        <v>2263</v>
      </c>
    </row>
    <row r="33" spans="1:19">
      <c r="A33" s="159">
        <v>110</v>
      </c>
      <c r="B33" s="59">
        <v>343</v>
      </c>
      <c r="C33" s="24">
        <f t="shared" si="12"/>
        <v>1.01</v>
      </c>
      <c r="D33" s="719"/>
      <c r="E33" s="24">
        <f t="shared" si="13"/>
        <v>1</v>
      </c>
      <c r="F33" s="719"/>
      <c r="G33" s="24">
        <f t="shared" si="14"/>
        <v>1</v>
      </c>
      <c r="H33" s="719"/>
      <c r="I33" s="24">
        <f t="shared" si="15"/>
        <v>1</v>
      </c>
      <c r="J33" s="719"/>
      <c r="K33" s="24">
        <f t="shared" si="16"/>
        <v>1</v>
      </c>
      <c r="L33" s="719" t="s">
        <v>3777</v>
      </c>
      <c r="M33" s="24">
        <f t="shared" si="17"/>
        <v>1</v>
      </c>
      <c r="N33" s="719" t="s">
        <v>3726</v>
      </c>
      <c r="O33" s="24">
        <f t="shared" si="18"/>
        <v>1</v>
      </c>
      <c r="P33" s="719">
        <v>1</v>
      </c>
      <c r="Q33" s="24">
        <f t="shared" si="19"/>
        <v>1</v>
      </c>
      <c r="R33" s="715">
        <f t="shared" ca="1" si="20"/>
        <v>51715</v>
      </c>
      <c r="S33" s="361">
        <f t="shared" ca="1" si="11"/>
        <v>1774</v>
      </c>
    </row>
    <row r="34" spans="1:19">
      <c r="A34" s="159">
        <v>111</v>
      </c>
      <c r="B34" s="59">
        <v>216.81</v>
      </c>
      <c r="C34" s="24">
        <f t="shared" si="12"/>
        <v>1.01</v>
      </c>
      <c r="D34" s="719"/>
      <c r="E34" s="24">
        <f t="shared" si="13"/>
        <v>1</v>
      </c>
      <c r="F34" s="719"/>
      <c r="G34" s="24">
        <f t="shared" si="14"/>
        <v>1</v>
      </c>
      <c r="H34" s="719"/>
      <c r="I34" s="24">
        <f t="shared" si="15"/>
        <v>1</v>
      </c>
      <c r="J34" s="719"/>
      <c r="K34" s="24">
        <f t="shared" si="16"/>
        <v>1</v>
      </c>
      <c r="L34" s="719" t="s">
        <v>3777</v>
      </c>
      <c r="M34" s="24">
        <f t="shared" si="17"/>
        <v>1</v>
      </c>
      <c r="N34" s="719" t="s">
        <v>3726</v>
      </c>
      <c r="O34" s="24">
        <f t="shared" si="18"/>
        <v>1</v>
      </c>
      <c r="P34" s="719">
        <v>1</v>
      </c>
      <c r="Q34" s="24">
        <f t="shared" si="19"/>
        <v>1</v>
      </c>
      <c r="R34" s="715">
        <f t="shared" ca="1" si="20"/>
        <v>51715</v>
      </c>
      <c r="S34" s="361">
        <f t="shared" ca="1" si="11"/>
        <v>1121</v>
      </c>
    </row>
    <row r="35" spans="1:19">
      <c r="A35" s="159">
        <v>112</v>
      </c>
      <c r="B35" s="59">
        <v>158.56</v>
      </c>
      <c r="C35" s="24">
        <f t="shared" si="12"/>
        <v>1.02</v>
      </c>
      <c r="D35" s="719"/>
      <c r="E35" s="24">
        <f t="shared" si="13"/>
        <v>1</v>
      </c>
      <c r="F35" s="719"/>
      <c r="G35" s="24">
        <f t="shared" si="14"/>
        <v>1</v>
      </c>
      <c r="H35" s="719"/>
      <c r="I35" s="24">
        <f t="shared" si="15"/>
        <v>1</v>
      </c>
      <c r="J35" s="719"/>
      <c r="K35" s="24">
        <f t="shared" si="16"/>
        <v>1</v>
      </c>
      <c r="L35" s="719" t="s">
        <v>3777</v>
      </c>
      <c r="M35" s="24">
        <f t="shared" si="17"/>
        <v>1</v>
      </c>
      <c r="N35" s="719" t="s">
        <v>3726</v>
      </c>
      <c r="O35" s="24">
        <f t="shared" si="18"/>
        <v>1</v>
      </c>
      <c r="P35" s="719">
        <v>1</v>
      </c>
      <c r="Q35" s="24">
        <f t="shared" si="19"/>
        <v>1</v>
      </c>
      <c r="R35" s="715">
        <f t="shared" ca="1" si="20"/>
        <v>52227</v>
      </c>
      <c r="S35" s="361">
        <f t="shared" ca="1" si="11"/>
        <v>828</v>
      </c>
    </row>
    <row r="36" spans="1:19">
      <c r="A36" s="159">
        <v>113</v>
      </c>
      <c r="B36" s="59">
        <v>182.8</v>
      </c>
      <c r="C36" s="24">
        <f t="shared" si="12"/>
        <v>1.02</v>
      </c>
      <c r="D36" s="719"/>
      <c r="E36" s="24">
        <f t="shared" si="13"/>
        <v>1</v>
      </c>
      <c r="F36" s="719"/>
      <c r="G36" s="24">
        <f t="shared" si="14"/>
        <v>1</v>
      </c>
      <c r="H36" s="719"/>
      <c r="I36" s="24">
        <f t="shared" si="15"/>
        <v>1</v>
      </c>
      <c r="J36" s="719"/>
      <c r="K36" s="24">
        <f t="shared" si="16"/>
        <v>1</v>
      </c>
      <c r="L36" s="719" t="s">
        <v>3777</v>
      </c>
      <c r="M36" s="24">
        <f t="shared" si="17"/>
        <v>1</v>
      </c>
      <c r="N36" s="719" t="s">
        <v>3726</v>
      </c>
      <c r="O36" s="24">
        <f t="shared" si="18"/>
        <v>1</v>
      </c>
      <c r="P36" s="719">
        <v>1</v>
      </c>
      <c r="Q36" s="24">
        <f t="shared" si="19"/>
        <v>1</v>
      </c>
      <c r="R36" s="715">
        <f t="shared" ca="1" si="20"/>
        <v>52227</v>
      </c>
      <c r="S36" s="361">
        <f t="shared" ca="1" si="11"/>
        <v>955</v>
      </c>
    </row>
    <row r="37" spans="1:19">
      <c r="A37" s="159">
        <v>114</v>
      </c>
      <c r="B37" s="59">
        <v>326.14999999999998</v>
      </c>
      <c r="C37" s="24">
        <f t="shared" si="12"/>
        <v>1.01</v>
      </c>
      <c r="D37" s="719"/>
      <c r="E37" s="24">
        <f t="shared" si="13"/>
        <v>1</v>
      </c>
      <c r="F37" s="719"/>
      <c r="G37" s="24">
        <f t="shared" si="14"/>
        <v>1</v>
      </c>
      <c r="H37" s="719"/>
      <c r="I37" s="24">
        <f t="shared" si="15"/>
        <v>1</v>
      </c>
      <c r="J37" s="719"/>
      <c r="K37" s="24">
        <f t="shared" si="16"/>
        <v>1</v>
      </c>
      <c r="L37" s="719" t="s">
        <v>3777</v>
      </c>
      <c r="M37" s="24">
        <f t="shared" si="17"/>
        <v>1</v>
      </c>
      <c r="N37" s="719" t="s">
        <v>3726</v>
      </c>
      <c r="O37" s="24">
        <f t="shared" si="18"/>
        <v>1</v>
      </c>
      <c r="P37" s="719">
        <v>1</v>
      </c>
      <c r="Q37" s="24">
        <f t="shared" si="19"/>
        <v>1</v>
      </c>
      <c r="R37" s="715">
        <f t="shared" ca="1" si="20"/>
        <v>51715</v>
      </c>
      <c r="S37" s="361">
        <f t="shared" ca="1" si="11"/>
        <v>1687</v>
      </c>
    </row>
    <row r="38" spans="1:19">
      <c r="A38" s="159">
        <v>115</v>
      </c>
      <c r="B38" s="59">
        <v>46.73</v>
      </c>
      <c r="C38" s="24">
        <f t="shared" si="12"/>
        <v>1.03</v>
      </c>
      <c r="D38" s="719"/>
      <c r="E38" s="24">
        <f t="shared" si="13"/>
        <v>1</v>
      </c>
      <c r="F38" s="719"/>
      <c r="G38" s="24">
        <f t="shared" si="14"/>
        <v>1</v>
      </c>
      <c r="H38" s="719"/>
      <c r="I38" s="24">
        <f t="shared" si="15"/>
        <v>1</v>
      </c>
      <c r="J38" s="719"/>
      <c r="K38" s="24">
        <f t="shared" si="16"/>
        <v>1</v>
      </c>
      <c r="L38" s="719" t="s">
        <v>3777</v>
      </c>
      <c r="M38" s="24">
        <f t="shared" si="17"/>
        <v>1</v>
      </c>
      <c r="N38" s="719" t="s">
        <v>3726</v>
      </c>
      <c r="O38" s="24">
        <f t="shared" si="18"/>
        <v>1</v>
      </c>
      <c r="P38" s="719">
        <v>1</v>
      </c>
      <c r="Q38" s="24">
        <f t="shared" si="19"/>
        <v>1</v>
      </c>
      <c r="R38" s="715">
        <f t="shared" ca="1" si="20"/>
        <v>52739</v>
      </c>
      <c r="S38" s="361">
        <f t="shared" ca="1" si="11"/>
        <v>246</v>
      </c>
    </row>
    <row r="39" spans="1:19">
      <c r="A39" s="159">
        <v>203</v>
      </c>
      <c r="B39" s="59">
        <v>455.53</v>
      </c>
      <c r="C39" s="24">
        <f t="shared" si="12"/>
        <v>1.01</v>
      </c>
      <c r="D39" s="719"/>
      <c r="E39" s="24">
        <f t="shared" si="13"/>
        <v>1</v>
      </c>
      <c r="F39" s="719"/>
      <c r="G39" s="24">
        <f t="shared" si="14"/>
        <v>1</v>
      </c>
      <c r="H39" s="719"/>
      <c r="I39" s="24">
        <f t="shared" si="15"/>
        <v>1</v>
      </c>
      <c r="J39" s="719"/>
      <c r="K39" s="24">
        <f t="shared" si="16"/>
        <v>1</v>
      </c>
      <c r="L39" s="719" t="s">
        <v>3778</v>
      </c>
      <c r="M39" s="24">
        <f t="shared" si="17"/>
        <v>0.9</v>
      </c>
      <c r="N39" s="719" t="s">
        <v>3726</v>
      </c>
      <c r="O39" s="24">
        <f t="shared" si="18"/>
        <v>1</v>
      </c>
      <c r="P39" s="719">
        <v>2</v>
      </c>
      <c r="Q39" s="24">
        <f t="shared" si="19"/>
        <v>0.8</v>
      </c>
      <c r="R39" s="715">
        <f t="shared" ca="1" si="20"/>
        <v>37235</v>
      </c>
      <c r="S39" s="361">
        <f t="shared" ca="1" si="11"/>
        <v>1696</v>
      </c>
    </row>
    <row r="40" spans="1:19">
      <c r="A40" s="159">
        <v>204</v>
      </c>
      <c r="B40" s="59">
        <v>836.03</v>
      </c>
      <c r="C40" s="24">
        <f t="shared" si="12"/>
        <v>0.99</v>
      </c>
      <c r="D40" s="719"/>
      <c r="E40" s="24">
        <f t="shared" si="13"/>
        <v>1</v>
      </c>
      <c r="F40" s="719"/>
      <c r="G40" s="24">
        <f t="shared" si="14"/>
        <v>1</v>
      </c>
      <c r="H40" s="719"/>
      <c r="I40" s="24">
        <f t="shared" si="15"/>
        <v>1</v>
      </c>
      <c r="J40" s="719"/>
      <c r="K40" s="24">
        <f t="shared" si="16"/>
        <v>1</v>
      </c>
      <c r="L40" s="719" t="s">
        <v>3778</v>
      </c>
      <c r="M40" s="24">
        <f t="shared" si="17"/>
        <v>0.9</v>
      </c>
      <c r="N40" s="719" t="s">
        <v>3726</v>
      </c>
      <c r="O40" s="24">
        <f t="shared" si="18"/>
        <v>1</v>
      </c>
      <c r="P40" s="719">
        <v>2</v>
      </c>
      <c r="Q40" s="24">
        <f t="shared" si="19"/>
        <v>0.8</v>
      </c>
      <c r="R40" s="715">
        <f t="shared" ca="1" si="20"/>
        <v>36497</v>
      </c>
      <c r="S40" s="361">
        <f t="shared" ca="1" si="11"/>
        <v>3051</v>
      </c>
    </row>
    <row r="41" spans="1:19">
      <c r="A41" s="159">
        <v>205</v>
      </c>
      <c r="B41" s="59">
        <v>291.98</v>
      </c>
      <c r="C41" s="24">
        <f t="shared" si="12"/>
        <v>1.01</v>
      </c>
      <c r="D41" s="719"/>
      <c r="E41" s="24">
        <f t="shared" si="13"/>
        <v>1</v>
      </c>
      <c r="F41" s="719"/>
      <c r="G41" s="24">
        <f t="shared" si="14"/>
        <v>1</v>
      </c>
      <c r="H41" s="719"/>
      <c r="I41" s="24">
        <f t="shared" si="15"/>
        <v>1</v>
      </c>
      <c r="J41" s="719"/>
      <c r="K41" s="24">
        <f t="shared" si="16"/>
        <v>1</v>
      </c>
      <c r="L41" s="719" t="s">
        <v>3778</v>
      </c>
      <c r="M41" s="24">
        <f t="shared" si="17"/>
        <v>0.9</v>
      </c>
      <c r="N41" s="719" t="s">
        <v>3726</v>
      </c>
      <c r="O41" s="24">
        <f t="shared" si="18"/>
        <v>1</v>
      </c>
      <c r="P41" s="719">
        <v>2</v>
      </c>
      <c r="Q41" s="24">
        <f t="shared" si="19"/>
        <v>0.8</v>
      </c>
      <c r="R41" s="715">
        <f t="shared" ca="1" si="20"/>
        <v>37235</v>
      </c>
      <c r="S41" s="361">
        <f t="shared" ca="1" si="11"/>
        <v>1087</v>
      </c>
    </row>
    <row r="42" spans="1:19">
      <c r="A42" s="159">
        <v>206</v>
      </c>
      <c r="B42" s="59">
        <v>256.26</v>
      </c>
      <c r="C42" s="24">
        <f t="shared" si="12"/>
        <v>1.01</v>
      </c>
      <c r="D42" s="719"/>
      <c r="E42" s="24">
        <f t="shared" si="13"/>
        <v>1</v>
      </c>
      <c r="F42" s="719"/>
      <c r="G42" s="24">
        <f t="shared" si="14"/>
        <v>1</v>
      </c>
      <c r="H42" s="719"/>
      <c r="I42" s="24">
        <f t="shared" si="15"/>
        <v>1</v>
      </c>
      <c r="J42" s="719"/>
      <c r="K42" s="24">
        <f t="shared" si="16"/>
        <v>1</v>
      </c>
      <c r="L42" s="719" t="s">
        <v>3778</v>
      </c>
      <c r="M42" s="24">
        <f t="shared" si="17"/>
        <v>0.9</v>
      </c>
      <c r="N42" s="719" t="s">
        <v>3726</v>
      </c>
      <c r="O42" s="24">
        <f t="shared" si="18"/>
        <v>1</v>
      </c>
      <c r="P42" s="719">
        <v>2</v>
      </c>
      <c r="Q42" s="24">
        <f t="shared" si="19"/>
        <v>0.8</v>
      </c>
      <c r="R42" s="715">
        <f t="shared" ca="1" si="20"/>
        <v>37235</v>
      </c>
      <c r="S42" s="361">
        <f t="shared" ca="1" si="11"/>
        <v>954</v>
      </c>
    </row>
    <row r="43" spans="1:19">
      <c r="A43" s="159">
        <v>207</v>
      </c>
      <c r="B43" s="59">
        <v>1397.92</v>
      </c>
      <c r="C43" s="24">
        <f t="shared" si="12"/>
        <v>0.99</v>
      </c>
      <c r="D43" s="719"/>
      <c r="E43" s="24">
        <f t="shared" si="13"/>
        <v>1</v>
      </c>
      <c r="F43" s="719"/>
      <c r="G43" s="24">
        <f t="shared" si="14"/>
        <v>1</v>
      </c>
      <c r="H43" s="719"/>
      <c r="I43" s="24">
        <f t="shared" si="15"/>
        <v>1</v>
      </c>
      <c r="J43" s="719"/>
      <c r="K43" s="24">
        <f t="shared" si="16"/>
        <v>1</v>
      </c>
      <c r="L43" s="719" t="s">
        <v>3778</v>
      </c>
      <c r="M43" s="24">
        <f t="shared" si="17"/>
        <v>0.9</v>
      </c>
      <c r="N43" s="719" t="s">
        <v>3726</v>
      </c>
      <c r="O43" s="24">
        <f t="shared" si="18"/>
        <v>1</v>
      </c>
      <c r="P43" s="719">
        <v>2</v>
      </c>
      <c r="Q43" s="24">
        <f t="shared" si="19"/>
        <v>0.8</v>
      </c>
      <c r="R43" s="715">
        <f t="shared" ca="1" si="20"/>
        <v>36497</v>
      </c>
      <c r="S43" s="361">
        <f t="shared" ca="1" si="11"/>
        <v>5102</v>
      </c>
    </row>
    <row r="44" spans="1:19">
      <c r="A44" s="159">
        <v>208</v>
      </c>
      <c r="B44" s="59">
        <v>780.31</v>
      </c>
      <c r="C44" s="24">
        <f t="shared" si="12"/>
        <v>1</v>
      </c>
      <c r="D44" s="719"/>
      <c r="E44" s="24">
        <f t="shared" si="13"/>
        <v>1</v>
      </c>
      <c r="F44" s="719"/>
      <c r="G44" s="24">
        <f t="shared" si="14"/>
        <v>1</v>
      </c>
      <c r="H44" s="719"/>
      <c r="I44" s="24">
        <f t="shared" si="15"/>
        <v>1</v>
      </c>
      <c r="J44" s="719"/>
      <c r="K44" s="24">
        <f t="shared" si="16"/>
        <v>1</v>
      </c>
      <c r="L44" s="719" t="s">
        <v>3778</v>
      </c>
      <c r="M44" s="24">
        <f t="shared" si="17"/>
        <v>0.9</v>
      </c>
      <c r="N44" s="719" t="s">
        <v>3726</v>
      </c>
      <c r="O44" s="24">
        <f t="shared" si="18"/>
        <v>1</v>
      </c>
      <c r="P44" s="719">
        <v>2</v>
      </c>
      <c r="Q44" s="24">
        <f t="shared" si="19"/>
        <v>0.8</v>
      </c>
      <c r="R44" s="715">
        <f t="shared" ca="1" si="20"/>
        <v>36866</v>
      </c>
      <c r="S44" s="361">
        <f t="shared" ca="1" si="11"/>
        <v>2877</v>
      </c>
    </row>
    <row r="45" spans="1:19">
      <c r="A45" s="159">
        <v>209</v>
      </c>
      <c r="B45" s="59">
        <v>173.5</v>
      </c>
      <c r="C45" s="24">
        <f t="shared" si="12"/>
        <v>1.02</v>
      </c>
      <c r="D45" s="719"/>
      <c r="E45" s="24">
        <f t="shared" si="13"/>
        <v>1</v>
      </c>
      <c r="F45" s="719"/>
      <c r="G45" s="24">
        <f t="shared" si="14"/>
        <v>1</v>
      </c>
      <c r="H45" s="719"/>
      <c r="I45" s="24">
        <f t="shared" si="15"/>
        <v>1</v>
      </c>
      <c r="J45" s="719"/>
      <c r="K45" s="24">
        <f t="shared" si="16"/>
        <v>1</v>
      </c>
      <c r="L45" s="719" t="s">
        <v>3778</v>
      </c>
      <c r="M45" s="24">
        <f t="shared" si="17"/>
        <v>0.9</v>
      </c>
      <c r="N45" s="719" t="s">
        <v>3726</v>
      </c>
      <c r="O45" s="24">
        <f t="shared" si="18"/>
        <v>1</v>
      </c>
      <c r="P45" s="719">
        <v>2</v>
      </c>
      <c r="Q45" s="24">
        <f t="shared" si="19"/>
        <v>0.8</v>
      </c>
      <c r="R45" s="715">
        <f t="shared" ca="1" si="20"/>
        <v>37603</v>
      </c>
      <c r="S45" s="361">
        <f t="shared" ca="1" si="11"/>
        <v>652</v>
      </c>
    </row>
    <row r="46" spans="1:19">
      <c r="A46" s="159">
        <v>210</v>
      </c>
      <c r="B46" s="59">
        <v>674.41</v>
      </c>
      <c r="C46" s="24">
        <f t="shared" si="12"/>
        <v>1</v>
      </c>
      <c r="D46" s="719"/>
      <c r="E46" s="24">
        <f t="shared" si="13"/>
        <v>1</v>
      </c>
      <c r="F46" s="719"/>
      <c r="G46" s="24">
        <f t="shared" si="14"/>
        <v>1</v>
      </c>
      <c r="H46" s="719"/>
      <c r="I46" s="24">
        <f t="shared" si="15"/>
        <v>1</v>
      </c>
      <c r="J46" s="719"/>
      <c r="K46" s="24">
        <f t="shared" si="16"/>
        <v>1</v>
      </c>
      <c r="L46" s="719" t="s">
        <v>3778</v>
      </c>
      <c r="M46" s="24">
        <f t="shared" si="17"/>
        <v>0.9</v>
      </c>
      <c r="N46" s="719" t="s">
        <v>3726</v>
      </c>
      <c r="O46" s="24">
        <f t="shared" si="18"/>
        <v>1</v>
      </c>
      <c r="P46" s="719">
        <v>2</v>
      </c>
      <c r="Q46" s="24">
        <f t="shared" si="19"/>
        <v>0.8</v>
      </c>
      <c r="R46" s="715">
        <f t="shared" ca="1" si="20"/>
        <v>36866</v>
      </c>
      <c r="S46" s="361">
        <f t="shared" ca="1" si="11"/>
        <v>2486</v>
      </c>
    </row>
    <row r="47" spans="1:19">
      <c r="A47" s="159">
        <v>211</v>
      </c>
      <c r="B47" s="59">
        <v>123.19</v>
      </c>
      <c r="C47" s="24">
        <f t="shared" si="12"/>
        <v>1.02</v>
      </c>
      <c r="D47" s="719"/>
      <c r="E47" s="24">
        <f t="shared" si="13"/>
        <v>1</v>
      </c>
      <c r="F47" s="719"/>
      <c r="G47" s="24">
        <f t="shared" si="14"/>
        <v>1</v>
      </c>
      <c r="H47" s="719"/>
      <c r="I47" s="24">
        <f t="shared" si="15"/>
        <v>1</v>
      </c>
      <c r="J47" s="719"/>
      <c r="K47" s="24">
        <f t="shared" si="16"/>
        <v>1</v>
      </c>
      <c r="L47" s="719" t="s">
        <v>3778</v>
      </c>
      <c r="M47" s="24">
        <f t="shared" si="17"/>
        <v>0.9</v>
      </c>
      <c r="N47" s="719" t="s">
        <v>3726</v>
      </c>
      <c r="O47" s="24">
        <f t="shared" si="18"/>
        <v>1</v>
      </c>
      <c r="P47" s="719">
        <v>2</v>
      </c>
      <c r="Q47" s="24">
        <f t="shared" si="19"/>
        <v>0.8</v>
      </c>
      <c r="R47" s="715">
        <f t="shared" ca="1" si="20"/>
        <v>37603</v>
      </c>
      <c r="S47" s="361">
        <f t="shared" ca="1" si="11"/>
        <v>463</v>
      </c>
    </row>
    <row r="48" spans="1:19">
      <c r="A48" s="159">
        <v>301</v>
      </c>
      <c r="B48" s="59">
        <v>72.98</v>
      </c>
      <c r="C48" s="24">
        <f t="shared" si="12"/>
        <v>1.03</v>
      </c>
      <c r="D48" s="719"/>
      <c r="E48" s="24">
        <f t="shared" si="13"/>
        <v>1</v>
      </c>
      <c r="F48" s="719"/>
      <c r="G48" s="24">
        <f t="shared" si="14"/>
        <v>1</v>
      </c>
      <c r="H48" s="719"/>
      <c r="I48" s="24">
        <f t="shared" si="15"/>
        <v>1</v>
      </c>
      <c r="J48" s="719"/>
      <c r="K48" s="24">
        <f t="shared" si="16"/>
        <v>1</v>
      </c>
      <c r="L48" s="719" t="s">
        <v>3778</v>
      </c>
      <c r="M48" s="24">
        <f t="shared" si="17"/>
        <v>0.9</v>
      </c>
      <c r="N48" s="719" t="s">
        <v>3728</v>
      </c>
      <c r="O48" s="24">
        <f t="shared" si="18"/>
        <v>0.9</v>
      </c>
      <c r="P48" s="719">
        <v>3</v>
      </c>
      <c r="Q48" s="24">
        <f t="shared" si="19"/>
        <v>0.7</v>
      </c>
      <c r="R48" s="715">
        <f t="shared" ca="1" si="20"/>
        <v>29903</v>
      </c>
      <c r="S48" s="361">
        <f t="shared" ca="1" si="11"/>
        <v>218</v>
      </c>
    </row>
    <row r="49" spans="1:19">
      <c r="A49" s="159">
        <v>302</v>
      </c>
      <c r="B49" s="59">
        <v>86.96</v>
      </c>
      <c r="C49" s="24">
        <f t="shared" si="12"/>
        <v>1.03</v>
      </c>
      <c r="D49" s="719"/>
      <c r="E49" s="24">
        <f t="shared" si="13"/>
        <v>1</v>
      </c>
      <c r="F49" s="719"/>
      <c r="G49" s="24">
        <f t="shared" si="14"/>
        <v>1</v>
      </c>
      <c r="H49" s="719"/>
      <c r="I49" s="24">
        <f t="shared" si="15"/>
        <v>1</v>
      </c>
      <c r="J49" s="719"/>
      <c r="K49" s="24">
        <f t="shared" si="16"/>
        <v>1</v>
      </c>
      <c r="L49" s="719" t="s">
        <v>3778</v>
      </c>
      <c r="M49" s="24">
        <f t="shared" si="17"/>
        <v>0.9</v>
      </c>
      <c r="N49" s="719" t="s">
        <v>3728</v>
      </c>
      <c r="O49" s="24">
        <f t="shared" si="18"/>
        <v>0.9</v>
      </c>
      <c r="P49" s="719">
        <v>3</v>
      </c>
      <c r="Q49" s="24">
        <f t="shared" si="19"/>
        <v>0.7</v>
      </c>
      <c r="R49" s="715">
        <f t="shared" ca="1" si="20"/>
        <v>29903</v>
      </c>
      <c r="S49" s="361">
        <f t="shared" ca="1" si="11"/>
        <v>260</v>
      </c>
    </row>
    <row r="50" spans="1:19">
      <c r="A50" s="159">
        <v>303</v>
      </c>
      <c r="B50" s="59">
        <v>86.96</v>
      </c>
      <c r="C50" s="24">
        <f t="shared" si="12"/>
        <v>1.03</v>
      </c>
      <c r="D50" s="719"/>
      <c r="E50" s="24">
        <f t="shared" si="13"/>
        <v>1</v>
      </c>
      <c r="F50" s="719"/>
      <c r="G50" s="24">
        <f t="shared" si="14"/>
        <v>1</v>
      </c>
      <c r="H50" s="719"/>
      <c r="I50" s="24">
        <f t="shared" si="15"/>
        <v>1</v>
      </c>
      <c r="J50" s="719"/>
      <c r="K50" s="24">
        <f t="shared" si="16"/>
        <v>1</v>
      </c>
      <c r="L50" s="719" t="s">
        <v>3778</v>
      </c>
      <c r="M50" s="24">
        <f t="shared" si="17"/>
        <v>0.9</v>
      </c>
      <c r="N50" s="719" t="s">
        <v>3728</v>
      </c>
      <c r="O50" s="24">
        <f t="shared" si="18"/>
        <v>0.9</v>
      </c>
      <c r="P50" s="719">
        <v>3</v>
      </c>
      <c r="Q50" s="24">
        <f t="shared" si="19"/>
        <v>0.7</v>
      </c>
      <c r="R50" s="715">
        <f t="shared" ca="1" si="20"/>
        <v>29903</v>
      </c>
      <c r="S50" s="361">
        <f t="shared" ca="1" si="11"/>
        <v>260</v>
      </c>
    </row>
    <row r="51" spans="1:19">
      <c r="A51" s="159">
        <v>304</v>
      </c>
      <c r="B51" s="59">
        <v>203.28</v>
      </c>
      <c r="C51" s="24">
        <f t="shared" si="12"/>
        <v>1.01</v>
      </c>
      <c r="D51" s="719"/>
      <c r="E51" s="24">
        <f t="shared" si="13"/>
        <v>1</v>
      </c>
      <c r="F51" s="719"/>
      <c r="G51" s="24">
        <f t="shared" si="14"/>
        <v>1</v>
      </c>
      <c r="H51" s="719"/>
      <c r="I51" s="24">
        <f t="shared" si="15"/>
        <v>1</v>
      </c>
      <c r="J51" s="719"/>
      <c r="K51" s="24">
        <f t="shared" si="16"/>
        <v>1</v>
      </c>
      <c r="L51" s="719" t="s">
        <v>3778</v>
      </c>
      <c r="M51" s="24">
        <f t="shared" si="17"/>
        <v>0.9</v>
      </c>
      <c r="N51" s="719" t="s">
        <v>3728</v>
      </c>
      <c r="O51" s="24">
        <f t="shared" si="18"/>
        <v>0.9</v>
      </c>
      <c r="P51" s="719">
        <v>3</v>
      </c>
      <c r="Q51" s="24">
        <f t="shared" si="19"/>
        <v>0.7</v>
      </c>
      <c r="R51" s="715">
        <f t="shared" ca="1" si="20"/>
        <v>29322</v>
      </c>
      <c r="S51" s="361">
        <f t="shared" ca="1" si="11"/>
        <v>596</v>
      </c>
    </row>
    <row r="52" spans="1:19">
      <c r="A52" s="159">
        <v>305</v>
      </c>
      <c r="B52" s="59">
        <v>222.88</v>
      </c>
      <c r="C52" s="24">
        <f t="shared" si="12"/>
        <v>1.01</v>
      </c>
      <c r="D52" s="719"/>
      <c r="E52" s="24">
        <f t="shared" si="13"/>
        <v>1</v>
      </c>
      <c r="F52" s="719"/>
      <c r="G52" s="24">
        <f t="shared" si="14"/>
        <v>1</v>
      </c>
      <c r="H52" s="719"/>
      <c r="I52" s="24">
        <f t="shared" si="15"/>
        <v>1</v>
      </c>
      <c r="J52" s="719"/>
      <c r="K52" s="24">
        <f t="shared" si="16"/>
        <v>1</v>
      </c>
      <c r="L52" s="719" t="s">
        <v>3778</v>
      </c>
      <c r="M52" s="24">
        <f t="shared" si="17"/>
        <v>0.9</v>
      </c>
      <c r="N52" s="719" t="s">
        <v>3728</v>
      </c>
      <c r="O52" s="24">
        <f t="shared" si="18"/>
        <v>0.9</v>
      </c>
      <c r="P52" s="719">
        <v>3</v>
      </c>
      <c r="Q52" s="24">
        <f t="shared" si="19"/>
        <v>0.7</v>
      </c>
      <c r="R52" s="715">
        <f t="shared" ca="1" si="20"/>
        <v>29322</v>
      </c>
      <c r="S52" s="361">
        <f t="shared" ca="1" si="11"/>
        <v>654</v>
      </c>
    </row>
    <row r="53" spans="1:19">
      <c r="A53" s="159">
        <v>306</v>
      </c>
      <c r="B53" s="59">
        <v>167.07</v>
      </c>
      <c r="C53" s="24">
        <f t="shared" si="12"/>
        <v>1.02</v>
      </c>
      <c r="D53" s="719"/>
      <c r="E53" s="24">
        <f t="shared" si="13"/>
        <v>1</v>
      </c>
      <c r="F53" s="719"/>
      <c r="G53" s="24">
        <f t="shared" si="14"/>
        <v>1</v>
      </c>
      <c r="H53" s="719"/>
      <c r="I53" s="24">
        <f t="shared" si="15"/>
        <v>1</v>
      </c>
      <c r="J53" s="719"/>
      <c r="K53" s="24">
        <f t="shared" si="16"/>
        <v>1</v>
      </c>
      <c r="L53" s="719" t="s">
        <v>3778</v>
      </c>
      <c r="M53" s="24">
        <f t="shared" si="17"/>
        <v>0.9</v>
      </c>
      <c r="N53" s="719" t="s">
        <v>3728</v>
      </c>
      <c r="O53" s="24">
        <f t="shared" si="18"/>
        <v>0.9</v>
      </c>
      <c r="P53" s="719">
        <v>3</v>
      </c>
      <c r="Q53" s="24">
        <f t="shared" si="19"/>
        <v>0.7</v>
      </c>
      <c r="R53" s="715">
        <f t="shared" ca="1" si="20"/>
        <v>29613</v>
      </c>
      <c r="S53" s="361">
        <f t="shared" ca="1" si="11"/>
        <v>495</v>
      </c>
    </row>
    <row r="54" spans="1:19">
      <c r="A54" s="159">
        <v>307</v>
      </c>
      <c r="B54" s="59">
        <v>80.69</v>
      </c>
      <c r="C54" s="24">
        <f t="shared" si="12"/>
        <v>1.03</v>
      </c>
      <c r="D54" s="719"/>
      <c r="E54" s="24">
        <f t="shared" si="13"/>
        <v>1</v>
      </c>
      <c r="F54" s="719"/>
      <c r="G54" s="24">
        <f t="shared" si="14"/>
        <v>1</v>
      </c>
      <c r="H54" s="719"/>
      <c r="I54" s="24">
        <f t="shared" si="15"/>
        <v>1</v>
      </c>
      <c r="J54" s="719"/>
      <c r="K54" s="24">
        <f t="shared" si="16"/>
        <v>1</v>
      </c>
      <c r="L54" s="719" t="s">
        <v>3778</v>
      </c>
      <c r="M54" s="24">
        <f t="shared" si="17"/>
        <v>0.9</v>
      </c>
      <c r="N54" s="719" t="s">
        <v>3728</v>
      </c>
      <c r="O54" s="24">
        <f t="shared" si="18"/>
        <v>0.9</v>
      </c>
      <c r="P54" s="719">
        <v>3</v>
      </c>
      <c r="Q54" s="24">
        <f t="shared" si="19"/>
        <v>0.7</v>
      </c>
      <c r="R54" s="715">
        <f t="shared" ca="1" si="20"/>
        <v>29903</v>
      </c>
      <c r="S54" s="361">
        <f t="shared" ca="1" si="11"/>
        <v>241</v>
      </c>
    </row>
    <row r="55" spans="1:19">
      <c r="A55" s="159">
        <v>308</v>
      </c>
      <c r="B55" s="59">
        <v>168.02</v>
      </c>
      <c r="C55" s="24">
        <f t="shared" si="12"/>
        <v>1.02</v>
      </c>
      <c r="D55" s="719"/>
      <c r="E55" s="24">
        <f t="shared" si="13"/>
        <v>1</v>
      </c>
      <c r="F55" s="719"/>
      <c r="G55" s="24">
        <f t="shared" si="14"/>
        <v>1</v>
      </c>
      <c r="H55" s="719"/>
      <c r="I55" s="24">
        <f t="shared" si="15"/>
        <v>1</v>
      </c>
      <c r="J55" s="719"/>
      <c r="K55" s="24">
        <f t="shared" si="16"/>
        <v>1</v>
      </c>
      <c r="L55" s="719" t="s">
        <v>3778</v>
      </c>
      <c r="M55" s="24">
        <f t="shared" si="17"/>
        <v>0.9</v>
      </c>
      <c r="N55" s="719" t="s">
        <v>3728</v>
      </c>
      <c r="O55" s="24">
        <f t="shared" si="18"/>
        <v>0.9</v>
      </c>
      <c r="P55" s="719">
        <v>3</v>
      </c>
      <c r="Q55" s="24">
        <f t="shared" si="19"/>
        <v>0.7</v>
      </c>
      <c r="R55" s="715">
        <f t="shared" ca="1" si="20"/>
        <v>29613</v>
      </c>
      <c r="S55" s="361">
        <f t="shared" ref="S55:S77" ca="1" si="21">ROUND(R55*B55/10000,0)</f>
        <v>498</v>
      </c>
    </row>
    <row r="56" spans="1:19">
      <c r="A56" s="159">
        <v>309</v>
      </c>
      <c r="B56" s="59">
        <v>128.16</v>
      </c>
      <c r="C56" s="24">
        <f t="shared" si="12"/>
        <v>1.02</v>
      </c>
      <c r="D56" s="719"/>
      <c r="E56" s="24">
        <f t="shared" si="13"/>
        <v>1</v>
      </c>
      <c r="F56" s="719"/>
      <c r="G56" s="24">
        <f t="shared" si="14"/>
        <v>1</v>
      </c>
      <c r="H56" s="719"/>
      <c r="I56" s="24">
        <f t="shared" si="15"/>
        <v>1</v>
      </c>
      <c r="J56" s="719"/>
      <c r="K56" s="24">
        <f t="shared" si="16"/>
        <v>1</v>
      </c>
      <c r="L56" s="719" t="s">
        <v>3778</v>
      </c>
      <c r="M56" s="24">
        <f t="shared" si="17"/>
        <v>0.9</v>
      </c>
      <c r="N56" s="719" t="s">
        <v>3728</v>
      </c>
      <c r="O56" s="24">
        <f t="shared" si="18"/>
        <v>0.9</v>
      </c>
      <c r="P56" s="719">
        <v>3</v>
      </c>
      <c r="Q56" s="24">
        <f t="shared" si="19"/>
        <v>0.7</v>
      </c>
      <c r="R56" s="715">
        <f t="shared" ca="1" si="20"/>
        <v>29613</v>
      </c>
      <c r="S56" s="361">
        <f t="shared" ca="1" si="21"/>
        <v>380</v>
      </c>
    </row>
    <row r="57" spans="1:19">
      <c r="A57" s="159">
        <v>310</v>
      </c>
      <c r="B57" s="59">
        <v>127.04</v>
      </c>
      <c r="C57" s="24">
        <f t="shared" si="12"/>
        <v>1.02</v>
      </c>
      <c r="D57" s="719"/>
      <c r="E57" s="24">
        <f t="shared" si="13"/>
        <v>1</v>
      </c>
      <c r="F57" s="719"/>
      <c r="G57" s="24">
        <f t="shared" si="14"/>
        <v>1</v>
      </c>
      <c r="H57" s="719"/>
      <c r="I57" s="24">
        <f t="shared" si="15"/>
        <v>1</v>
      </c>
      <c r="J57" s="719"/>
      <c r="K57" s="24">
        <f t="shared" si="16"/>
        <v>1</v>
      </c>
      <c r="L57" s="719" t="s">
        <v>3778</v>
      </c>
      <c r="M57" s="24">
        <f t="shared" si="17"/>
        <v>0.9</v>
      </c>
      <c r="N57" s="719" t="s">
        <v>3728</v>
      </c>
      <c r="O57" s="24">
        <f t="shared" si="18"/>
        <v>0.9</v>
      </c>
      <c r="P57" s="719">
        <v>3</v>
      </c>
      <c r="Q57" s="24">
        <f t="shared" si="19"/>
        <v>0.7</v>
      </c>
      <c r="R57" s="715">
        <f t="shared" ca="1" si="20"/>
        <v>29613</v>
      </c>
      <c r="S57" s="361">
        <f t="shared" ca="1" si="21"/>
        <v>376</v>
      </c>
    </row>
    <row r="58" spans="1:19">
      <c r="A58" s="159">
        <v>311</v>
      </c>
      <c r="B58" s="59">
        <v>106.64</v>
      </c>
      <c r="C58" s="24">
        <f t="shared" si="12"/>
        <v>1.02</v>
      </c>
      <c r="D58" s="719"/>
      <c r="E58" s="24">
        <f t="shared" si="13"/>
        <v>1</v>
      </c>
      <c r="F58" s="719"/>
      <c r="G58" s="24">
        <f t="shared" si="14"/>
        <v>1</v>
      </c>
      <c r="H58" s="719"/>
      <c r="I58" s="24">
        <f t="shared" si="15"/>
        <v>1</v>
      </c>
      <c r="J58" s="719"/>
      <c r="K58" s="24">
        <f t="shared" si="16"/>
        <v>1</v>
      </c>
      <c r="L58" s="719" t="s">
        <v>3778</v>
      </c>
      <c r="M58" s="24">
        <f t="shared" si="17"/>
        <v>0.9</v>
      </c>
      <c r="N58" s="719" t="s">
        <v>3728</v>
      </c>
      <c r="O58" s="24">
        <f t="shared" si="18"/>
        <v>0.9</v>
      </c>
      <c r="P58" s="719">
        <v>3</v>
      </c>
      <c r="Q58" s="24">
        <f t="shared" si="19"/>
        <v>0.7</v>
      </c>
      <c r="R58" s="715">
        <f t="shared" ca="1" si="20"/>
        <v>29613</v>
      </c>
      <c r="S58" s="361">
        <f t="shared" ca="1" si="21"/>
        <v>316</v>
      </c>
    </row>
    <row r="59" spans="1:19">
      <c r="A59" s="159">
        <v>312</v>
      </c>
      <c r="B59" s="59">
        <v>178.89</v>
      </c>
      <c r="C59" s="24">
        <f t="shared" si="12"/>
        <v>1.02</v>
      </c>
      <c r="D59" s="719"/>
      <c r="E59" s="24">
        <f t="shared" si="13"/>
        <v>1</v>
      </c>
      <c r="F59" s="719"/>
      <c r="G59" s="24">
        <f t="shared" si="14"/>
        <v>1</v>
      </c>
      <c r="H59" s="719"/>
      <c r="I59" s="24">
        <f t="shared" si="15"/>
        <v>1</v>
      </c>
      <c r="J59" s="719"/>
      <c r="K59" s="24">
        <f t="shared" si="16"/>
        <v>1</v>
      </c>
      <c r="L59" s="719" t="s">
        <v>3778</v>
      </c>
      <c r="M59" s="24">
        <f t="shared" si="17"/>
        <v>0.9</v>
      </c>
      <c r="N59" s="719" t="s">
        <v>3728</v>
      </c>
      <c r="O59" s="24">
        <f t="shared" si="18"/>
        <v>0.9</v>
      </c>
      <c r="P59" s="719">
        <v>3</v>
      </c>
      <c r="Q59" s="24">
        <f t="shared" si="19"/>
        <v>0.7</v>
      </c>
      <c r="R59" s="715">
        <f t="shared" ca="1" si="20"/>
        <v>29613</v>
      </c>
      <c r="S59" s="361">
        <f t="shared" ca="1" si="21"/>
        <v>530</v>
      </c>
    </row>
    <row r="60" spans="1:19">
      <c r="A60" s="159">
        <v>313</v>
      </c>
      <c r="B60" s="59">
        <v>200.51</v>
      </c>
      <c r="C60" s="24">
        <f t="shared" si="12"/>
        <v>1.01</v>
      </c>
      <c r="D60" s="719"/>
      <c r="E60" s="24">
        <f t="shared" si="13"/>
        <v>1</v>
      </c>
      <c r="F60" s="719"/>
      <c r="G60" s="24">
        <f t="shared" si="14"/>
        <v>1</v>
      </c>
      <c r="H60" s="719"/>
      <c r="I60" s="24">
        <f t="shared" si="15"/>
        <v>1</v>
      </c>
      <c r="J60" s="719"/>
      <c r="K60" s="24">
        <f t="shared" si="16"/>
        <v>1</v>
      </c>
      <c r="L60" s="719" t="s">
        <v>3778</v>
      </c>
      <c r="M60" s="24">
        <f t="shared" si="17"/>
        <v>0.9</v>
      </c>
      <c r="N60" s="719" t="s">
        <v>3728</v>
      </c>
      <c r="O60" s="24">
        <f t="shared" si="18"/>
        <v>0.9</v>
      </c>
      <c r="P60" s="719">
        <v>3</v>
      </c>
      <c r="Q60" s="24">
        <f t="shared" si="19"/>
        <v>0.7</v>
      </c>
      <c r="R60" s="715">
        <f t="shared" ca="1" si="20"/>
        <v>29322</v>
      </c>
      <c r="S60" s="361">
        <f t="shared" ca="1" si="21"/>
        <v>588</v>
      </c>
    </row>
    <row r="61" spans="1:19">
      <c r="A61" s="159">
        <v>314</v>
      </c>
      <c r="B61" s="59">
        <v>208.51</v>
      </c>
      <c r="C61" s="24">
        <f t="shared" si="12"/>
        <v>1.01</v>
      </c>
      <c r="D61" s="719"/>
      <c r="E61" s="24">
        <f t="shared" si="13"/>
        <v>1</v>
      </c>
      <c r="F61" s="719"/>
      <c r="G61" s="24">
        <f t="shared" si="14"/>
        <v>1</v>
      </c>
      <c r="H61" s="719"/>
      <c r="I61" s="24">
        <f t="shared" si="15"/>
        <v>1</v>
      </c>
      <c r="J61" s="719"/>
      <c r="K61" s="24">
        <f t="shared" si="16"/>
        <v>1</v>
      </c>
      <c r="L61" s="719" t="s">
        <v>3778</v>
      </c>
      <c r="M61" s="24">
        <f t="shared" si="17"/>
        <v>0.9</v>
      </c>
      <c r="N61" s="719" t="s">
        <v>3728</v>
      </c>
      <c r="O61" s="24">
        <f t="shared" si="18"/>
        <v>0.9</v>
      </c>
      <c r="P61" s="719">
        <v>3</v>
      </c>
      <c r="Q61" s="24">
        <f t="shared" si="19"/>
        <v>0.7</v>
      </c>
      <c r="R61" s="715">
        <f t="shared" ca="1" si="20"/>
        <v>29322</v>
      </c>
      <c r="S61" s="361">
        <f t="shared" ca="1" si="21"/>
        <v>611</v>
      </c>
    </row>
    <row r="62" spans="1:19">
      <c r="A62" s="159">
        <v>315</v>
      </c>
      <c r="B62" s="59">
        <v>204.72</v>
      </c>
      <c r="C62" s="24">
        <f t="shared" si="12"/>
        <v>1.01</v>
      </c>
      <c r="D62" s="719"/>
      <c r="E62" s="24">
        <f t="shared" si="13"/>
        <v>1</v>
      </c>
      <c r="F62" s="719"/>
      <c r="G62" s="24">
        <f t="shared" si="14"/>
        <v>1</v>
      </c>
      <c r="H62" s="719"/>
      <c r="I62" s="24">
        <f t="shared" si="15"/>
        <v>1</v>
      </c>
      <c r="J62" s="719"/>
      <c r="K62" s="24">
        <f t="shared" si="16"/>
        <v>1</v>
      </c>
      <c r="L62" s="719" t="s">
        <v>3778</v>
      </c>
      <c r="M62" s="24">
        <f t="shared" si="17"/>
        <v>0.9</v>
      </c>
      <c r="N62" s="719" t="s">
        <v>3728</v>
      </c>
      <c r="O62" s="24">
        <f t="shared" si="18"/>
        <v>0.9</v>
      </c>
      <c r="P62" s="719">
        <v>3</v>
      </c>
      <c r="Q62" s="24">
        <f t="shared" si="19"/>
        <v>0.7</v>
      </c>
      <c r="R62" s="715">
        <f t="shared" ca="1" si="20"/>
        <v>29322</v>
      </c>
      <c r="S62" s="361">
        <f t="shared" ca="1" si="21"/>
        <v>600</v>
      </c>
    </row>
    <row r="63" spans="1:19">
      <c r="A63" s="159">
        <v>316</v>
      </c>
      <c r="B63" s="59">
        <v>118.77</v>
      </c>
      <c r="C63" s="24">
        <f t="shared" si="12"/>
        <v>1.02</v>
      </c>
      <c r="D63" s="719"/>
      <c r="E63" s="24">
        <f t="shared" si="13"/>
        <v>1</v>
      </c>
      <c r="F63" s="719"/>
      <c r="G63" s="24">
        <f t="shared" si="14"/>
        <v>1</v>
      </c>
      <c r="H63" s="719"/>
      <c r="I63" s="24">
        <f t="shared" si="15"/>
        <v>1</v>
      </c>
      <c r="J63" s="719"/>
      <c r="K63" s="24">
        <f t="shared" si="16"/>
        <v>1</v>
      </c>
      <c r="L63" s="719" t="s">
        <v>3778</v>
      </c>
      <c r="M63" s="24">
        <f t="shared" si="17"/>
        <v>0.9</v>
      </c>
      <c r="N63" s="719" t="s">
        <v>3728</v>
      </c>
      <c r="O63" s="24">
        <f t="shared" si="18"/>
        <v>0.9</v>
      </c>
      <c r="P63" s="719">
        <v>3</v>
      </c>
      <c r="Q63" s="24">
        <f t="shared" si="19"/>
        <v>0.7</v>
      </c>
      <c r="R63" s="715">
        <f t="shared" ca="1" si="20"/>
        <v>29613</v>
      </c>
      <c r="S63" s="361">
        <f t="shared" ca="1" si="21"/>
        <v>352</v>
      </c>
    </row>
    <row r="64" spans="1:19">
      <c r="A64" s="159">
        <v>317</v>
      </c>
      <c r="B64" s="59">
        <v>135.51</v>
      </c>
      <c r="C64" s="24">
        <f t="shared" si="12"/>
        <v>1.02</v>
      </c>
      <c r="D64" s="719"/>
      <c r="E64" s="24">
        <f t="shared" si="13"/>
        <v>1</v>
      </c>
      <c r="F64" s="719"/>
      <c r="G64" s="24">
        <f t="shared" si="14"/>
        <v>1</v>
      </c>
      <c r="H64" s="719"/>
      <c r="I64" s="24">
        <f t="shared" si="15"/>
        <v>1</v>
      </c>
      <c r="J64" s="719"/>
      <c r="K64" s="24">
        <f t="shared" si="16"/>
        <v>1</v>
      </c>
      <c r="L64" s="719" t="s">
        <v>3778</v>
      </c>
      <c r="M64" s="24">
        <f t="shared" si="17"/>
        <v>0.9</v>
      </c>
      <c r="N64" s="719" t="s">
        <v>3728</v>
      </c>
      <c r="O64" s="24">
        <f t="shared" si="18"/>
        <v>0.9</v>
      </c>
      <c r="P64" s="719">
        <v>3</v>
      </c>
      <c r="Q64" s="24">
        <f t="shared" si="19"/>
        <v>0.7</v>
      </c>
      <c r="R64" s="715">
        <f t="shared" ca="1" si="20"/>
        <v>29613</v>
      </c>
      <c r="S64" s="361">
        <f t="shared" ca="1" si="21"/>
        <v>401</v>
      </c>
    </row>
    <row r="65" spans="1:19">
      <c r="A65" s="159">
        <v>318</v>
      </c>
      <c r="B65" s="59">
        <v>148.15</v>
      </c>
      <c r="C65" s="24">
        <f t="shared" si="12"/>
        <v>1.02</v>
      </c>
      <c r="D65" s="719"/>
      <c r="E65" s="24">
        <f t="shared" si="13"/>
        <v>1</v>
      </c>
      <c r="F65" s="719"/>
      <c r="G65" s="24">
        <f t="shared" si="14"/>
        <v>1</v>
      </c>
      <c r="H65" s="719"/>
      <c r="I65" s="24">
        <f t="shared" si="15"/>
        <v>1</v>
      </c>
      <c r="J65" s="719"/>
      <c r="K65" s="24">
        <f t="shared" si="16"/>
        <v>1</v>
      </c>
      <c r="L65" s="719" t="s">
        <v>3778</v>
      </c>
      <c r="M65" s="24">
        <f t="shared" si="17"/>
        <v>0.9</v>
      </c>
      <c r="N65" s="719" t="s">
        <v>3728</v>
      </c>
      <c r="O65" s="24">
        <f t="shared" si="18"/>
        <v>0.9</v>
      </c>
      <c r="P65" s="719">
        <v>3</v>
      </c>
      <c r="Q65" s="24">
        <f t="shared" si="19"/>
        <v>0.7</v>
      </c>
      <c r="R65" s="715">
        <f t="shared" ca="1" si="20"/>
        <v>29613</v>
      </c>
      <c r="S65" s="361">
        <f t="shared" ca="1" si="21"/>
        <v>439</v>
      </c>
    </row>
    <row r="66" spans="1:19">
      <c r="A66" s="159">
        <v>319</v>
      </c>
      <c r="B66" s="59">
        <v>258.56</v>
      </c>
      <c r="C66" s="24">
        <f t="shared" si="12"/>
        <v>1.01</v>
      </c>
      <c r="D66" s="719"/>
      <c r="E66" s="24">
        <f t="shared" si="13"/>
        <v>1</v>
      </c>
      <c r="F66" s="719"/>
      <c r="G66" s="24">
        <f t="shared" si="14"/>
        <v>1</v>
      </c>
      <c r="H66" s="719"/>
      <c r="I66" s="24">
        <f t="shared" si="15"/>
        <v>1</v>
      </c>
      <c r="J66" s="719"/>
      <c r="K66" s="24">
        <f t="shared" si="16"/>
        <v>1</v>
      </c>
      <c r="L66" s="719" t="s">
        <v>3778</v>
      </c>
      <c r="M66" s="24">
        <f t="shared" si="17"/>
        <v>0.9</v>
      </c>
      <c r="N66" s="719" t="s">
        <v>3728</v>
      </c>
      <c r="O66" s="24">
        <f t="shared" si="18"/>
        <v>0.9</v>
      </c>
      <c r="P66" s="719">
        <v>3</v>
      </c>
      <c r="Q66" s="24">
        <f t="shared" si="19"/>
        <v>0.7</v>
      </c>
      <c r="R66" s="715">
        <f t="shared" ca="1" si="20"/>
        <v>29322</v>
      </c>
      <c r="S66" s="361">
        <f t="shared" ca="1" si="21"/>
        <v>758</v>
      </c>
    </row>
    <row r="67" spans="1:19">
      <c r="A67" s="159">
        <v>320</v>
      </c>
      <c r="B67" s="59">
        <v>105.67</v>
      </c>
      <c r="C67" s="24">
        <f t="shared" si="12"/>
        <v>1.02</v>
      </c>
      <c r="D67" s="719"/>
      <c r="E67" s="24">
        <f t="shared" si="13"/>
        <v>1</v>
      </c>
      <c r="F67" s="719"/>
      <c r="G67" s="24">
        <f t="shared" si="14"/>
        <v>1</v>
      </c>
      <c r="H67" s="719"/>
      <c r="I67" s="24">
        <f t="shared" si="15"/>
        <v>1</v>
      </c>
      <c r="J67" s="719"/>
      <c r="K67" s="24">
        <f t="shared" si="16"/>
        <v>1</v>
      </c>
      <c r="L67" s="719" t="s">
        <v>3778</v>
      </c>
      <c r="M67" s="24">
        <f t="shared" si="17"/>
        <v>0.9</v>
      </c>
      <c r="N67" s="719" t="s">
        <v>3728</v>
      </c>
      <c r="O67" s="24">
        <f t="shared" si="18"/>
        <v>0.9</v>
      </c>
      <c r="P67" s="719">
        <v>3</v>
      </c>
      <c r="Q67" s="24">
        <f t="shared" si="19"/>
        <v>0.7</v>
      </c>
      <c r="R67" s="715">
        <f t="shared" ca="1" si="20"/>
        <v>29613</v>
      </c>
      <c r="S67" s="361">
        <f t="shared" ca="1" si="21"/>
        <v>313</v>
      </c>
    </row>
    <row r="68" spans="1:19">
      <c r="A68" s="159">
        <v>321</v>
      </c>
      <c r="B68" s="59">
        <v>132.22</v>
      </c>
      <c r="C68" s="24">
        <f t="shared" si="12"/>
        <v>1.02</v>
      </c>
      <c r="D68" s="719"/>
      <c r="E68" s="24">
        <f t="shared" si="13"/>
        <v>1</v>
      </c>
      <c r="F68" s="719"/>
      <c r="G68" s="24">
        <f t="shared" si="14"/>
        <v>1</v>
      </c>
      <c r="H68" s="719"/>
      <c r="I68" s="24">
        <f t="shared" si="15"/>
        <v>1</v>
      </c>
      <c r="J68" s="719"/>
      <c r="K68" s="24">
        <f t="shared" si="16"/>
        <v>1</v>
      </c>
      <c r="L68" s="719" t="s">
        <v>3778</v>
      </c>
      <c r="M68" s="24">
        <f t="shared" si="17"/>
        <v>0.9</v>
      </c>
      <c r="N68" s="719" t="s">
        <v>3728</v>
      </c>
      <c r="O68" s="24">
        <f t="shared" si="18"/>
        <v>0.9</v>
      </c>
      <c r="P68" s="719">
        <v>3</v>
      </c>
      <c r="Q68" s="24">
        <f t="shared" si="19"/>
        <v>0.7</v>
      </c>
      <c r="R68" s="715">
        <f t="shared" ca="1" si="20"/>
        <v>29613</v>
      </c>
      <c r="S68" s="361">
        <f t="shared" ca="1" si="21"/>
        <v>392</v>
      </c>
    </row>
    <row r="69" spans="1:19">
      <c r="A69" s="159">
        <v>322</v>
      </c>
      <c r="B69" s="59">
        <v>272.23</v>
      </c>
      <c r="C69" s="24">
        <f t="shared" si="12"/>
        <v>1.01</v>
      </c>
      <c r="D69" s="719"/>
      <c r="E69" s="24">
        <f t="shared" si="13"/>
        <v>1</v>
      </c>
      <c r="F69" s="719"/>
      <c r="G69" s="24">
        <f t="shared" si="14"/>
        <v>1</v>
      </c>
      <c r="H69" s="719"/>
      <c r="I69" s="24">
        <f t="shared" si="15"/>
        <v>1</v>
      </c>
      <c r="J69" s="719"/>
      <c r="K69" s="24">
        <f t="shared" si="16"/>
        <v>1</v>
      </c>
      <c r="L69" s="719" t="s">
        <v>3778</v>
      </c>
      <c r="M69" s="24">
        <f t="shared" si="17"/>
        <v>0.9</v>
      </c>
      <c r="N69" s="719" t="s">
        <v>3728</v>
      </c>
      <c r="O69" s="24">
        <f t="shared" si="18"/>
        <v>0.9</v>
      </c>
      <c r="P69" s="719">
        <v>3</v>
      </c>
      <c r="Q69" s="24">
        <f t="shared" si="19"/>
        <v>0.7</v>
      </c>
      <c r="R69" s="715">
        <f t="shared" ca="1" si="20"/>
        <v>29322</v>
      </c>
      <c r="S69" s="361">
        <f t="shared" ca="1" si="21"/>
        <v>798</v>
      </c>
    </row>
    <row r="70" spans="1:19">
      <c r="A70" s="159">
        <v>323</v>
      </c>
      <c r="B70" s="59">
        <v>187.33</v>
      </c>
      <c r="C70" s="24">
        <f t="shared" si="12"/>
        <v>1.02</v>
      </c>
      <c r="D70" s="719"/>
      <c r="E70" s="24">
        <f t="shared" si="13"/>
        <v>1</v>
      </c>
      <c r="F70" s="719"/>
      <c r="G70" s="24">
        <f t="shared" si="14"/>
        <v>1</v>
      </c>
      <c r="H70" s="719"/>
      <c r="I70" s="24">
        <f t="shared" si="15"/>
        <v>1</v>
      </c>
      <c r="J70" s="719"/>
      <c r="K70" s="24">
        <f t="shared" si="16"/>
        <v>1</v>
      </c>
      <c r="L70" s="719" t="s">
        <v>3778</v>
      </c>
      <c r="M70" s="24">
        <f t="shared" si="17"/>
        <v>0.9</v>
      </c>
      <c r="N70" s="719" t="s">
        <v>3728</v>
      </c>
      <c r="O70" s="24">
        <f t="shared" si="18"/>
        <v>0.9</v>
      </c>
      <c r="P70" s="719">
        <v>3</v>
      </c>
      <c r="Q70" s="24">
        <f t="shared" si="19"/>
        <v>0.7</v>
      </c>
      <c r="R70" s="715">
        <f t="shared" ca="1" si="20"/>
        <v>29613</v>
      </c>
      <c r="S70" s="361">
        <f t="shared" ca="1" si="21"/>
        <v>555</v>
      </c>
    </row>
    <row r="71" spans="1:19">
      <c r="A71" s="159">
        <v>324</v>
      </c>
      <c r="B71" s="59">
        <v>125.1</v>
      </c>
      <c r="C71" s="24">
        <f t="shared" si="12"/>
        <v>1.02</v>
      </c>
      <c r="D71" s="719"/>
      <c r="E71" s="24">
        <f t="shared" si="13"/>
        <v>1</v>
      </c>
      <c r="F71" s="719"/>
      <c r="G71" s="24">
        <f t="shared" si="14"/>
        <v>1</v>
      </c>
      <c r="H71" s="719"/>
      <c r="I71" s="24">
        <f t="shared" si="15"/>
        <v>1</v>
      </c>
      <c r="J71" s="719"/>
      <c r="K71" s="24">
        <f t="shared" si="16"/>
        <v>1</v>
      </c>
      <c r="L71" s="719" t="s">
        <v>3778</v>
      </c>
      <c r="M71" s="24">
        <f t="shared" si="17"/>
        <v>0.9</v>
      </c>
      <c r="N71" s="719" t="s">
        <v>3728</v>
      </c>
      <c r="O71" s="24">
        <f t="shared" si="18"/>
        <v>0.9</v>
      </c>
      <c r="P71" s="719">
        <v>3</v>
      </c>
      <c r="Q71" s="24">
        <f t="shared" si="19"/>
        <v>0.7</v>
      </c>
      <c r="R71" s="715">
        <f t="shared" ca="1" si="20"/>
        <v>29613</v>
      </c>
      <c r="S71" s="361">
        <f t="shared" ca="1" si="21"/>
        <v>370</v>
      </c>
    </row>
    <row r="72" spans="1:19">
      <c r="A72" s="159">
        <v>325</v>
      </c>
      <c r="B72" s="59">
        <v>234.73</v>
      </c>
      <c r="C72" s="24">
        <f t="shared" si="12"/>
        <v>1.01</v>
      </c>
      <c r="D72" s="719"/>
      <c r="E72" s="24">
        <f t="shared" si="13"/>
        <v>1</v>
      </c>
      <c r="F72" s="719"/>
      <c r="G72" s="24">
        <f t="shared" si="14"/>
        <v>1</v>
      </c>
      <c r="H72" s="719"/>
      <c r="I72" s="24">
        <f t="shared" si="15"/>
        <v>1</v>
      </c>
      <c r="J72" s="719"/>
      <c r="K72" s="24">
        <f t="shared" si="16"/>
        <v>1</v>
      </c>
      <c r="L72" s="719" t="s">
        <v>3778</v>
      </c>
      <c r="M72" s="24">
        <f t="shared" si="17"/>
        <v>0.9</v>
      </c>
      <c r="N72" s="719" t="s">
        <v>3728</v>
      </c>
      <c r="O72" s="24">
        <f t="shared" si="18"/>
        <v>0.9</v>
      </c>
      <c r="P72" s="719">
        <v>3</v>
      </c>
      <c r="Q72" s="24">
        <f t="shared" si="19"/>
        <v>0.7</v>
      </c>
      <c r="R72" s="715">
        <f t="shared" ca="1" si="20"/>
        <v>29322</v>
      </c>
      <c r="S72" s="361">
        <f t="shared" ca="1" si="21"/>
        <v>688</v>
      </c>
    </row>
    <row r="73" spans="1:19">
      <c r="A73" s="159">
        <v>326</v>
      </c>
      <c r="B73" s="59">
        <v>325.10000000000002</v>
      </c>
      <c r="C73" s="24">
        <f t="shared" si="12"/>
        <v>1.01</v>
      </c>
      <c r="D73" s="719"/>
      <c r="E73" s="24">
        <f t="shared" si="13"/>
        <v>1</v>
      </c>
      <c r="F73" s="719"/>
      <c r="G73" s="24">
        <f t="shared" si="14"/>
        <v>1</v>
      </c>
      <c r="H73" s="719"/>
      <c r="I73" s="24">
        <f t="shared" si="15"/>
        <v>1</v>
      </c>
      <c r="J73" s="719"/>
      <c r="K73" s="24">
        <f t="shared" si="16"/>
        <v>1</v>
      </c>
      <c r="L73" s="719" t="s">
        <v>3778</v>
      </c>
      <c r="M73" s="24">
        <f t="shared" si="17"/>
        <v>0.9</v>
      </c>
      <c r="N73" s="719" t="s">
        <v>3728</v>
      </c>
      <c r="O73" s="24">
        <f t="shared" si="18"/>
        <v>0.9</v>
      </c>
      <c r="P73" s="719">
        <v>3</v>
      </c>
      <c r="Q73" s="24">
        <f t="shared" si="19"/>
        <v>0.7</v>
      </c>
      <c r="R73" s="715">
        <f t="shared" ca="1" si="20"/>
        <v>29322</v>
      </c>
      <c r="S73" s="361">
        <f t="shared" ca="1" si="21"/>
        <v>953</v>
      </c>
    </row>
    <row r="74" spans="1:19">
      <c r="A74" s="159">
        <v>327</v>
      </c>
      <c r="B74" s="59">
        <v>186.62</v>
      </c>
      <c r="C74" s="24">
        <f t="shared" si="12"/>
        <v>1.02</v>
      </c>
      <c r="D74" s="719"/>
      <c r="E74" s="24">
        <f t="shared" si="13"/>
        <v>1</v>
      </c>
      <c r="F74" s="719"/>
      <c r="G74" s="24">
        <f t="shared" si="14"/>
        <v>1</v>
      </c>
      <c r="H74" s="719"/>
      <c r="I74" s="24">
        <f t="shared" si="15"/>
        <v>1</v>
      </c>
      <c r="J74" s="719"/>
      <c r="K74" s="24">
        <f t="shared" si="16"/>
        <v>1</v>
      </c>
      <c r="L74" s="719" t="s">
        <v>3778</v>
      </c>
      <c r="M74" s="24">
        <f t="shared" si="17"/>
        <v>0.9</v>
      </c>
      <c r="N74" s="719" t="s">
        <v>3728</v>
      </c>
      <c r="O74" s="24">
        <f t="shared" si="18"/>
        <v>0.9</v>
      </c>
      <c r="P74" s="719">
        <v>3</v>
      </c>
      <c r="Q74" s="24">
        <f t="shared" si="19"/>
        <v>0.7</v>
      </c>
      <c r="R74" s="715">
        <f t="shared" ca="1" si="20"/>
        <v>29613</v>
      </c>
      <c r="S74" s="361">
        <f t="shared" ca="1" si="21"/>
        <v>553</v>
      </c>
    </row>
    <row r="75" spans="1:19">
      <c r="A75" s="159">
        <v>328</v>
      </c>
      <c r="B75" s="59">
        <v>109.68</v>
      </c>
      <c r="C75" s="24">
        <f t="shared" si="12"/>
        <v>1.02</v>
      </c>
      <c r="D75" s="719"/>
      <c r="E75" s="24">
        <f t="shared" si="13"/>
        <v>1</v>
      </c>
      <c r="F75" s="719"/>
      <c r="G75" s="24">
        <f t="shared" si="14"/>
        <v>1</v>
      </c>
      <c r="H75" s="719"/>
      <c r="I75" s="24">
        <f t="shared" si="15"/>
        <v>1</v>
      </c>
      <c r="J75" s="719"/>
      <c r="K75" s="24">
        <f t="shared" si="16"/>
        <v>1</v>
      </c>
      <c r="L75" s="719" t="s">
        <v>3778</v>
      </c>
      <c r="M75" s="24">
        <f t="shared" si="17"/>
        <v>0.9</v>
      </c>
      <c r="N75" s="719" t="s">
        <v>3728</v>
      </c>
      <c r="O75" s="24">
        <f t="shared" si="18"/>
        <v>0.9</v>
      </c>
      <c r="P75" s="719">
        <v>3</v>
      </c>
      <c r="Q75" s="24">
        <f t="shared" si="19"/>
        <v>0.7</v>
      </c>
      <c r="R75" s="715">
        <f t="shared" ca="1" si="20"/>
        <v>29613</v>
      </c>
      <c r="S75" s="361">
        <f t="shared" ca="1" si="21"/>
        <v>325</v>
      </c>
    </row>
    <row r="76" spans="1:19">
      <c r="A76" s="159">
        <v>329</v>
      </c>
      <c r="B76" s="59">
        <v>79.28</v>
      </c>
      <c r="C76" s="24">
        <f t="shared" si="12"/>
        <v>1.03</v>
      </c>
      <c r="D76" s="719"/>
      <c r="E76" s="24">
        <f t="shared" si="13"/>
        <v>1</v>
      </c>
      <c r="F76" s="719"/>
      <c r="G76" s="24">
        <f t="shared" si="14"/>
        <v>1</v>
      </c>
      <c r="H76" s="719"/>
      <c r="I76" s="24">
        <f t="shared" si="15"/>
        <v>1</v>
      </c>
      <c r="J76" s="719"/>
      <c r="K76" s="24">
        <f t="shared" si="16"/>
        <v>1</v>
      </c>
      <c r="L76" s="719" t="s">
        <v>3778</v>
      </c>
      <c r="M76" s="24">
        <f t="shared" si="17"/>
        <v>0.9</v>
      </c>
      <c r="N76" s="719" t="s">
        <v>3728</v>
      </c>
      <c r="O76" s="24">
        <f t="shared" si="18"/>
        <v>0.9</v>
      </c>
      <c r="P76" s="719">
        <v>3</v>
      </c>
      <c r="Q76" s="24">
        <f t="shared" si="19"/>
        <v>0.7</v>
      </c>
      <c r="R76" s="715">
        <f t="shared" ca="1" si="20"/>
        <v>29903</v>
      </c>
      <c r="S76" s="361">
        <f t="shared" ca="1" si="21"/>
        <v>237</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0</v>
      </c>
      <c r="N77" s="719"/>
      <c r="O77" s="24">
        <f t="shared" si="18"/>
        <v>0</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0</v>
      </c>
      <c r="N78" s="719"/>
      <c r="O78" s="24">
        <f t="shared" si="18"/>
        <v>0</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0</v>
      </c>
      <c r="N79" s="719"/>
      <c r="O79" s="24">
        <f t="shared" si="18"/>
        <v>0</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0</v>
      </c>
      <c r="N80" s="719"/>
      <c r="O80" s="24">
        <f t="shared" si="18"/>
        <v>0</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0</v>
      </c>
      <c r="N81" s="719"/>
      <c r="O81" s="24">
        <f t="shared" si="18"/>
        <v>0</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0</v>
      </c>
      <c r="N82" s="719"/>
      <c r="O82" s="24">
        <f t="shared" si="18"/>
        <v>0</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0</v>
      </c>
      <c r="N83" s="719"/>
      <c r="O83" s="24">
        <f t="shared" si="18"/>
        <v>0</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0</v>
      </c>
      <c r="N84" s="719"/>
      <c r="O84" s="24">
        <f t="shared" si="18"/>
        <v>0</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0</v>
      </c>
      <c r="N85" s="719"/>
      <c r="O85" s="24">
        <f t="shared" si="18"/>
        <v>0</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0</v>
      </c>
      <c r="N86" s="719"/>
      <c r="O86" s="24">
        <f t="shared" si="18"/>
        <v>0</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0</v>
      </c>
      <c r="N87" s="719"/>
      <c r="O87" s="24">
        <f t="shared" si="18"/>
        <v>0</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0</v>
      </c>
      <c r="N88" s="719"/>
      <c r="O88" s="24">
        <f t="shared" si="18"/>
        <v>0</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0</v>
      </c>
      <c r="N89" s="719"/>
      <c r="O89" s="24">
        <f t="shared" si="18"/>
        <v>0</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0</v>
      </c>
      <c r="N90" s="719"/>
      <c r="O90" s="24">
        <f t="shared" ref="O90:O153" si="29">(SUMIF($15:$15,N90,$16:$16)-SUMIF($15:$15,$N$24,$16:$16)+100)/100</f>
        <v>0</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0</v>
      </c>
      <c r="N91" s="719"/>
      <c r="O91" s="24">
        <f t="shared" si="29"/>
        <v>0</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0</v>
      </c>
      <c r="N92" s="719"/>
      <c r="O92" s="24">
        <f t="shared" si="29"/>
        <v>0</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0</v>
      </c>
      <c r="N93" s="719"/>
      <c r="O93" s="24">
        <f t="shared" si="29"/>
        <v>0</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0</v>
      </c>
      <c r="N94" s="719"/>
      <c r="O94" s="24">
        <f t="shared" si="29"/>
        <v>0</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0</v>
      </c>
      <c r="N95" s="719"/>
      <c r="O95" s="24">
        <f t="shared" si="29"/>
        <v>0</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0</v>
      </c>
      <c r="N96" s="719"/>
      <c r="O96" s="24">
        <f t="shared" si="29"/>
        <v>0</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0</v>
      </c>
      <c r="N97" s="719"/>
      <c r="O97" s="24">
        <f t="shared" si="29"/>
        <v>0</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0</v>
      </c>
      <c r="N98" s="719"/>
      <c r="O98" s="24">
        <f t="shared" si="29"/>
        <v>0</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0</v>
      </c>
      <c r="N99" s="719"/>
      <c r="O99" s="24">
        <f t="shared" si="29"/>
        <v>0</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0</v>
      </c>
      <c r="N100" s="719"/>
      <c r="O100" s="24">
        <f t="shared" si="29"/>
        <v>0</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0</v>
      </c>
      <c r="N101" s="719"/>
      <c r="O101" s="24">
        <f t="shared" si="29"/>
        <v>0</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0</v>
      </c>
      <c r="N102" s="719"/>
      <c r="O102" s="24">
        <f t="shared" si="29"/>
        <v>0</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0</v>
      </c>
      <c r="N103" s="719"/>
      <c r="O103" s="24">
        <f t="shared" si="29"/>
        <v>0</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0</v>
      </c>
      <c r="N104" s="719"/>
      <c r="O104" s="24">
        <f t="shared" si="29"/>
        <v>0</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0</v>
      </c>
      <c r="N105" s="719"/>
      <c r="O105" s="24">
        <f t="shared" si="29"/>
        <v>0</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0</v>
      </c>
      <c r="N106" s="719"/>
      <c r="O106" s="24">
        <f t="shared" si="29"/>
        <v>0</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0</v>
      </c>
      <c r="N107" s="719"/>
      <c r="O107" s="24">
        <f t="shared" si="29"/>
        <v>0</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0</v>
      </c>
      <c r="N108" s="719"/>
      <c r="O108" s="24">
        <f t="shared" si="29"/>
        <v>0</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0</v>
      </c>
      <c r="N109" s="719"/>
      <c r="O109" s="24">
        <f t="shared" si="29"/>
        <v>0</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0</v>
      </c>
      <c r="N110" s="719"/>
      <c r="O110" s="24">
        <f t="shared" si="29"/>
        <v>0</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0</v>
      </c>
      <c r="N111" s="719"/>
      <c r="O111" s="24">
        <f t="shared" si="29"/>
        <v>0</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0</v>
      </c>
      <c r="N112" s="719"/>
      <c r="O112" s="24">
        <f t="shared" si="29"/>
        <v>0</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0</v>
      </c>
      <c r="N113" s="719"/>
      <c r="O113" s="24">
        <f t="shared" si="29"/>
        <v>0</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0</v>
      </c>
      <c r="N114" s="719"/>
      <c r="O114" s="24">
        <f t="shared" si="29"/>
        <v>0</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0</v>
      </c>
      <c r="N115" s="719"/>
      <c r="O115" s="24">
        <f t="shared" si="29"/>
        <v>0</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0</v>
      </c>
      <c r="N116" s="719"/>
      <c r="O116" s="24">
        <f t="shared" si="29"/>
        <v>0</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0</v>
      </c>
      <c r="N117" s="719"/>
      <c r="O117" s="24">
        <f t="shared" si="29"/>
        <v>0</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0</v>
      </c>
      <c r="N118" s="719"/>
      <c r="O118" s="24">
        <f t="shared" si="29"/>
        <v>0</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0</v>
      </c>
      <c r="N119" s="719"/>
      <c r="O119" s="24">
        <f t="shared" si="29"/>
        <v>0</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0</v>
      </c>
      <c r="N120" s="719"/>
      <c r="O120" s="24">
        <f t="shared" si="29"/>
        <v>0</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0</v>
      </c>
      <c r="N121" s="719"/>
      <c r="O121" s="24">
        <f t="shared" si="29"/>
        <v>0</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0</v>
      </c>
      <c r="N122" s="719"/>
      <c r="O122" s="24">
        <f t="shared" si="29"/>
        <v>0</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0</v>
      </c>
      <c r="N123" s="719"/>
      <c r="O123" s="24">
        <f t="shared" si="29"/>
        <v>0</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0</v>
      </c>
      <c r="N124" s="719"/>
      <c r="O124" s="24">
        <f t="shared" si="29"/>
        <v>0</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0</v>
      </c>
      <c r="N125" s="719"/>
      <c r="O125" s="24">
        <f t="shared" si="29"/>
        <v>0</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0</v>
      </c>
      <c r="N126" s="719"/>
      <c r="O126" s="24">
        <f t="shared" si="29"/>
        <v>0</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0</v>
      </c>
      <c r="N127" s="719"/>
      <c r="O127" s="24">
        <f t="shared" si="29"/>
        <v>0</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0</v>
      </c>
      <c r="N128" s="719"/>
      <c r="O128" s="24">
        <f t="shared" si="29"/>
        <v>0</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0</v>
      </c>
      <c r="N129" s="719"/>
      <c r="O129" s="24">
        <f t="shared" si="29"/>
        <v>0</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0</v>
      </c>
      <c r="N130" s="719"/>
      <c r="O130" s="24">
        <f t="shared" si="29"/>
        <v>0</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0</v>
      </c>
      <c r="N131" s="719"/>
      <c r="O131" s="24">
        <f t="shared" si="29"/>
        <v>0</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0</v>
      </c>
      <c r="N132" s="719"/>
      <c r="O132" s="24">
        <f t="shared" si="29"/>
        <v>0</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0</v>
      </c>
      <c r="N133" s="719"/>
      <c r="O133" s="24">
        <f t="shared" si="29"/>
        <v>0</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0</v>
      </c>
      <c r="N134" s="719"/>
      <c r="O134" s="24">
        <f t="shared" si="29"/>
        <v>0</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0</v>
      </c>
      <c r="N135" s="719"/>
      <c r="O135" s="24">
        <f t="shared" si="29"/>
        <v>0</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0</v>
      </c>
      <c r="N136" s="719"/>
      <c r="O136" s="24">
        <f t="shared" si="29"/>
        <v>0</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0</v>
      </c>
      <c r="N137" s="719"/>
      <c r="O137" s="24">
        <f t="shared" si="29"/>
        <v>0</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0</v>
      </c>
      <c r="N138" s="719"/>
      <c r="O138" s="24">
        <f t="shared" si="29"/>
        <v>0</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0</v>
      </c>
      <c r="N139" s="719"/>
      <c r="O139" s="24">
        <f t="shared" si="29"/>
        <v>0</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0</v>
      </c>
      <c r="N140" s="719"/>
      <c r="O140" s="24">
        <f t="shared" si="29"/>
        <v>0</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0</v>
      </c>
      <c r="N141" s="719"/>
      <c r="O141" s="24">
        <f t="shared" si="29"/>
        <v>0</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0</v>
      </c>
      <c r="N142" s="719"/>
      <c r="O142" s="24">
        <f t="shared" si="29"/>
        <v>0</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0</v>
      </c>
      <c r="N143" s="719"/>
      <c r="O143" s="24">
        <f t="shared" si="29"/>
        <v>0</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0</v>
      </c>
      <c r="N144" s="719"/>
      <c r="O144" s="24">
        <f t="shared" si="29"/>
        <v>0</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0</v>
      </c>
      <c r="N145" s="719"/>
      <c r="O145" s="24">
        <f t="shared" si="29"/>
        <v>0</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0</v>
      </c>
      <c r="N146" s="719"/>
      <c r="O146" s="24">
        <f t="shared" si="29"/>
        <v>0</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0</v>
      </c>
      <c r="N147" s="719"/>
      <c r="O147" s="24">
        <f t="shared" si="29"/>
        <v>0</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0</v>
      </c>
      <c r="N148" s="719"/>
      <c r="O148" s="24">
        <f t="shared" si="29"/>
        <v>0</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0</v>
      </c>
      <c r="N149" s="719"/>
      <c r="O149" s="24">
        <f t="shared" si="29"/>
        <v>0</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0</v>
      </c>
      <c r="N150" s="719"/>
      <c r="O150" s="24">
        <f t="shared" si="29"/>
        <v>0</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0</v>
      </c>
      <c r="N151" s="719"/>
      <c r="O151" s="24">
        <f t="shared" si="29"/>
        <v>0</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0</v>
      </c>
      <c r="N152" s="719"/>
      <c r="O152" s="24">
        <f t="shared" si="29"/>
        <v>0</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0</v>
      </c>
      <c r="N153" s="719"/>
      <c r="O153" s="24">
        <f t="shared" si="29"/>
        <v>0</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0</v>
      </c>
      <c r="N154" s="719"/>
      <c r="O154" s="24">
        <f t="shared" ref="O154:O217" si="39">(SUMIF($15:$15,N154,$16:$16)-SUMIF($15:$15,$N$24,$16:$16)+100)/100</f>
        <v>0</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0</v>
      </c>
      <c r="N155" s="719"/>
      <c r="O155" s="24">
        <f t="shared" si="39"/>
        <v>0</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0</v>
      </c>
      <c r="N156" s="719"/>
      <c r="O156" s="24">
        <f t="shared" si="39"/>
        <v>0</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0</v>
      </c>
      <c r="N157" s="719"/>
      <c r="O157" s="24">
        <f t="shared" si="39"/>
        <v>0</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0</v>
      </c>
      <c r="N158" s="719"/>
      <c r="O158" s="24">
        <f t="shared" si="39"/>
        <v>0</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0</v>
      </c>
      <c r="N159" s="719"/>
      <c r="O159" s="24">
        <f t="shared" si="39"/>
        <v>0</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0</v>
      </c>
      <c r="N160" s="719"/>
      <c r="O160" s="24">
        <f t="shared" si="39"/>
        <v>0</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0</v>
      </c>
      <c r="N161" s="719"/>
      <c r="O161" s="24">
        <f t="shared" si="39"/>
        <v>0</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0</v>
      </c>
      <c r="N162" s="719"/>
      <c r="O162" s="24">
        <f t="shared" si="39"/>
        <v>0</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0</v>
      </c>
      <c r="N163" s="719"/>
      <c r="O163" s="24">
        <f t="shared" si="39"/>
        <v>0</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0</v>
      </c>
      <c r="N164" s="719"/>
      <c r="O164" s="24">
        <f t="shared" si="39"/>
        <v>0</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0</v>
      </c>
      <c r="N165" s="719"/>
      <c r="O165" s="24">
        <f t="shared" si="39"/>
        <v>0</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0</v>
      </c>
      <c r="N166" s="719"/>
      <c r="O166" s="24">
        <f t="shared" si="39"/>
        <v>0</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0</v>
      </c>
      <c r="N167" s="719"/>
      <c r="O167" s="24">
        <f t="shared" si="39"/>
        <v>0</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0</v>
      </c>
      <c r="N168" s="719"/>
      <c r="O168" s="24">
        <f t="shared" si="39"/>
        <v>0</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0</v>
      </c>
      <c r="N169" s="719"/>
      <c r="O169" s="24">
        <f t="shared" si="39"/>
        <v>0</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0</v>
      </c>
      <c r="N170" s="719"/>
      <c r="O170" s="24">
        <f t="shared" si="39"/>
        <v>0</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0</v>
      </c>
      <c r="N171" s="719"/>
      <c r="O171" s="24">
        <f t="shared" si="39"/>
        <v>0</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0</v>
      </c>
      <c r="N172" s="719"/>
      <c r="O172" s="24">
        <f t="shared" si="39"/>
        <v>0</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0</v>
      </c>
      <c r="N173" s="719"/>
      <c r="O173" s="24">
        <f t="shared" si="39"/>
        <v>0</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0</v>
      </c>
      <c r="N174" s="719"/>
      <c r="O174" s="24">
        <f t="shared" si="39"/>
        <v>0</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0</v>
      </c>
      <c r="N175" s="719"/>
      <c r="O175" s="24">
        <f t="shared" si="39"/>
        <v>0</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0</v>
      </c>
      <c r="N176" s="719"/>
      <c r="O176" s="24">
        <f t="shared" si="39"/>
        <v>0</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0</v>
      </c>
      <c r="N177" s="719"/>
      <c r="O177" s="24">
        <f t="shared" si="39"/>
        <v>0</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0</v>
      </c>
      <c r="N178" s="719"/>
      <c r="O178" s="24">
        <f t="shared" si="39"/>
        <v>0</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0</v>
      </c>
      <c r="N179" s="719"/>
      <c r="O179" s="24">
        <f t="shared" si="39"/>
        <v>0</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0</v>
      </c>
      <c r="N180" s="719"/>
      <c r="O180" s="24">
        <f t="shared" si="39"/>
        <v>0</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0</v>
      </c>
      <c r="N181" s="719"/>
      <c r="O181" s="24">
        <f t="shared" si="39"/>
        <v>0</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0</v>
      </c>
      <c r="N182" s="719"/>
      <c r="O182" s="24">
        <f t="shared" si="39"/>
        <v>0</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0</v>
      </c>
      <c r="N183" s="719"/>
      <c r="O183" s="24">
        <f t="shared" si="39"/>
        <v>0</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0</v>
      </c>
      <c r="N184" s="719"/>
      <c r="O184" s="24">
        <f t="shared" si="39"/>
        <v>0</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0</v>
      </c>
      <c r="N185" s="719"/>
      <c r="O185" s="24">
        <f t="shared" si="39"/>
        <v>0</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0</v>
      </c>
      <c r="N186" s="719"/>
      <c r="O186" s="24">
        <f t="shared" si="39"/>
        <v>0</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0</v>
      </c>
      <c r="N187" s="719"/>
      <c r="O187" s="24">
        <f t="shared" si="39"/>
        <v>0</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0</v>
      </c>
      <c r="N188" s="719"/>
      <c r="O188" s="24">
        <f t="shared" si="39"/>
        <v>0</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0</v>
      </c>
      <c r="N189" s="719"/>
      <c r="O189" s="24">
        <f t="shared" si="39"/>
        <v>0</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0</v>
      </c>
      <c r="N190" s="719"/>
      <c r="O190" s="24">
        <f t="shared" si="39"/>
        <v>0</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0</v>
      </c>
      <c r="N191" s="719"/>
      <c r="O191" s="24">
        <f t="shared" si="39"/>
        <v>0</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0</v>
      </c>
      <c r="N192" s="719"/>
      <c r="O192" s="24">
        <f t="shared" si="39"/>
        <v>0</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0</v>
      </c>
      <c r="N193" s="719"/>
      <c r="O193" s="24">
        <f t="shared" si="39"/>
        <v>0</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0</v>
      </c>
      <c r="N194" s="719"/>
      <c r="O194" s="24">
        <f t="shared" si="39"/>
        <v>0</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0</v>
      </c>
      <c r="N195" s="719"/>
      <c r="O195" s="24">
        <f t="shared" si="39"/>
        <v>0</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0</v>
      </c>
      <c r="N196" s="719"/>
      <c r="O196" s="24">
        <f t="shared" si="39"/>
        <v>0</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0</v>
      </c>
      <c r="N197" s="719"/>
      <c r="O197" s="24">
        <f t="shared" si="39"/>
        <v>0</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0</v>
      </c>
      <c r="N198" s="719"/>
      <c r="O198" s="24">
        <f t="shared" si="39"/>
        <v>0</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0</v>
      </c>
      <c r="N199" s="719"/>
      <c r="O199" s="24">
        <f t="shared" si="39"/>
        <v>0</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0</v>
      </c>
      <c r="N200" s="719"/>
      <c r="O200" s="24">
        <f t="shared" si="39"/>
        <v>0</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0</v>
      </c>
      <c r="N201" s="719"/>
      <c r="O201" s="24">
        <f t="shared" si="39"/>
        <v>0</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0</v>
      </c>
      <c r="N202" s="719"/>
      <c r="O202" s="24">
        <f t="shared" si="39"/>
        <v>0</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0</v>
      </c>
      <c r="N203" s="719"/>
      <c r="O203" s="24">
        <f t="shared" si="39"/>
        <v>0</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0</v>
      </c>
      <c r="N204" s="719"/>
      <c r="O204" s="24">
        <f t="shared" si="39"/>
        <v>0</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0</v>
      </c>
      <c r="N205" s="719"/>
      <c r="O205" s="24">
        <f t="shared" si="39"/>
        <v>0</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0</v>
      </c>
      <c r="N206" s="719"/>
      <c r="O206" s="24">
        <f t="shared" si="39"/>
        <v>0</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0</v>
      </c>
      <c r="N207" s="719"/>
      <c r="O207" s="24">
        <f t="shared" si="39"/>
        <v>0</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0</v>
      </c>
      <c r="N208" s="719"/>
      <c r="O208" s="24">
        <f t="shared" si="39"/>
        <v>0</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0</v>
      </c>
      <c r="N209" s="719"/>
      <c r="O209" s="24">
        <f t="shared" si="39"/>
        <v>0</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0</v>
      </c>
      <c r="N210" s="719"/>
      <c r="O210" s="24">
        <f t="shared" si="39"/>
        <v>0</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0</v>
      </c>
      <c r="N211" s="719"/>
      <c r="O211" s="24">
        <f t="shared" si="39"/>
        <v>0</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0</v>
      </c>
      <c r="N212" s="719"/>
      <c r="O212" s="24">
        <f t="shared" si="39"/>
        <v>0</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0</v>
      </c>
      <c r="N213" s="719"/>
      <c r="O213" s="24">
        <f t="shared" si="39"/>
        <v>0</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0</v>
      </c>
      <c r="N214" s="719"/>
      <c r="O214" s="24">
        <f t="shared" si="39"/>
        <v>0</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0</v>
      </c>
      <c r="N215" s="719"/>
      <c r="O215" s="24">
        <f t="shared" si="39"/>
        <v>0</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0</v>
      </c>
      <c r="N216" s="719"/>
      <c r="O216" s="24">
        <f t="shared" si="39"/>
        <v>0</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0</v>
      </c>
      <c r="N217" s="719"/>
      <c r="O217" s="24">
        <f t="shared" si="39"/>
        <v>0</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0</v>
      </c>
      <c r="N218" s="719"/>
      <c r="O218" s="24">
        <f t="shared" ref="O218:O281" si="49">(SUMIF($15:$15,N218,$16:$16)-SUMIF($15:$15,$N$24,$16:$16)+100)/100</f>
        <v>0</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0</v>
      </c>
      <c r="N219" s="719"/>
      <c r="O219" s="24">
        <f t="shared" si="49"/>
        <v>0</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0</v>
      </c>
      <c r="N220" s="719"/>
      <c r="O220" s="24">
        <f t="shared" si="49"/>
        <v>0</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0</v>
      </c>
      <c r="N221" s="719"/>
      <c r="O221" s="24">
        <f t="shared" si="49"/>
        <v>0</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0</v>
      </c>
      <c r="N222" s="719"/>
      <c r="O222" s="24">
        <f t="shared" si="49"/>
        <v>0</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0</v>
      </c>
      <c r="N223" s="719"/>
      <c r="O223" s="24">
        <f t="shared" si="49"/>
        <v>0</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0</v>
      </c>
      <c r="N224" s="719"/>
      <c r="O224" s="24">
        <f t="shared" si="49"/>
        <v>0</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0</v>
      </c>
      <c r="N225" s="719"/>
      <c r="O225" s="24">
        <f t="shared" si="49"/>
        <v>0</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0</v>
      </c>
      <c r="N226" s="719"/>
      <c r="O226" s="24">
        <f t="shared" si="49"/>
        <v>0</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0</v>
      </c>
      <c r="N227" s="719"/>
      <c r="O227" s="24">
        <f t="shared" si="49"/>
        <v>0</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0</v>
      </c>
      <c r="N228" s="719"/>
      <c r="O228" s="24">
        <f t="shared" si="49"/>
        <v>0</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0</v>
      </c>
      <c r="N229" s="719"/>
      <c r="O229" s="24">
        <f t="shared" si="49"/>
        <v>0</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0</v>
      </c>
      <c r="N230" s="719"/>
      <c r="O230" s="24">
        <f t="shared" si="49"/>
        <v>0</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0</v>
      </c>
      <c r="N231" s="719"/>
      <c r="O231" s="24">
        <f t="shared" si="49"/>
        <v>0</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0</v>
      </c>
      <c r="N232" s="719"/>
      <c r="O232" s="24">
        <f t="shared" si="49"/>
        <v>0</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0</v>
      </c>
      <c r="N233" s="719"/>
      <c r="O233" s="24">
        <f t="shared" si="49"/>
        <v>0</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0</v>
      </c>
      <c r="N234" s="719"/>
      <c r="O234" s="24">
        <f t="shared" si="49"/>
        <v>0</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0</v>
      </c>
      <c r="N235" s="719"/>
      <c r="O235" s="24">
        <f t="shared" si="49"/>
        <v>0</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0</v>
      </c>
      <c r="N236" s="719"/>
      <c r="O236" s="24">
        <f t="shared" si="49"/>
        <v>0</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0</v>
      </c>
      <c r="N237" s="719"/>
      <c r="O237" s="24">
        <f t="shared" si="49"/>
        <v>0</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0</v>
      </c>
      <c r="N238" s="719"/>
      <c r="O238" s="24">
        <f t="shared" si="49"/>
        <v>0</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0</v>
      </c>
      <c r="N239" s="719"/>
      <c r="O239" s="24">
        <f t="shared" si="49"/>
        <v>0</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0</v>
      </c>
      <c r="N240" s="719"/>
      <c r="O240" s="24">
        <f t="shared" si="49"/>
        <v>0</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0</v>
      </c>
      <c r="N241" s="719"/>
      <c r="O241" s="24">
        <f t="shared" si="49"/>
        <v>0</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0</v>
      </c>
      <c r="N242" s="719"/>
      <c r="O242" s="24">
        <f t="shared" si="49"/>
        <v>0</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0</v>
      </c>
      <c r="N243" s="719"/>
      <c r="O243" s="24">
        <f t="shared" si="49"/>
        <v>0</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0</v>
      </c>
      <c r="N244" s="719"/>
      <c r="O244" s="24">
        <f t="shared" si="49"/>
        <v>0</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0</v>
      </c>
      <c r="N245" s="719"/>
      <c r="O245" s="24">
        <f t="shared" si="49"/>
        <v>0</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0</v>
      </c>
      <c r="N246" s="719"/>
      <c r="O246" s="24">
        <f t="shared" si="49"/>
        <v>0</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0</v>
      </c>
      <c r="N247" s="719"/>
      <c r="O247" s="24">
        <f t="shared" si="49"/>
        <v>0</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0</v>
      </c>
      <c r="N248" s="719"/>
      <c r="O248" s="24">
        <f t="shared" si="49"/>
        <v>0</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0</v>
      </c>
      <c r="N249" s="719"/>
      <c r="O249" s="24">
        <f t="shared" si="49"/>
        <v>0</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0</v>
      </c>
      <c r="N250" s="719"/>
      <c r="O250" s="24">
        <f t="shared" si="49"/>
        <v>0</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0</v>
      </c>
      <c r="N251" s="719"/>
      <c r="O251" s="24">
        <f t="shared" si="49"/>
        <v>0</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0</v>
      </c>
      <c r="N252" s="719"/>
      <c r="O252" s="24">
        <f t="shared" si="49"/>
        <v>0</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0</v>
      </c>
      <c r="N253" s="719"/>
      <c r="O253" s="24">
        <f t="shared" si="49"/>
        <v>0</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0</v>
      </c>
      <c r="N254" s="719"/>
      <c r="O254" s="24">
        <f t="shared" si="49"/>
        <v>0</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0</v>
      </c>
      <c r="N255" s="719"/>
      <c r="O255" s="24">
        <f t="shared" si="49"/>
        <v>0</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0</v>
      </c>
      <c r="N256" s="719"/>
      <c r="O256" s="24">
        <f t="shared" si="49"/>
        <v>0</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0</v>
      </c>
      <c r="N257" s="719"/>
      <c r="O257" s="24">
        <f t="shared" si="49"/>
        <v>0</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0</v>
      </c>
      <c r="N258" s="719"/>
      <c r="O258" s="24">
        <f t="shared" si="49"/>
        <v>0</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0</v>
      </c>
      <c r="N259" s="719"/>
      <c r="O259" s="24">
        <f t="shared" si="49"/>
        <v>0</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0</v>
      </c>
      <c r="N260" s="719"/>
      <c r="O260" s="24">
        <f t="shared" si="49"/>
        <v>0</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0</v>
      </c>
      <c r="N261" s="719"/>
      <c r="O261" s="24">
        <f t="shared" si="49"/>
        <v>0</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0</v>
      </c>
      <c r="N262" s="719"/>
      <c r="O262" s="24">
        <f t="shared" si="49"/>
        <v>0</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0</v>
      </c>
      <c r="N263" s="719"/>
      <c r="O263" s="24">
        <f t="shared" si="49"/>
        <v>0</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0</v>
      </c>
      <c r="N264" s="719"/>
      <c r="O264" s="24">
        <f t="shared" si="49"/>
        <v>0</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0</v>
      </c>
      <c r="N265" s="719"/>
      <c r="O265" s="24">
        <f t="shared" si="49"/>
        <v>0</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0</v>
      </c>
      <c r="N266" s="719"/>
      <c r="O266" s="24">
        <f t="shared" si="49"/>
        <v>0</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0</v>
      </c>
      <c r="N267" s="719"/>
      <c r="O267" s="24">
        <f t="shared" si="49"/>
        <v>0</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0</v>
      </c>
      <c r="N268" s="719"/>
      <c r="O268" s="24">
        <f t="shared" si="49"/>
        <v>0</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0</v>
      </c>
      <c r="N269" s="719"/>
      <c r="O269" s="24">
        <f t="shared" si="49"/>
        <v>0</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0</v>
      </c>
      <c r="N270" s="719"/>
      <c r="O270" s="24">
        <f t="shared" si="49"/>
        <v>0</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0</v>
      </c>
      <c r="N271" s="719"/>
      <c r="O271" s="24">
        <f t="shared" si="49"/>
        <v>0</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0</v>
      </c>
      <c r="N272" s="719"/>
      <c r="O272" s="24">
        <f t="shared" si="49"/>
        <v>0</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0</v>
      </c>
      <c r="N273" s="719"/>
      <c r="O273" s="24">
        <f t="shared" si="49"/>
        <v>0</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0</v>
      </c>
      <c r="N274" s="719"/>
      <c r="O274" s="24">
        <f t="shared" si="49"/>
        <v>0</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0</v>
      </c>
      <c r="N275" s="719"/>
      <c r="O275" s="24">
        <f t="shared" si="49"/>
        <v>0</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0</v>
      </c>
      <c r="N276" s="719"/>
      <c r="O276" s="24">
        <f t="shared" si="49"/>
        <v>0</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0</v>
      </c>
      <c r="N277" s="719"/>
      <c r="O277" s="24">
        <f t="shared" si="49"/>
        <v>0</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0</v>
      </c>
      <c r="N278" s="719"/>
      <c r="O278" s="24">
        <f t="shared" si="49"/>
        <v>0</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0</v>
      </c>
      <c r="N279" s="719"/>
      <c r="O279" s="24">
        <f t="shared" si="49"/>
        <v>0</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0</v>
      </c>
      <c r="N280" s="719"/>
      <c r="O280" s="24">
        <f t="shared" si="49"/>
        <v>0</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0</v>
      </c>
      <c r="N281" s="719"/>
      <c r="O281" s="24">
        <f t="shared" si="49"/>
        <v>0</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0</v>
      </c>
      <c r="N282" s="719"/>
      <c r="O282" s="24">
        <f t="shared" ref="O282:O345" si="59">(SUMIF($15:$15,N282,$16:$16)-SUMIF($15:$15,$N$24,$16:$16)+100)/100</f>
        <v>0</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0</v>
      </c>
      <c r="N283" s="719"/>
      <c r="O283" s="24">
        <f t="shared" si="59"/>
        <v>0</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0</v>
      </c>
      <c r="N284" s="719"/>
      <c r="O284" s="24">
        <f t="shared" si="59"/>
        <v>0</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0</v>
      </c>
      <c r="N285" s="719"/>
      <c r="O285" s="24">
        <f t="shared" si="59"/>
        <v>0</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0</v>
      </c>
      <c r="N286" s="719"/>
      <c r="O286" s="24">
        <f t="shared" si="59"/>
        <v>0</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0</v>
      </c>
      <c r="N287" s="719"/>
      <c r="O287" s="24">
        <f t="shared" si="59"/>
        <v>0</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0</v>
      </c>
      <c r="N288" s="719"/>
      <c r="O288" s="24">
        <f t="shared" si="59"/>
        <v>0</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0</v>
      </c>
      <c r="N289" s="719"/>
      <c r="O289" s="24">
        <f t="shared" si="59"/>
        <v>0</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0</v>
      </c>
      <c r="N290" s="719"/>
      <c r="O290" s="24">
        <f t="shared" si="59"/>
        <v>0</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0</v>
      </c>
      <c r="N291" s="719"/>
      <c r="O291" s="24">
        <f t="shared" si="59"/>
        <v>0</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0</v>
      </c>
      <c r="N292" s="719"/>
      <c r="O292" s="24">
        <f t="shared" si="59"/>
        <v>0</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0</v>
      </c>
      <c r="N293" s="719"/>
      <c r="O293" s="24">
        <f t="shared" si="59"/>
        <v>0</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0</v>
      </c>
      <c r="N294" s="719"/>
      <c r="O294" s="24">
        <f t="shared" si="59"/>
        <v>0</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0</v>
      </c>
      <c r="N295" s="719"/>
      <c r="O295" s="24">
        <f t="shared" si="59"/>
        <v>0</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0</v>
      </c>
      <c r="N296" s="719"/>
      <c r="O296" s="24">
        <f t="shared" si="59"/>
        <v>0</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0</v>
      </c>
      <c r="N297" s="719"/>
      <c r="O297" s="24">
        <f t="shared" si="59"/>
        <v>0</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0</v>
      </c>
      <c r="N298" s="719"/>
      <c r="O298" s="24">
        <f t="shared" si="59"/>
        <v>0</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0</v>
      </c>
      <c r="N299" s="719"/>
      <c r="O299" s="24">
        <f t="shared" si="59"/>
        <v>0</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0</v>
      </c>
      <c r="N300" s="719"/>
      <c r="O300" s="24">
        <f t="shared" si="59"/>
        <v>0</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0</v>
      </c>
      <c r="N301" s="719"/>
      <c r="O301" s="24">
        <f t="shared" si="59"/>
        <v>0</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0</v>
      </c>
      <c r="N302" s="719"/>
      <c r="O302" s="24">
        <f t="shared" si="59"/>
        <v>0</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0</v>
      </c>
      <c r="N303" s="719"/>
      <c r="O303" s="24">
        <f t="shared" si="59"/>
        <v>0</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0</v>
      </c>
      <c r="N304" s="719"/>
      <c r="O304" s="24">
        <f t="shared" si="59"/>
        <v>0</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0</v>
      </c>
      <c r="N305" s="719"/>
      <c r="O305" s="24">
        <f t="shared" si="59"/>
        <v>0</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0</v>
      </c>
      <c r="N306" s="719"/>
      <c r="O306" s="24">
        <f t="shared" si="59"/>
        <v>0</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0</v>
      </c>
      <c r="N307" s="719"/>
      <c r="O307" s="24">
        <f t="shared" si="59"/>
        <v>0</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0</v>
      </c>
      <c r="N308" s="719"/>
      <c r="O308" s="24">
        <f t="shared" si="59"/>
        <v>0</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0</v>
      </c>
      <c r="N309" s="719"/>
      <c r="O309" s="24">
        <f t="shared" si="59"/>
        <v>0</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0</v>
      </c>
      <c r="N310" s="719"/>
      <c r="O310" s="24">
        <f t="shared" si="59"/>
        <v>0</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0</v>
      </c>
      <c r="N311" s="719"/>
      <c r="O311" s="24">
        <f t="shared" si="59"/>
        <v>0</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0</v>
      </c>
      <c r="N312" s="719"/>
      <c r="O312" s="24">
        <f t="shared" si="59"/>
        <v>0</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0</v>
      </c>
      <c r="N313" s="719"/>
      <c r="O313" s="24">
        <f t="shared" si="59"/>
        <v>0</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0</v>
      </c>
      <c r="N314" s="719"/>
      <c r="O314" s="24">
        <f t="shared" si="59"/>
        <v>0</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0</v>
      </c>
      <c r="N315" s="719"/>
      <c r="O315" s="24">
        <f t="shared" si="59"/>
        <v>0</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0</v>
      </c>
      <c r="N316" s="719"/>
      <c r="O316" s="24">
        <f t="shared" si="59"/>
        <v>0</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0</v>
      </c>
      <c r="N317" s="719"/>
      <c r="O317" s="24">
        <f t="shared" si="59"/>
        <v>0</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0</v>
      </c>
      <c r="N318" s="719"/>
      <c r="O318" s="24">
        <f t="shared" si="59"/>
        <v>0</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0</v>
      </c>
      <c r="N319" s="719"/>
      <c r="O319" s="24">
        <f t="shared" si="59"/>
        <v>0</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0</v>
      </c>
      <c r="N320" s="719"/>
      <c r="O320" s="24">
        <f t="shared" si="59"/>
        <v>0</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0</v>
      </c>
      <c r="N321" s="719"/>
      <c r="O321" s="24">
        <f t="shared" si="59"/>
        <v>0</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0</v>
      </c>
      <c r="N322" s="719"/>
      <c r="O322" s="24">
        <f t="shared" si="59"/>
        <v>0</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0</v>
      </c>
      <c r="N323" s="719"/>
      <c r="O323" s="24">
        <f t="shared" si="59"/>
        <v>0</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0</v>
      </c>
      <c r="N324" s="719"/>
      <c r="O324" s="24">
        <f t="shared" si="59"/>
        <v>0</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0</v>
      </c>
      <c r="N325" s="719"/>
      <c r="O325" s="24">
        <f t="shared" si="59"/>
        <v>0</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0</v>
      </c>
      <c r="N326" s="719"/>
      <c r="O326" s="24">
        <f t="shared" si="59"/>
        <v>0</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0</v>
      </c>
      <c r="N327" s="719"/>
      <c r="O327" s="24">
        <f t="shared" si="59"/>
        <v>0</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0</v>
      </c>
      <c r="N328" s="719"/>
      <c r="O328" s="24">
        <f t="shared" si="59"/>
        <v>0</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0</v>
      </c>
      <c r="N329" s="719"/>
      <c r="O329" s="24">
        <f t="shared" si="59"/>
        <v>0</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0</v>
      </c>
      <c r="N330" s="719"/>
      <c r="O330" s="24">
        <f t="shared" si="59"/>
        <v>0</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0</v>
      </c>
      <c r="N331" s="719"/>
      <c r="O331" s="24">
        <f t="shared" si="59"/>
        <v>0</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0</v>
      </c>
      <c r="N332" s="719"/>
      <c r="O332" s="24">
        <f t="shared" si="59"/>
        <v>0</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0</v>
      </c>
      <c r="N333" s="719"/>
      <c r="O333" s="24">
        <f t="shared" si="59"/>
        <v>0</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0</v>
      </c>
      <c r="N334" s="719"/>
      <c r="O334" s="24">
        <f t="shared" si="59"/>
        <v>0</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0</v>
      </c>
      <c r="N335" s="719"/>
      <c r="O335" s="24">
        <f t="shared" si="59"/>
        <v>0</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0</v>
      </c>
      <c r="N336" s="719"/>
      <c r="O336" s="24">
        <f t="shared" si="59"/>
        <v>0</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0</v>
      </c>
      <c r="N337" s="719"/>
      <c r="O337" s="24">
        <f t="shared" si="59"/>
        <v>0</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0</v>
      </c>
      <c r="N338" s="719"/>
      <c r="O338" s="24">
        <f t="shared" si="59"/>
        <v>0</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0</v>
      </c>
      <c r="N339" s="719"/>
      <c r="O339" s="24">
        <f t="shared" si="59"/>
        <v>0</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0</v>
      </c>
      <c r="N340" s="719"/>
      <c r="O340" s="24">
        <f t="shared" si="59"/>
        <v>0</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0</v>
      </c>
      <c r="N341" s="719"/>
      <c r="O341" s="24">
        <f t="shared" si="59"/>
        <v>0</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0</v>
      </c>
      <c r="N342" s="719"/>
      <c r="O342" s="24">
        <f t="shared" si="59"/>
        <v>0</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0</v>
      </c>
      <c r="N343" s="719"/>
      <c r="O343" s="24">
        <f t="shared" si="59"/>
        <v>0</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0</v>
      </c>
      <c r="N344" s="719"/>
      <c r="O344" s="24">
        <f t="shared" si="59"/>
        <v>0</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0</v>
      </c>
      <c r="N345" s="719"/>
      <c r="O345" s="24">
        <f t="shared" si="59"/>
        <v>0</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0</v>
      </c>
      <c r="N346" s="719"/>
      <c r="O346" s="24">
        <f t="shared" ref="O346:O409" si="70">(SUMIF($15:$15,N346,$16:$16)-SUMIF($15:$15,$N$24,$16:$16)+100)/100</f>
        <v>0</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0</v>
      </c>
      <c r="N347" s="719"/>
      <c r="O347" s="24">
        <f t="shared" si="70"/>
        <v>0</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0</v>
      </c>
      <c r="N348" s="719"/>
      <c r="O348" s="24">
        <f t="shared" si="70"/>
        <v>0</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0</v>
      </c>
      <c r="N349" s="719"/>
      <c r="O349" s="24">
        <f t="shared" si="70"/>
        <v>0</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0</v>
      </c>
      <c r="N350" s="719"/>
      <c r="O350" s="24">
        <f t="shared" si="70"/>
        <v>0</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0</v>
      </c>
      <c r="N351" s="719"/>
      <c r="O351" s="24">
        <f t="shared" si="70"/>
        <v>0</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0</v>
      </c>
      <c r="N352" s="719"/>
      <c r="O352" s="24">
        <f t="shared" si="70"/>
        <v>0</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0</v>
      </c>
      <c r="N353" s="719"/>
      <c r="O353" s="24">
        <f t="shared" si="70"/>
        <v>0</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0</v>
      </c>
      <c r="N354" s="719"/>
      <c r="O354" s="24">
        <f t="shared" si="70"/>
        <v>0</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0</v>
      </c>
      <c r="N355" s="719"/>
      <c r="O355" s="24">
        <f t="shared" si="70"/>
        <v>0</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0</v>
      </c>
      <c r="N356" s="719"/>
      <c r="O356" s="24">
        <f t="shared" si="70"/>
        <v>0</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0</v>
      </c>
      <c r="N357" s="719"/>
      <c r="O357" s="24">
        <f t="shared" si="70"/>
        <v>0</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0</v>
      </c>
      <c r="N358" s="719"/>
      <c r="O358" s="24">
        <f t="shared" si="70"/>
        <v>0</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0</v>
      </c>
      <c r="N359" s="719"/>
      <c r="O359" s="24">
        <f t="shared" si="70"/>
        <v>0</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0</v>
      </c>
      <c r="N360" s="719"/>
      <c r="O360" s="24">
        <f t="shared" si="70"/>
        <v>0</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0</v>
      </c>
      <c r="N361" s="719"/>
      <c r="O361" s="24">
        <f t="shared" si="70"/>
        <v>0</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0</v>
      </c>
      <c r="N362" s="719"/>
      <c r="O362" s="24">
        <f t="shared" si="70"/>
        <v>0</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0</v>
      </c>
      <c r="N363" s="719"/>
      <c r="O363" s="24">
        <f t="shared" si="70"/>
        <v>0</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0</v>
      </c>
      <c r="N364" s="719"/>
      <c r="O364" s="24">
        <f t="shared" si="70"/>
        <v>0</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0</v>
      </c>
      <c r="N365" s="719"/>
      <c r="O365" s="24">
        <f t="shared" si="70"/>
        <v>0</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0</v>
      </c>
      <c r="N366" s="719"/>
      <c r="O366" s="24">
        <f t="shared" si="70"/>
        <v>0</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0</v>
      </c>
      <c r="N367" s="719"/>
      <c r="O367" s="24">
        <f t="shared" si="70"/>
        <v>0</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0</v>
      </c>
      <c r="N368" s="719"/>
      <c r="O368" s="24">
        <f t="shared" si="70"/>
        <v>0</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0</v>
      </c>
      <c r="N369" s="719"/>
      <c r="O369" s="24">
        <f t="shared" si="70"/>
        <v>0</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0</v>
      </c>
      <c r="N370" s="719"/>
      <c r="O370" s="24">
        <f t="shared" si="70"/>
        <v>0</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0</v>
      </c>
      <c r="N371" s="719"/>
      <c r="O371" s="24">
        <f t="shared" si="70"/>
        <v>0</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0</v>
      </c>
      <c r="N372" s="719"/>
      <c r="O372" s="24">
        <f t="shared" si="70"/>
        <v>0</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0</v>
      </c>
      <c r="N373" s="719"/>
      <c r="O373" s="24">
        <f t="shared" si="70"/>
        <v>0</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0</v>
      </c>
      <c r="N374" s="719"/>
      <c r="O374" s="24">
        <f t="shared" si="70"/>
        <v>0</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0</v>
      </c>
      <c r="N375" s="719"/>
      <c r="O375" s="24">
        <f t="shared" si="70"/>
        <v>0</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0</v>
      </c>
      <c r="N376" s="719"/>
      <c r="O376" s="24">
        <f t="shared" si="70"/>
        <v>0</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0</v>
      </c>
      <c r="N377" s="719"/>
      <c r="O377" s="24">
        <f t="shared" si="70"/>
        <v>0</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0</v>
      </c>
      <c r="N378" s="719"/>
      <c r="O378" s="24">
        <f t="shared" si="70"/>
        <v>0</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0</v>
      </c>
      <c r="N379" s="719"/>
      <c r="O379" s="24">
        <f t="shared" si="70"/>
        <v>0</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0</v>
      </c>
      <c r="N380" s="719"/>
      <c r="O380" s="24">
        <f t="shared" si="70"/>
        <v>0</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0</v>
      </c>
      <c r="N381" s="719"/>
      <c r="O381" s="24">
        <f t="shared" si="70"/>
        <v>0</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0</v>
      </c>
      <c r="N382" s="719"/>
      <c r="O382" s="24">
        <f t="shared" si="70"/>
        <v>0</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0</v>
      </c>
      <c r="N383" s="719"/>
      <c r="O383" s="24">
        <f t="shared" si="70"/>
        <v>0</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0</v>
      </c>
      <c r="N384" s="719"/>
      <c r="O384" s="24">
        <f t="shared" si="70"/>
        <v>0</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0</v>
      </c>
      <c r="N385" s="719"/>
      <c r="O385" s="24">
        <f t="shared" si="70"/>
        <v>0</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0</v>
      </c>
      <c r="N386" s="719"/>
      <c r="O386" s="24">
        <f t="shared" si="70"/>
        <v>0</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0</v>
      </c>
      <c r="N387" s="719"/>
      <c r="O387" s="24">
        <f t="shared" si="70"/>
        <v>0</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0</v>
      </c>
      <c r="N388" s="719"/>
      <c r="O388" s="24">
        <f t="shared" si="70"/>
        <v>0</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0</v>
      </c>
      <c r="N389" s="719"/>
      <c r="O389" s="24">
        <f t="shared" si="70"/>
        <v>0</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0</v>
      </c>
      <c r="N390" s="719"/>
      <c r="O390" s="24">
        <f t="shared" si="70"/>
        <v>0</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0</v>
      </c>
      <c r="N391" s="719"/>
      <c r="O391" s="24">
        <f t="shared" si="70"/>
        <v>0</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0</v>
      </c>
      <c r="N392" s="719"/>
      <c r="O392" s="24">
        <f t="shared" si="70"/>
        <v>0</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0</v>
      </c>
      <c r="N393" s="719"/>
      <c r="O393" s="24">
        <f t="shared" si="70"/>
        <v>0</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0</v>
      </c>
      <c r="N394" s="719"/>
      <c r="O394" s="24">
        <f t="shared" si="70"/>
        <v>0</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0</v>
      </c>
      <c r="N395" s="719"/>
      <c r="O395" s="24">
        <f t="shared" si="70"/>
        <v>0</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0</v>
      </c>
      <c r="N396" s="719"/>
      <c r="O396" s="24">
        <f t="shared" si="70"/>
        <v>0</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0</v>
      </c>
      <c r="N397" s="719"/>
      <c r="O397" s="24">
        <f t="shared" si="70"/>
        <v>0</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0</v>
      </c>
      <c r="N398" s="719"/>
      <c r="O398" s="24">
        <f t="shared" si="70"/>
        <v>0</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0</v>
      </c>
      <c r="N399" s="719"/>
      <c r="O399" s="24">
        <f t="shared" si="70"/>
        <v>0</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0</v>
      </c>
      <c r="N400" s="719"/>
      <c r="O400" s="24">
        <f t="shared" si="70"/>
        <v>0</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0</v>
      </c>
      <c r="N401" s="719"/>
      <c r="O401" s="24">
        <f t="shared" si="70"/>
        <v>0</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0</v>
      </c>
      <c r="N402" s="719"/>
      <c r="O402" s="24">
        <f t="shared" si="70"/>
        <v>0</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0</v>
      </c>
      <c r="N403" s="719"/>
      <c r="O403" s="24">
        <f t="shared" si="70"/>
        <v>0</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0</v>
      </c>
      <c r="N404" s="719"/>
      <c r="O404" s="24">
        <f t="shared" si="70"/>
        <v>0</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0</v>
      </c>
      <c r="N405" s="719"/>
      <c r="O405" s="24">
        <f t="shared" si="70"/>
        <v>0</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0</v>
      </c>
      <c r="N406" s="719"/>
      <c r="O406" s="24">
        <f t="shared" si="70"/>
        <v>0</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0</v>
      </c>
      <c r="N407" s="719"/>
      <c r="O407" s="24">
        <f t="shared" si="70"/>
        <v>0</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0</v>
      </c>
      <c r="N408" s="719"/>
      <c r="O408" s="24">
        <f t="shared" si="70"/>
        <v>0</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0</v>
      </c>
      <c r="N409" s="719"/>
      <c r="O409" s="24">
        <f t="shared" si="70"/>
        <v>0</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0</v>
      </c>
      <c r="N410" s="719"/>
      <c r="O410" s="24">
        <f t="shared" ref="O410:O473" si="80">(SUMIF($15:$15,N410,$16:$16)-SUMIF($15:$15,$N$24,$16:$16)+100)/100</f>
        <v>0</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0</v>
      </c>
      <c r="N411" s="719"/>
      <c r="O411" s="24">
        <f t="shared" si="80"/>
        <v>0</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0</v>
      </c>
      <c r="N412" s="719"/>
      <c r="O412" s="24">
        <f t="shared" si="80"/>
        <v>0</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0</v>
      </c>
      <c r="N413" s="719"/>
      <c r="O413" s="24">
        <f t="shared" si="80"/>
        <v>0</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0</v>
      </c>
      <c r="N414" s="719"/>
      <c r="O414" s="24">
        <f t="shared" si="80"/>
        <v>0</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0</v>
      </c>
      <c r="N415" s="719"/>
      <c r="O415" s="24">
        <f t="shared" si="80"/>
        <v>0</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0</v>
      </c>
      <c r="N416" s="719"/>
      <c r="O416" s="24">
        <f t="shared" si="80"/>
        <v>0</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0</v>
      </c>
      <c r="N417" s="719"/>
      <c r="O417" s="24">
        <f t="shared" si="80"/>
        <v>0</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0</v>
      </c>
      <c r="N418" s="719"/>
      <c r="O418" s="24">
        <f t="shared" si="80"/>
        <v>0</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0</v>
      </c>
      <c r="N419" s="719"/>
      <c r="O419" s="24">
        <f t="shared" si="80"/>
        <v>0</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0</v>
      </c>
      <c r="N420" s="719"/>
      <c r="O420" s="24">
        <f t="shared" si="80"/>
        <v>0</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0</v>
      </c>
      <c r="N421" s="719"/>
      <c r="O421" s="24">
        <f t="shared" si="80"/>
        <v>0</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0</v>
      </c>
      <c r="N422" s="719"/>
      <c r="O422" s="24">
        <f t="shared" si="80"/>
        <v>0</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0</v>
      </c>
      <c r="N423" s="719"/>
      <c r="O423" s="24">
        <f t="shared" si="80"/>
        <v>0</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0</v>
      </c>
      <c r="N424" s="719"/>
      <c r="O424" s="24">
        <f t="shared" si="80"/>
        <v>0</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0</v>
      </c>
      <c r="N425" s="719"/>
      <c r="O425" s="24">
        <f t="shared" si="80"/>
        <v>0</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0</v>
      </c>
      <c r="N426" s="719"/>
      <c r="O426" s="24">
        <f t="shared" si="80"/>
        <v>0</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0</v>
      </c>
      <c r="N427" s="719"/>
      <c r="O427" s="24">
        <f t="shared" si="80"/>
        <v>0</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0</v>
      </c>
      <c r="N428" s="719"/>
      <c r="O428" s="24">
        <f t="shared" si="80"/>
        <v>0</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0</v>
      </c>
      <c r="N429" s="719"/>
      <c r="O429" s="24">
        <f t="shared" si="80"/>
        <v>0</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0</v>
      </c>
      <c r="N430" s="719"/>
      <c r="O430" s="24">
        <f t="shared" si="80"/>
        <v>0</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0</v>
      </c>
      <c r="N431" s="719"/>
      <c r="O431" s="24">
        <f t="shared" si="80"/>
        <v>0</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0</v>
      </c>
      <c r="N432" s="719"/>
      <c r="O432" s="24">
        <f t="shared" si="80"/>
        <v>0</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0</v>
      </c>
      <c r="N433" s="719"/>
      <c r="O433" s="24">
        <f t="shared" si="80"/>
        <v>0</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0</v>
      </c>
      <c r="N434" s="719"/>
      <c r="O434" s="24">
        <f t="shared" si="80"/>
        <v>0</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0</v>
      </c>
      <c r="N435" s="719"/>
      <c r="O435" s="24">
        <f t="shared" si="80"/>
        <v>0</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0</v>
      </c>
      <c r="N436" s="719"/>
      <c r="O436" s="24">
        <f t="shared" si="80"/>
        <v>0</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0</v>
      </c>
      <c r="N437" s="719"/>
      <c r="O437" s="24">
        <f t="shared" si="80"/>
        <v>0</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0</v>
      </c>
      <c r="N438" s="719"/>
      <c r="O438" s="24">
        <f t="shared" si="80"/>
        <v>0</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0</v>
      </c>
      <c r="N439" s="719"/>
      <c r="O439" s="24">
        <f t="shared" si="80"/>
        <v>0</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0</v>
      </c>
      <c r="N440" s="719"/>
      <c r="O440" s="24">
        <f t="shared" si="80"/>
        <v>0</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0</v>
      </c>
      <c r="N441" s="719"/>
      <c r="O441" s="24">
        <f t="shared" si="80"/>
        <v>0</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0</v>
      </c>
      <c r="N442" s="719"/>
      <c r="O442" s="24">
        <f t="shared" si="80"/>
        <v>0</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0</v>
      </c>
      <c r="N443" s="719"/>
      <c r="O443" s="24">
        <f t="shared" si="80"/>
        <v>0</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0</v>
      </c>
      <c r="N444" s="719"/>
      <c r="O444" s="24">
        <f t="shared" si="80"/>
        <v>0</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0</v>
      </c>
      <c r="N445" s="719"/>
      <c r="O445" s="24">
        <f t="shared" si="80"/>
        <v>0</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0</v>
      </c>
      <c r="N446" s="719"/>
      <c r="O446" s="24">
        <f t="shared" si="80"/>
        <v>0</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0</v>
      </c>
      <c r="N447" s="719"/>
      <c r="O447" s="24">
        <f t="shared" si="80"/>
        <v>0</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0</v>
      </c>
      <c r="N448" s="719"/>
      <c r="O448" s="24">
        <f t="shared" si="80"/>
        <v>0</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0</v>
      </c>
      <c r="N449" s="719"/>
      <c r="O449" s="24">
        <f t="shared" si="80"/>
        <v>0</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0</v>
      </c>
      <c r="N450" s="719"/>
      <c r="O450" s="24">
        <f t="shared" si="80"/>
        <v>0</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0</v>
      </c>
      <c r="N451" s="719"/>
      <c r="O451" s="24">
        <f t="shared" si="80"/>
        <v>0</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0</v>
      </c>
      <c r="N452" s="719"/>
      <c r="O452" s="24">
        <f t="shared" si="80"/>
        <v>0</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0</v>
      </c>
      <c r="N453" s="719"/>
      <c r="O453" s="24">
        <f t="shared" si="80"/>
        <v>0</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0</v>
      </c>
      <c r="N454" s="719"/>
      <c r="O454" s="24">
        <f t="shared" si="80"/>
        <v>0</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0</v>
      </c>
      <c r="N455" s="719"/>
      <c r="O455" s="24">
        <f t="shared" si="80"/>
        <v>0</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0</v>
      </c>
      <c r="N456" s="719"/>
      <c r="O456" s="24">
        <f t="shared" si="80"/>
        <v>0</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0</v>
      </c>
      <c r="N457" s="719"/>
      <c r="O457" s="24">
        <f t="shared" si="80"/>
        <v>0</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0</v>
      </c>
      <c r="N458" s="719"/>
      <c r="O458" s="24">
        <f t="shared" si="80"/>
        <v>0</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0</v>
      </c>
      <c r="N459" s="719"/>
      <c r="O459" s="24">
        <f t="shared" si="80"/>
        <v>0</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0</v>
      </c>
      <c r="N460" s="719"/>
      <c r="O460" s="24">
        <f t="shared" si="80"/>
        <v>0</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0</v>
      </c>
      <c r="N461" s="719"/>
      <c r="O461" s="24">
        <f t="shared" si="80"/>
        <v>0</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0</v>
      </c>
      <c r="N462" s="719"/>
      <c r="O462" s="24">
        <f t="shared" si="80"/>
        <v>0</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0</v>
      </c>
      <c r="N463" s="719"/>
      <c r="O463" s="24">
        <f t="shared" si="80"/>
        <v>0</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0</v>
      </c>
      <c r="N464" s="719"/>
      <c r="O464" s="24">
        <f t="shared" si="80"/>
        <v>0</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0</v>
      </c>
      <c r="N465" s="719"/>
      <c r="O465" s="24">
        <f t="shared" si="80"/>
        <v>0</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0</v>
      </c>
      <c r="N466" s="719"/>
      <c r="O466" s="24">
        <f t="shared" si="80"/>
        <v>0</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0</v>
      </c>
      <c r="N467" s="719"/>
      <c r="O467" s="24">
        <f t="shared" si="80"/>
        <v>0</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0</v>
      </c>
      <c r="N468" s="719"/>
      <c r="O468" s="24">
        <f t="shared" si="80"/>
        <v>0</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0</v>
      </c>
      <c r="N469" s="719"/>
      <c r="O469" s="24">
        <f t="shared" si="80"/>
        <v>0</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0</v>
      </c>
      <c r="N470" s="719"/>
      <c r="O470" s="24">
        <f t="shared" si="80"/>
        <v>0</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0</v>
      </c>
      <c r="N471" s="719"/>
      <c r="O471" s="24">
        <f t="shared" si="80"/>
        <v>0</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0</v>
      </c>
      <c r="N472" s="719"/>
      <c r="O472" s="24">
        <f t="shared" si="80"/>
        <v>0</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0</v>
      </c>
      <c r="N473" s="719"/>
      <c r="O473" s="24">
        <f t="shared" si="80"/>
        <v>0</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0</v>
      </c>
      <c r="N474" s="719"/>
      <c r="O474" s="24">
        <f t="shared" ref="O474:O524" si="91">(SUMIF($15:$15,N474,$16:$16)-SUMIF($15:$15,$N$24,$16:$16)+100)/100</f>
        <v>0</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0</v>
      </c>
      <c r="N475" s="719"/>
      <c r="O475" s="24">
        <f t="shared" si="91"/>
        <v>0</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0</v>
      </c>
      <c r="N476" s="719"/>
      <c r="O476" s="24">
        <f t="shared" si="91"/>
        <v>0</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0</v>
      </c>
      <c r="N477" s="719"/>
      <c r="O477" s="24">
        <f t="shared" si="91"/>
        <v>0</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0</v>
      </c>
      <c r="N478" s="719"/>
      <c r="O478" s="24">
        <f t="shared" si="91"/>
        <v>0</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0</v>
      </c>
      <c r="N479" s="719"/>
      <c r="O479" s="24">
        <f t="shared" si="91"/>
        <v>0</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0</v>
      </c>
      <c r="N480" s="719"/>
      <c r="O480" s="24">
        <f t="shared" si="91"/>
        <v>0</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0</v>
      </c>
      <c r="N481" s="719"/>
      <c r="O481" s="24">
        <f t="shared" si="91"/>
        <v>0</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0</v>
      </c>
      <c r="N482" s="719"/>
      <c r="O482" s="24">
        <f t="shared" si="91"/>
        <v>0</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0</v>
      </c>
      <c r="N483" s="719"/>
      <c r="O483" s="24">
        <f t="shared" si="91"/>
        <v>0</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0</v>
      </c>
      <c r="N484" s="719"/>
      <c r="O484" s="24">
        <f t="shared" si="91"/>
        <v>0</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0</v>
      </c>
      <c r="N485" s="719"/>
      <c r="O485" s="24">
        <f t="shared" si="91"/>
        <v>0</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0</v>
      </c>
      <c r="N486" s="719"/>
      <c r="O486" s="24">
        <f t="shared" si="91"/>
        <v>0</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0</v>
      </c>
      <c r="N487" s="719"/>
      <c r="O487" s="24">
        <f t="shared" si="91"/>
        <v>0</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0</v>
      </c>
      <c r="N488" s="719"/>
      <c r="O488" s="24">
        <f t="shared" si="91"/>
        <v>0</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0</v>
      </c>
      <c r="N489" s="719"/>
      <c r="O489" s="24">
        <f t="shared" si="91"/>
        <v>0</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0</v>
      </c>
      <c r="N490" s="719"/>
      <c r="O490" s="24">
        <f t="shared" si="91"/>
        <v>0</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0</v>
      </c>
      <c r="N491" s="719"/>
      <c r="O491" s="24">
        <f t="shared" si="91"/>
        <v>0</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0</v>
      </c>
      <c r="N492" s="719"/>
      <c r="O492" s="24">
        <f t="shared" si="91"/>
        <v>0</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0</v>
      </c>
      <c r="N493" s="719"/>
      <c r="O493" s="24">
        <f t="shared" si="91"/>
        <v>0</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0</v>
      </c>
      <c r="N494" s="719"/>
      <c r="O494" s="24">
        <f t="shared" si="91"/>
        <v>0</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0</v>
      </c>
      <c r="N495" s="719"/>
      <c r="O495" s="24">
        <f t="shared" si="91"/>
        <v>0</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0</v>
      </c>
      <c r="N496" s="719"/>
      <c r="O496" s="24">
        <f t="shared" si="91"/>
        <v>0</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0</v>
      </c>
      <c r="N497" s="719"/>
      <c r="O497" s="24">
        <f t="shared" si="91"/>
        <v>0</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0</v>
      </c>
      <c r="N498" s="719"/>
      <c r="O498" s="24">
        <f t="shared" si="91"/>
        <v>0</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0</v>
      </c>
      <c r="N499" s="719"/>
      <c r="O499" s="24">
        <f t="shared" si="91"/>
        <v>0</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0</v>
      </c>
      <c r="N500" s="719"/>
      <c r="O500" s="24">
        <f t="shared" si="91"/>
        <v>0</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0</v>
      </c>
      <c r="N501" s="719"/>
      <c r="O501" s="24">
        <f t="shared" si="91"/>
        <v>0</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0</v>
      </c>
      <c r="N502" s="719"/>
      <c r="O502" s="24">
        <f t="shared" si="91"/>
        <v>0</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0</v>
      </c>
      <c r="N503" s="719"/>
      <c r="O503" s="24">
        <f t="shared" si="91"/>
        <v>0</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0</v>
      </c>
      <c r="N504" s="719"/>
      <c r="O504" s="24">
        <f t="shared" si="91"/>
        <v>0</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0</v>
      </c>
      <c r="N505" s="719"/>
      <c r="O505" s="24">
        <f t="shared" si="91"/>
        <v>0</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0</v>
      </c>
      <c r="N506" s="719"/>
      <c r="O506" s="24">
        <f t="shared" si="91"/>
        <v>0</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0</v>
      </c>
      <c r="N507" s="719"/>
      <c r="O507" s="24">
        <f t="shared" si="91"/>
        <v>0</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0</v>
      </c>
      <c r="N508" s="719"/>
      <c r="O508" s="24">
        <f t="shared" si="91"/>
        <v>0</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0</v>
      </c>
      <c r="N509" s="719"/>
      <c r="O509" s="24">
        <f t="shared" si="91"/>
        <v>0</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0</v>
      </c>
      <c r="N510" s="719"/>
      <c r="O510" s="24">
        <f t="shared" si="91"/>
        <v>0</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0</v>
      </c>
      <c r="N511" s="719"/>
      <c r="O511" s="24">
        <f t="shared" si="91"/>
        <v>0</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0</v>
      </c>
      <c r="N512" s="719"/>
      <c r="O512" s="24">
        <f t="shared" si="91"/>
        <v>0</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0</v>
      </c>
      <c r="N513" s="719"/>
      <c r="O513" s="24">
        <f t="shared" si="91"/>
        <v>0</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0</v>
      </c>
      <c r="N514" s="719"/>
      <c r="O514" s="24">
        <f t="shared" si="91"/>
        <v>0</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0</v>
      </c>
      <c r="N515" s="719"/>
      <c r="O515" s="24">
        <f t="shared" si="91"/>
        <v>0</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0</v>
      </c>
      <c r="N516" s="719"/>
      <c r="O516" s="24">
        <f t="shared" si="91"/>
        <v>0</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0</v>
      </c>
      <c r="N517" s="719"/>
      <c r="O517" s="24">
        <f t="shared" si="91"/>
        <v>0</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0</v>
      </c>
      <c r="N518" s="719"/>
      <c r="O518" s="24">
        <f t="shared" si="91"/>
        <v>0</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0</v>
      </c>
      <c r="N519" s="719"/>
      <c r="O519" s="24">
        <f t="shared" si="91"/>
        <v>0</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0</v>
      </c>
      <c r="N520" s="719"/>
      <c r="O520" s="24">
        <f t="shared" si="91"/>
        <v>0</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0</v>
      </c>
      <c r="N521" s="719"/>
      <c r="O521" s="24">
        <f t="shared" si="91"/>
        <v>0</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0</v>
      </c>
      <c r="N522" s="719"/>
      <c r="O522" s="24">
        <f t="shared" si="91"/>
        <v>0</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0</v>
      </c>
      <c r="N523" s="719"/>
      <c r="O523" s="24">
        <f t="shared" si="91"/>
        <v>0</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0</v>
      </c>
      <c r="N524" s="719"/>
      <c r="O524" s="24">
        <f t="shared" si="91"/>
        <v>0</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中粮信托有限责任公司：</v>
      </c>
    </row>
    <row r="4" spans="1:1" ht="36">
      <c r="A4" s="1945" t="str">
        <f>"受贵公司委托，我公司对"&amp;项目基本情况!S1&amp;"进行了预评估。"</f>
        <v>受贵公司委托，我公司对北京市通州区临河里1号楼1-3层商业用房、1单元4-18层办公用房房地产抵押价值进行了预评估。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估价对象为北京市通州区临河里1号楼1-3层商业用房、1单元4-18层办公用房房地产，为所有。根据《国有土地使用证》[]，估价对象（分摊）出让国有建设用地使用权面积为12092.92平方米，建筑面积为42325.21平方米。</v>
      </c>
    </row>
    <row r="8" spans="1:1" ht="57.75">
      <c r="A8" s="1948" t="s">
        <v>1614</v>
      </c>
    </row>
    <row r="9" spans="1:1" ht="18.75">
      <c r="A9" s="1947" t="s">
        <v>1615</v>
      </c>
    </row>
    <row r="10" spans="1:1" ht="72">
      <c r="A10" s="194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临河里1号楼1-3层商业用房、1单元4-18层办公用房房地产,属开发建设的办公项目，该项目尚在开发建设中。根据《国有土地使用证》[]，估价对象（分摊）出让国有建设用地使用权面积为12092.92平方米，规划建筑面积为42325.21平方米。</v>
      </c>
    </row>
    <row r="11" spans="1:1" ht="76.5">
      <c r="A11" s="1948" t="s">
        <v>1616</v>
      </c>
    </row>
    <row r="12" spans="1:1" ht="18.75">
      <c r="A12" s="1946" t="s">
        <v>1617</v>
      </c>
    </row>
    <row r="13" spans="1:1" ht="38.25" customHeight="1">
      <c r="A13" s="1949" t="str">
        <f>IF(项目基本情况!B8="抵押",IF(项目基本情况!B5=项目基本情况!B6,定义!C51,定义!B51),定义!D51)</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2018年5月8日（评估专业人员实地查勘之日）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商业、办公，土地取得方式为出让，出让国有建设用地使用权剩余土地使用年限为商业26.33年、办公36.33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燃气）、红线内场地平整条件下，剩余土地使用年限为商业26.33年、办公36.33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"本次评估采用的主估价方法为"&amp;'结果表-商业'!K4&amp;"和"&amp;'结果表-商业'!L4&amp;"。"</f>
        <v>本次评估采用的主估价方法为比较法和收益法。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2119</v>
      </c>
      <c r="B1" s="2413"/>
      <c r="C1" s="2414" t="s">
        <v>27</v>
      </c>
      <c r="D1" s="2413"/>
      <c r="E1" s="2413"/>
      <c r="F1" s="2415" t="s">
        <v>2120</v>
      </c>
      <c r="G1" s="2065" t="s">
        <v>3052</v>
      </c>
      <c r="H1" s="2416" t="str">
        <f>IF(G1="现房","——","估价对象范围")</f>
        <v>——</v>
      </c>
      <c r="I1" s="2417" t="s">
        <v>3705</v>
      </c>
    </row>
    <row r="2" spans="1:12" ht="21.75" customHeight="1" thickBot="1">
      <c r="A2" s="3194" t="str">
        <f>项目基本情况!S2</f>
        <v>北京市通州区临河里1号楼1-3层商业用房、1单元4-18层办公用房房地产</v>
      </c>
      <c r="B2" s="3195"/>
      <c r="C2" s="3195"/>
      <c r="D2" s="3195"/>
      <c r="E2" s="3195"/>
      <c r="F2" s="3195"/>
      <c r="G2" s="3195"/>
      <c r="H2" s="3195"/>
      <c r="I2" s="3196"/>
    </row>
    <row r="3" spans="1:12" ht="12.75">
      <c r="A3" s="3197" t="s">
        <v>2121</v>
      </c>
      <c r="B3" s="3198"/>
      <c r="C3" s="3198"/>
      <c r="D3" s="3198"/>
      <c r="E3" s="3198"/>
      <c r="F3" s="3198"/>
      <c r="G3" s="3198"/>
      <c r="H3" s="3198"/>
      <c r="I3" s="3198"/>
    </row>
    <row r="4" spans="1:12" ht="14.25">
      <c r="A4" s="2420" t="s">
        <v>2122</v>
      </c>
      <c r="B4" s="2421" t="s">
        <v>2123</v>
      </c>
      <c r="C4" s="2422" t="s">
        <v>4109</v>
      </c>
      <c r="D4" s="2422" t="s">
        <v>3076</v>
      </c>
      <c r="E4" s="3178" t="s">
        <v>2124</v>
      </c>
      <c r="F4" s="3191"/>
      <c r="G4" s="3191"/>
      <c r="H4" s="3191"/>
      <c r="I4" s="3179"/>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9" t="s">
        <v>2125</v>
      </c>
      <c r="B5" s="3095">
        <v>25</v>
      </c>
      <c r="C5" s="3199"/>
      <c r="D5" s="3187"/>
      <c r="E5" s="140" t="s">
        <v>2126</v>
      </c>
      <c r="F5" s="2424"/>
      <c r="G5" s="2424"/>
      <c r="H5" s="2424"/>
      <c r="I5" s="1829"/>
    </row>
    <row r="6" spans="1:12" ht="12.75">
      <c r="A6" s="3169"/>
      <c r="B6" s="3095"/>
      <c r="C6" s="3201"/>
      <c r="D6" s="3187"/>
      <c r="E6" s="140" t="s">
        <v>2127</v>
      </c>
      <c r="F6" s="2424"/>
      <c r="G6" s="2424"/>
      <c r="H6" s="2424"/>
      <c r="I6" s="1829"/>
    </row>
    <row r="7" spans="1:12" ht="12.75">
      <c r="A7" s="3169"/>
      <c r="B7" s="3095"/>
      <c r="C7" s="3200"/>
      <c r="D7" s="3187"/>
      <c r="E7" s="140" t="s">
        <v>2128</v>
      </c>
      <c r="F7" s="2424"/>
      <c r="G7" s="2424"/>
      <c r="H7" s="2424"/>
      <c r="I7" s="1829"/>
    </row>
    <row r="8" spans="1:12" ht="12.75">
      <c r="A8" s="3169" t="s">
        <v>2129</v>
      </c>
      <c r="B8" s="3095">
        <v>15</v>
      </c>
      <c r="C8" s="3199"/>
      <c r="D8" s="3187"/>
      <c r="E8" s="140" t="s">
        <v>2130</v>
      </c>
      <c r="F8" s="2424"/>
      <c r="G8" s="2424"/>
      <c r="H8" s="2424"/>
      <c r="I8" s="1829"/>
    </row>
    <row r="9" spans="1:12" ht="12.75">
      <c r="A9" s="3169"/>
      <c r="B9" s="3095"/>
      <c r="C9" s="3200"/>
      <c r="D9" s="3187"/>
      <c r="E9" s="140" t="s">
        <v>2131</v>
      </c>
      <c r="F9" s="2424"/>
      <c r="G9" s="2424"/>
      <c r="H9" s="2424"/>
      <c r="I9" s="1829"/>
    </row>
    <row r="10" spans="1:12" ht="12.75">
      <c r="A10" s="3169" t="s">
        <v>2132</v>
      </c>
      <c r="B10" s="3095">
        <v>15</v>
      </c>
      <c r="C10" s="3199"/>
      <c r="D10" s="3187"/>
      <c r="E10" s="140" t="s">
        <v>2133</v>
      </c>
      <c r="F10" s="2424"/>
      <c r="G10" s="2424"/>
      <c r="H10" s="2424"/>
      <c r="I10" s="1829"/>
    </row>
    <row r="11" spans="1:12" ht="12.75">
      <c r="A11" s="3169"/>
      <c r="B11" s="3095"/>
      <c r="C11" s="3200"/>
      <c r="D11" s="3187"/>
      <c r="E11" s="140" t="s">
        <v>2134</v>
      </c>
      <c r="F11" s="2424"/>
      <c r="G11" s="2424"/>
      <c r="H11" s="2424"/>
      <c r="I11" s="1829"/>
    </row>
    <row r="12" spans="1:12" ht="12.75">
      <c r="A12" s="3169" t="s">
        <v>2135</v>
      </c>
      <c r="B12" s="3095">
        <v>15</v>
      </c>
      <c r="C12" s="3199"/>
      <c r="D12" s="3187"/>
      <c r="E12" s="140" t="s">
        <v>2136</v>
      </c>
      <c r="F12" s="2424"/>
      <c r="G12" s="2424"/>
      <c r="H12" s="2424"/>
      <c r="I12" s="1829"/>
    </row>
    <row r="13" spans="1:12" ht="12.75">
      <c r="A13" s="3169"/>
      <c r="B13" s="3095"/>
      <c r="C13" s="3200"/>
      <c r="D13" s="3187"/>
      <c r="E13" s="140" t="s">
        <v>2137</v>
      </c>
      <c r="F13" s="2424"/>
      <c r="G13" s="2424"/>
      <c r="H13" s="2424"/>
      <c r="I13" s="1829"/>
    </row>
    <row r="14" spans="1:12" ht="12.75">
      <c r="A14" s="3169" t="s">
        <v>2138</v>
      </c>
      <c r="B14" s="3095">
        <v>30</v>
      </c>
      <c r="C14" s="3199">
        <v>8</v>
      </c>
      <c r="D14" s="3187">
        <v>2</v>
      </c>
      <c r="E14" s="140" t="s">
        <v>2139</v>
      </c>
      <c r="F14" s="2424"/>
      <c r="G14" s="2424"/>
      <c r="H14" s="2424"/>
      <c r="I14" s="1829"/>
    </row>
    <row r="15" spans="1:12" ht="12.75">
      <c r="A15" s="3169"/>
      <c r="B15" s="3095"/>
      <c r="C15" s="3201"/>
      <c r="D15" s="3187"/>
      <c r="E15" s="140" t="s">
        <v>2140</v>
      </c>
      <c r="F15" s="2424"/>
      <c r="G15" s="2424"/>
      <c r="H15" s="2424"/>
      <c r="I15" s="1829"/>
    </row>
    <row r="16" spans="1:12" ht="12.75">
      <c r="A16" s="3169"/>
      <c r="B16" s="3095"/>
      <c r="C16" s="3200"/>
      <c r="D16" s="3187"/>
      <c r="E16" s="140" t="s">
        <v>2141</v>
      </c>
      <c r="F16" s="2424"/>
      <c r="G16" s="2424"/>
      <c r="H16" s="2424"/>
      <c r="I16" s="1829"/>
    </row>
    <row r="17" spans="1:35" ht="15">
      <c r="A17" s="2425" t="s">
        <v>2142</v>
      </c>
      <c r="B17" s="64"/>
      <c r="C17" s="141">
        <f>SUM(C5:C16)</f>
        <v>8</v>
      </c>
      <c r="D17" s="141">
        <f>SUM(D5:D16)</f>
        <v>2</v>
      </c>
      <c r="E17" s="138"/>
      <c r="F17" s="138"/>
      <c r="G17" s="138"/>
      <c r="H17" s="138"/>
      <c r="I17" s="138"/>
      <c r="K17" s="2423"/>
      <c r="L17" s="2426" t="s">
        <v>2143</v>
      </c>
      <c r="M17" s="2426" t="s">
        <v>2144</v>
      </c>
    </row>
    <row r="18" spans="1:35" ht="15.75" thickBot="1">
      <c r="A18" s="2427" t="s">
        <v>2145</v>
      </c>
      <c r="B18" s="2428"/>
      <c r="C18" s="142">
        <f>ROUND(C17/SUM(C17:D17),2)</f>
        <v>0.8</v>
      </c>
      <c r="D18" s="142">
        <f>1-C18</f>
        <v>0.19999999999999996</v>
      </c>
      <c r="E18" s="138"/>
      <c r="F18" s="138"/>
      <c r="G18" s="138"/>
      <c r="H18" s="138"/>
      <c r="I18" s="138"/>
      <c r="K18" s="2423" t="s">
        <v>2146</v>
      </c>
      <c r="L18" s="2423">
        <f>IF(C1="",'数据-汇总表'!E3,SUMIF(项目类型,C1,'数据-汇总表'!E17:E26)+SUMIF(项目类型,C1,'数据-汇总表'!I17:I26))</f>
        <v>28249.879999999972</v>
      </c>
      <c r="M18" s="2423">
        <f>IF(C1="",'数据-汇总表'!E3,SUMIF(项目类型,C1,'数据-汇总表'!E17:E26))</f>
        <v>28249.879999999972</v>
      </c>
    </row>
    <row r="19" spans="1:35" ht="15">
      <c r="A19" s="2429" t="s">
        <v>2147</v>
      </c>
      <c r="B19" s="2430" t="s">
        <v>2148</v>
      </c>
      <c r="C19" s="143">
        <f ca="1">SUMIF(INDIRECT("'"&amp;C4&amp;"'"&amp;"!A:A"),'结果表-办公'!B19,INDIRECT("'"&amp;C4&amp;"'"&amp;"!B:B"))</f>
        <v>426</v>
      </c>
      <c r="D19" s="144">
        <f ca="1">SUMIF(INDIRECT("'"&amp;D4&amp;"'"&amp;"!A:A"),'结果表-办公'!B19,INDIRECT("'"&amp;D4&amp;"'"&amp;"!B:B"))</f>
        <v>323</v>
      </c>
      <c r="E19" s="2429" t="s">
        <v>2149</v>
      </c>
      <c r="F19" s="2430" t="s">
        <v>2148</v>
      </c>
      <c r="G19" s="145">
        <f ca="1">ROUND(C19*$C$18+D19*$D$18,0)</f>
        <v>405</v>
      </c>
      <c r="H19" s="2431" t="s">
        <v>2150</v>
      </c>
      <c r="I19" s="138"/>
      <c r="K19" s="2423" t="s">
        <v>2151</v>
      </c>
      <c r="L19" s="2423">
        <f>IF(C1="",'数据-汇总表'!D3,SUMIF(项目类型,C1,'数据-汇总表'!D17:D26)+SUMIF(项目类型,C1,'数据-汇总表'!H17:H27))</f>
        <v>8071.4</v>
      </c>
      <c r="M19" s="2423">
        <f>IF(C1="",'数据-汇总表'!D3,SUMIF(项目类型,C1,'数据-汇总表'!D17:D26))</f>
        <v>8071.4</v>
      </c>
    </row>
    <row r="20" spans="1:35" ht="15">
      <c r="A20" s="2432"/>
      <c r="B20" s="1246" t="s">
        <v>2152</v>
      </c>
      <c r="C20" s="146">
        <f ca="1">SUMIF(INDIRECT("'"&amp;C4&amp;"'"&amp;"!A:A"),'结果表-办公'!B20,INDIRECT("'"&amp;C4&amp;"'"&amp;"!B:B"))</f>
        <v>39884</v>
      </c>
      <c r="D20" s="147">
        <f ca="1">SUMIF(INDIRECT("'"&amp;D4&amp;"'"&amp;"!A:A"),'结果表-办公'!B20,INDIRECT("'"&amp;D4&amp;"'"&amp;"!B:B"))</f>
        <v>30243</v>
      </c>
      <c r="E20" s="2432"/>
      <c r="F20" s="1246" t="s">
        <v>2152</v>
      </c>
      <c r="G20" s="148">
        <f ca="1">ROUND(C20*$C$18+D20*$D$18,0)</f>
        <v>37956</v>
      </c>
      <c r="H20" s="979" t="s">
        <v>2153</v>
      </c>
      <c r="I20" s="138"/>
    </row>
    <row r="21" spans="1:35" ht="15" customHeight="1" thickBot="1">
      <c r="A21" s="999"/>
      <c r="B21" s="2433" t="s">
        <v>2154</v>
      </c>
      <c r="C21" s="788">
        <f ca="1">ROUND(C19*10000/L19,0)</f>
        <v>528</v>
      </c>
      <c r="D21" s="789">
        <f ca="1">ROUND(D19*10000/L19,0)</f>
        <v>400</v>
      </c>
      <c r="E21" s="999"/>
      <c r="F21" s="2433" t="s">
        <v>2154</v>
      </c>
      <c r="G21" s="149">
        <f ca="1">ROUND(G19*10000/L19,0)</f>
        <v>502</v>
      </c>
      <c r="H21" s="2434" t="s">
        <v>2153</v>
      </c>
      <c r="I21" s="138"/>
    </row>
    <row r="22" spans="1:35" ht="15" thickBot="1">
      <c r="A22" s="2275" t="s">
        <v>2155</v>
      </c>
      <c r="B22" s="2435"/>
      <c r="C22" s="2436"/>
      <c r="D22" s="790">
        <f ca="1">IF(C19&lt;D19,D19/C19-1,C19/D19-1)</f>
        <v>0.31888544891640858</v>
      </c>
      <c r="E22" s="138"/>
      <c r="F22" s="138"/>
      <c r="G22" s="138"/>
      <c r="H22" s="138"/>
      <c r="I22" s="138"/>
    </row>
    <row r="23" spans="1:35" ht="13.5" thickBot="1">
      <c r="A23" s="2413"/>
      <c r="B23" s="2413"/>
      <c r="C23" s="2413"/>
      <c r="D23" s="2413"/>
      <c r="E23" s="138"/>
      <c r="F23" s="138"/>
      <c r="G23" s="138"/>
      <c r="H23" s="138"/>
      <c r="I23" s="138"/>
    </row>
    <row r="24" spans="1:35" ht="14.25">
      <c r="A24" s="3208" t="s">
        <v>2156</v>
      </c>
      <c r="B24" s="2430" t="s">
        <v>2148</v>
      </c>
      <c r="C24" s="145">
        <f>IF(B30=0,0,D30)</f>
        <v>0</v>
      </c>
      <c r="D24" s="2437"/>
      <c r="E24" s="138"/>
      <c r="F24" s="138"/>
      <c r="G24" s="138"/>
      <c r="H24" s="138"/>
      <c r="I24" s="138"/>
    </row>
    <row r="25" spans="1:35" ht="14.25">
      <c r="A25" s="3209"/>
      <c r="B25" s="1246"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c r="C30" s="151"/>
      <c r="D30" s="151"/>
      <c r="E30" s="2922" t="s">
        <v>3033</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2162</v>
      </c>
      <c r="B32" s="2443"/>
      <c r="C32" s="153">
        <f ca="1">IF(D32="总价",G19-C24,G20-C25)</f>
        <v>405</v>
      </c>
      <c r="D32" s="2444" t="s">
        <v>2163</v>
      </c>
      <c r="E32" s="138"/>
      <c r="F32" s="138"/>
      <c r="G32" s="138"/>
      <c r="H32" s="138"/>
      <c r="I32" s="138"/>
    </row>
    <row r="33" spans="1:15" ht="15">
      <c r="A33" s="956" t="s">
        <v>2164</v>
      </c>
      <c r="B33" s="2445"/>
      <c r="C33" s="2446" t="s">
        <v>3137</v>
      </c>
      <c r="D33" s="2447" t="s">
        <v>3102</v>
      </c>
      <c r="E33" s="2448" t="s">
        <v>2165</v>
      </c>
      <c r="F33" s="2971" t="str">
        <f>IF(D32="楼面单价","取值（单价）","取值（总价）")</f>
        <v>取值（总价）</v>
      </c>
      <c r="G33" s="138"/>
      <c r="H33" s="138"/>
      <c r="I33" s="138"/>
    </row>
    <row r="34" spans="1:15" ht="15">
      <c r="A34" s="2450"/>
      <c r="B34" s="2451" t="s">
        <v>2166</v>
      </c>
      <c r="C34" s="157">
        <f ca="1">IF(C33="自定义",F34,C32-C35)</f>
        <v>324</v>
      </c>
      <c r="D34" s="1054">
        <f ca="1">IF(C33="自定义",ROUND(C34/C32,3),IF(C33="收益比率",SUMIF(INDIRECT("'"&amp;D33&amp;"'"&amp;"!b:b"),"土地收益比率",INDIRECT("'"&amp;D33&amp;"'"&amp;"!c:c")),SUMIF(INDIRECT("'"&amp;D33&amp;"'"&amp;"!b:b"),"土地成本比率",INDIRECT("'"&amp;D33&amp;"'"&amp;"!c:c"))))</f>
        <v>0.80099999999999993</v>
      </c>
      <c r="E34" s="2452" t="s">
        <v>2167</v>
      </c>
      <c r="F34" s="1734"/>
      <c r="G34" s="138"/>
      <c r="H34" s="138"/>
      <c r="I34" s="138"/>
    </row>
    <row r="35" spans="1:15" ht="15.75" thickBot="1">
      <c r="A35" s="2453"/>
      <c r="B35" s="2454" t="s">
        <v>2168</v>
      </c>
      <c r="C35" s="1440">
        <f ca="1">IF(C33="自定义",F35,ROUND(C32*D35,0))</f>
        <v>81</v>
      </c>
      <c r="D35" s="1441">
        <f ca="1">IF(C33="自定义",ROUND(C35/C32,3),IF(C33="收益比率",SUMIF(INDIRECT("'"&amp;D33&amp;"'"&amp;"!b:b"),"建筑物收益比率",INDIRECT("'"&amp;D33&amp;"'"&amp;"!c:c")),SUMIF(INDIRECT("'"&amp;D33&amp;"'"&amp;"!b:b"),"建筑物成本比率",INDIRECT("'"&amp;D33&amp;"'"&amp;"!c:c"))))</f>
        <v>0.19900000000000001</v>
      </c>
      <c r="E35" s="2455" t="s">
        <v>2169</v>
      </c>
      <c r="F35" s="163"/>
      <c r="G35" s="138"/>
      <c r="H35" s="138"/>
      <c r="I35" s="138"/>
    </row>
    <row r="36" spans="1:15" ht="15.75" thickBot="1">
      <c r="A36" s="3188" t="s">
        <v>2170</v>
      </c>
      <c r="B36" s="2456" t="s">
        <v>2171</v>
      </c>
      <c r="C36" s="154"/>
      <c r="D36" s="2457"/>
      <c r="E36" s="2458"/>
      <c r="F36" s="2459"/>
      <c r="G36" s="138"/>
      <c r="H36" s="138"/>
      <c r="I36" s="138"/>
    </row>
    <row r="37" spans="1:15" ht="15.75" thickBot="1">
      <c r="A37" s="3189"/>
      <c r="B37" s="2261" t="s">
        <v>2172</v>
      </c>
      <c r="C37" s="156"/>
      <c r="D37" s="1391"/>
      <c r="E37" s="1391"/>
      <c r="F37" s="2459"/>
      <c r="G37" s="138"/>
      <c r="H37" s="138"/>
      <c r="I37" s="138"/>
    </row>
    <row r="38" spans="1:15" ht="15.75" thickBot="1">
      <c r="A38" s="3190"/>
      <c r="B38" s="2460" t="s">
        <v>2173</v>
      </c>
      <c r="C38" s="726"/>
      <c r="D38" s="2461" t="s">
        <v>2174</v>
      </c>
      <c r="E38" s="1391"/>
      <c r="F38" s="2459"/>
      <c r="G38" s="138"/>
      <c r="H38" s="138"/>
      <c r="I38" s="138"/>
    </row>
    <row r="39" spans="1:15" ht="15">
      <c r="A39" s="2432" t="s">
        <v>2175</v>
      </c>
      <c r="B39" s="2462" t="s">
        <v>2158</v>
      </c>
      <c r="C39" s="2463" t="s">
        <v>2159</v>
      </c>
      <c r="D39" s="2463" t="s">
        <v>2178</v>
      </c>
      <c r="E39" s="2464" t="s">
        <v>2160</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205" t="s">
        <v>2184</v>
      </c>
      <c r="B45" s="3206"/>
      <c r="C45" s="3207"/>
      <c r="D45" s="164">
        <f ca="1">ROUND(H101*F45,0)</f>
        <v>405</v>
      </c>
      <c r="E45" s="165" t="s">
        <v>2185</v>
      </c>
      <c r="F45" s="166">
        <v>1</v>
      </c>
      <c r="G45" s="167" t="s">
        <v>2186</v>
      </c>
      <c r="H45" s="138"/>
      <c r="I45" s="138"/>
      <c r="J45" s="3124" t="s">
        <v>2187</v>
      </c>
      <c r="K45" s="3124"/>
      <c r="L45" s="3124"/>
      <c r="M45" s="3124"/>
      <c r="N45" s="3124"/>
      <c r="O45" s="3124"/>
    </row>
    <row r="46" spans="1:15" ht="14.25" customHeight="1">
      <c r="A46" s="3202" t="s">
        <v>2188</v>
      </c>
      <c r="B46" s="3203"/>
      <c r="C46" s="3203"/>
      <c r="D46" s="3203"/>
      <c r="E46" s="3203"/>
      <c r="F46" s="3203"/>
      <c r="G46" s="3204"/>
      <c r="H46" s="2475"/>
      <c r="I46" s="168"/>
      <c r="J46" s="2981">
        <v>1</v>
      </c>
      <c r="K46" s="3124" t="s">
        <v>2189</v>
      </c>
      <c r="L46" s="3124"/>
      <c r="M46" s="3125"/>
      <c r="N46" s="3125"/>
      <c r="O46" s="3125"/>
    </row>
    <row r="47" spans="1:15" ht="12" customHeight="1">
      <c r="A47" s="169" t="s">
        <v>2190</v>
      </c>
      <c r="B47" s="170"/>
      <c r="C47" s="171"/>
      <c r="D47" s="172" t="s">
        <v>2191</v>
      </c>
      <c r="E47" s="24" t="s">
        <v>2192</v>
      </c>
      <c r="F47" s="173" t="s">
        <v>2193</v>
      </c>
      <c r="G47" s="174" t="s">
        <v>2194</v>
      </c>
      <c r="H47" s="2475"/>
      <c r="I47" s="168"/>
      <c r="J47" s="2981">
        <v>2</v>
      </c>
      <c r="K47" s="3124" t="s">
        <v>2195</v>
      </c>
      <c r="L47" s="3124"/>
      <c r="M47" s="3126">
        <f>'数据-取费表'!B2</f>
        <v>43228</v>
      </c>
      <c r="N47" s="3126"/>
      <c r="O47" s="3126"/>
    </row>
    <row r="48" spans="1:15" ht="25.5">
      <c r="A48" s="3192" t="s">
        <v>2196</v>
      </c>
      <c r="B48" s="3193"/>
      <c r="C48" s="3193"/>
      <c r="D48" s="140">
        <f>IF(H48="情况1",0,IF(H48="情况2",D52,IF(H48="情况3",D53,IF(H48="情况4",D54))))</f>
        <v>0</v>
      </c>
      <c r="E48" s="2975" t="str">
        <f>IF(H48="情况4","(销售额-原购置价)×税（费）率","销售额×税（费）率")</f>
        <v>销售额×税（费）率</v>
      </c>
      <c r="F48" s="175" t="str">
        <f>IF(H48="情况1","免征",'数据-取费表'!B41)</f>
        <v>免征</v>
      </c>
      <c r="G48" s="2476" t="s">
        <v>2197</v>
      </c>
      <c r="H48" s="2477" t="s">
        <v>2198</v>
      </c>
      <c r="I48" s="2475"/>
      <c r="J48" s="2981">
        <v>3</v>
      </c>
      <c r="K48" s="3124" t="s">
        <v>2199</v>
      </c>
      <c r="L48" s="3124"/>
      <c r="M48" s="3127">
        <f ca="1">H101</f>
        <v>405</v>
      </c>
      <c r="N48" s="3127"/>
      <c r="O48" s="3127"/>
    </row>
    <row r="49" spans="1:35" ht="25.5" customHeight="1">
      <c r="A49" s="176" t="s">
        <v>2200</v>
      </c>
      <c r="B49" s="3172" t="s">
        <v>2201</v>
      </c>
      <c r="C49" s="3172"/>
      <c r="D49" s="177">
        <v>0</v>
      </c>
      <c r="E49" s="23" t="s">
        <v>2202</v>
      </c>
      <c r="F49" s="28" t="s">
        <v>34</v>
      </c>
      <c r="G49" s="3153"/>
      <c r="H49" s="138"/>
      <c r="I49" s="2478"/>
      <c r="J49" s="2981">
        <v>4</v>
      </c>
      <c r="K49" s="3124" t="str">
        <f>IF(项目基本情况!E8="房地产抵押价值","房地产抵押价值","抵押担保权已注销时的房地产抵押价值")</f>
        <v>抵押担保权已注销时的房地产抵押价值</v>
      </c>
      <c r="L49" s="3124"/>
      <c r="M49" s="3127">
        <f ca="1">IF(项目基本情况!E8="房地产抵押价值",H107,H109)</f>
        <v>405</v>
      </c>
      <c r="N49" s="3127"/>
      <c r="O49" s="3127"/>
    </row>
    <row r="50" spans="1:35" ht="25.5" customHeight="1">
      <c r="A50" s="178"/>
      <c r="B50" s="3172" t="s">
        <v>2203</v>
      </c>
      <c r="C50" s="3172"/>
      <c r="D50" s="179"/>
      <c r="E50" s="31"/>
      <c r="F50" s="180"/>
      <c r="G50" s="3154"/>
      <c r="H50" s="138"/>
      <c r="I50" s="2478"/>
      <c r="J50" s="3124" t="s">
        <v>2204</v>
      </c>
      <c r="K50" s="3124"/>
      <c r="L50" s="3124"/>
      <c r="M50" s="3124"/>
      <c r="N50" s="3124"/>
      <c r="O50" s="3124"/>
    </row>
    <row r="51" spans="1:35" ht="12" customHeight="1">
      <c r="A51" s="181"/>
      <c r="B51" s="3172" t="s">
        <v>2205</v>
      </c>
      <c r="C51" s="3172"/>
      <c r="D51" s="182"/>
      <c r="E51" s="30"/>
      <c r="F51" s="180"/>
      <c r="G51" s="3155"/>
      <c r="H51" s="138"/>
      <c r="I51" s="2478"/>
      <c r="J51" s="2980" t="s">
        <v>2206</v>
      </c>
      <c r="K51" s="3124" t="s">
        <v>2207</v>
      </c>
      <c r="L51" s="3124"/>
      <c r="M51" s="2980" t="s">
        <v>2208</v>
      </c>
      <c r="N51" s="2980" t="s">
        <v>2209</v>
      </c>
      <c r="O51" s="2980" t="s">
        <v>2210</v>
      </c>
    </row>
    <row r="52" spans="1:35" ht="24" customHeight="1">
      <c r="A52" s="183" t="s">
        <v>2211</v>
      </c>
      <c r="B52" s="3172" t="s">
        <v>2212</v>
      </c>
      <c r="C52" s="3172"/>
      <c r="D52" s="182">
        <f ca="1">ROUND(D45*'数据-取费表'!B41/(1+'数据-取费表'!C42),0)</f>
        <v>22</v>
      </c>
      <c r="E52" s="11" t="s">
        <v>2213</v>
      </c>
      <c r="F52" s="184">
        <f>'数据-取费表'!B41</f>
        <v>5.6000000000000001E-2</v>
      </c>
      <c r="G52" s="2480"/>
      <c r="H52" s="138"/>
      <c r="I52" s="2478"/>
      <c r="J52" s="2981">
        <v>1</v>
      </c>
      <c r="K52" s="3147" t="s">
        <v>2214</v>
      </c>
      <c r="L52" s="3147"/>
      <c r="M52" s="1749">
        <f>D48</f>
        <v>0</v>
      </c>
      <c r="N52" s="2981" t="str">
        <f>E48</f>
        <v>销售额×税（费）率</v>
      </c>
      <c r="O52" s="1750" t="str">
        <f>F48</f>
        <v>免征</v>
      </c>
    </row>
    <row r="53" spans="1:35" ht="12" customHeight="1">
      <c r="A53" s="183" t="s">
        <v>2215</v>
      </c>
      <c r="B53" s="3173" t="s">
        <v>2216</v>
      </c>
      <c r="C53" s="3174"/>
      <c r="D53" s="182">
        <f ca="1">ROUND(D45*'数据-取费表'!B41/(1+'数据-取费表'!C42),0)</f>
        <v>22</v>
      </c>
      <c r="E53" s="11" t="s">
        <v>2213</v>
      </c>
      <c r="F53" s="184">
        <f>'数据-取费表'!B41</f>
        <v>5.6000000000000001E-2</v>
      </c>
      <c r="G53" s="2480"/>
      <c r="H53" s="138"/>
      <c r="I53" s="2478"/>
      <c r="J53" s="2981">
        <v>2</v>
      </c>
      <c r="K53" s="3147" t="s">
        <v>2217</v>
      </c>
      <c r="L53" s="3147"/>
      <c r="M53" s="1749">
        <f t="shared" ref="M53:O54" ca="1" si="0">D55</f>
        <v>0</v>
      </c>
      <c r="N53" s="2981" t="str">
        <f t="shared" si="0"/>
        <v>销售额×税（费）率</v>
      </c>
      <c r="O53" s="1750">
        <f t="shared" si="0"/>
        <v>5.0000000000000001E-4</v>
      </c>
    </row>
    <row r="54" spans="1:35" ht="12" customHeight="1">
      <c r="A54" s="183" t="s">
        <v>2218</v>
      </c>
      <c r="B54" s="3173" t="s">
        <v>2219</v>
      </c>
      <c r="C54" s="3174"/>
      <c r="D54" s="182">
        <f ca="1">C68</f>
        <v>22</v>
      </c>
      <c r="E54" s="30" t="s">
        <v>2220</v>
      </c>
      <c r="F54" s="184">
        <f>'数据-取费表'!B41</f>
        <v>5.6000000000000001E-2</v>
      </c>
      <c r="G54" s="2480"/>
      <c r="H54" s="2481"/>
      <c r="I54" s="2478"/>
      <c r="J54" s="2981">
        <v>3</v>
      </c>
      <c r="K54" s="3147" t="s">
        <v>2221</v>
      </c>
      <c r="L54" s="3147"/>
      <c r="M54" s="1749">
        <f t="shared" ca="1" si="0"/>
        <v>230</v>
      </c>
      <c r="N54" s="2981" t="str">
        <f t="shared" si="0"/>
        <v>增值额×税（费）率</v>
      </c>
      <c r="O54" s="1751" t="str">
        <f t="shared" si="0"/>
        <v>——</v>
      </c>
    </row>
    <row r="55" spans="1:35" ht="24" customHeight="1">
      <c r="A55" s="3211" t="s">
        <v>2222</v>
      </c>
      <c r="B55" s="3193"/>
      <c r="C55" s="3193"/>
      <c r="D55" s="185">
        <f ca="1">IF(H55="个人住宅",0,ROUND(D45*I55,0))</f>
        <v>0</v>
      </c>
      <c r="E55" s="11" t="s">
        <v>2223</v>
      </c>
      <c r="F55" s="184">
        <f>IF(H55="正常",I55,"免征")</f>
        <v>5.0000000000000001E-4</v>
      </c>
      <c r="G55" s="2480"/>
      <c r="H55" s="2477" t="s">
        <v>2224</v>
      </c>
      <c r="I55" s="186">
        <f>'数据-取费表'!B49</f>
        <v>5.0000000000000001E-4</v>
      </c>
      <c r="J55" s="2981" t="str">
        <f>IF(H59="非个人房产","",4)</f>
        <v/>
      </c>
      <c r="K55" s="3147" t="str">
        <f>IF(H59="非个人房产","——","个人所得税")</f>
        <v>——</v>
      </c>
      <c r="L55" s="3147"/>
      <c r="M55" s="1752" t="str">
        <f>D59</f>
        <v>——</v>
      </c>
      <c r="N55" s="2982" t="str">
        <f>E59</f>
        <v>——</v>
      </c>
      <c r="O55" s="1753" t="str">
        <f>F59</f>
        <v>——</v>
      </c>
    </row>
    <row r="56" spans="1:35" ht="24.75">
      <c r="A56" s="3211" t="s">
        <v>2225</v>
      </c>
      <c r="B56" s="3193"/>
      <c r="C56" s="3193"/>
      <c r="D56" s="185">
        <f ca="1">IF(H56="个人住宅",D57,D58)</f>
        <v>230</v>
      </c>
      <c r="E56" s="11" t="s">
        <v>2226</v>
      </c>
      <c r="F56" s="184" t="str">
        <f>IF(H56="正常",F58,"免征")</f>
        <v>——</v>
      </c>
      <c r="G56" s="2482" t="s">
        <v>2227</v>
      </c>
      <c r="H56" s="2483" t="s">
        <v>2224</v>
      </c>
      <c r="I56" s="2484"/>
      <c r="J56" s="2981" t="str">
        <f>IF(项目基本情况!K6="上海银行",IF(J55="",4,J55+1),"")</f>
        <v/>
      </c>
      <c r="K56" s="3130" t="str">
        <f>IF(项目基本情况!K6="上海银行","其他处置费用","")</f>
        <v/>
      </c>
      <c r="L56" s="3131"/>
      <c r="M56" s="1749" t="str">
        <f>IF(项目基本情况!K6="上海银行",M69,"")</f>
        <v/>
      </c>
      <c r="N56" s="3133" t="str">
        <f>IF(项目基本情况!K6="上海银行","包含处置中涉及的律师、诉讼、拍卖、评估等费用","")</f>
        <v/>
      </c>
      <c r="O56" s="3134"/>
    </row>
    <row r="57" spans="1:35" ht="12.75">
      <c r="A57" s="183" t="s">
        <v>2200</v>
      </c>
      <c r="B57" s="3178" t="s">
        <v>2228</v>
      </c>
      <c r="C57" s="3179"/>
      <c r="D57" s="187">
        <v>0</v>
      </c>
      <c r="E57" s="23" t="s">
        <v>2202</v>
      </c>
      <c r="F57" s="155"/>
      <c r="G57" s="2480"/>
      <c r="H57" s="2484"/>
      <c r="I57" s="2484"/>
      <c r="J57" s="3147">
        <f>IF(AND(J55="",J56=""),4,IF(项目基本情况!K6="上海银行",'结果表-办公'!J56+1,'结果表-办公'!J55+1))</f>
        <v>4</v>
      </c>
      <c r="K57" s="3147" t="s">
        <v>2229</v>
      </c>
      <c r="L57" s="2485" t="s">
        <v>2230</v>
      </c>
      <c r="M57" s="1754"/>
      <c r="N57" s="1755">
        <f ca="1">SUMIF(M52:M56,"&lt;9e307")</f>
        <v>230</v>
      </c>
      <c r="O57" s="2486"/>
      <c r="P57" s="1748">
        <f ca="1">N57/M49</f>
        <v>0.5679012345679012</v>
      </c>
    </row>
    <row r="58" spans="1:35" ht="24.75">
      <c r="A58" s="183" t="s">
        <v>2211</v>
      </c>
      <c r="B58" s="3178" t="s">
        <v>2231</v>
      </c>
      <c r="C58" s="3191"/>
      <c r="D58" s="185">
        <f ca="1">IF(H58="转让取得",C81,C97)</f>
        <v>230</v>
      </c>
      <c r="E58" s="11" t="s">
        <v>2226</v>
      </c>
      <c r="F58" s="24" t="s">
        <v>34</v>
      </c>
      <c r="G58" s="2480"/>
      <c r="H58" s="2483" t="s">
        <v>2232</v>
      </c>
      <c r="I58" s="2484"/>
      <c r="J58" s="3147"/>
      <c r="K58" s="3147"/>
      <c r="L58" s="2485" t="s">
        <v>2233</v>
      </c>
      <c r="M58" s="1756"/>
      <c r="N58" s="2487" t="str">
        <f ca="1">NUMBERSTRING(INT(N57*10000),2)&amp;"元整"</f>
        <v>贰佰叁拾万元整</v>
      </c>
      <c r="O58" s="2488"/>
    </row>
    <row r="59" spans="1:35" ht="24.75" thickBot="1">
      <c r="A59" s="3151" t="s">
        <v>2234</v>
      </c>
      <c r="B59" s="3152"/>
      <c r="C59" s="3152"/>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149">
        <f>J57+1</f>
        <v>5</v>
      </c>
      <c r="K59" s="3147" t="s">
        <v>2236</v>
      </c>
      <c r="L59" s="2981" t="s">
        <v>2230</v>
      </c>
      <c r="M59" s="1757"/>
      <c r="N59" s="1758">
        <f ca="1">M49-N57</f>
        <v>175</v>
      </c>
      <c r="O59" s="2490"/>
    </row>
    <row r="60" spans="1:35" ht="12" customHeight="1">
      <c r="A60" s="2491"/>
      <c r="B60" s="2413"/>
      <c r="C60" s="2413"/>
      <c r="D60" s="2413"/>
      <c r="E60" s="2161"/>
      <c r="F60" s="2484"/>
      <c r="G60" s="2484"/>
      <c r="H60" s="2492"/>
      <c r="I60" s="138"/>
      <c r="J60" s="3150"/>
      <c r="K60" s="3147"/>
      <c r="L60" s="2485" t="s">
        <v>2233</v>
      </c>
      <c r="M60" s="1756"/>
      <c r="N60" s="2487" t="str">
        <f ca="1">NUMBERSTRING(INT(N59*10000),2)&amp;"元整"</f>
        <v>壹佰柒拾伍万元整</v>
      </c>
      <c r="O60" s="2488"/>
    </row>
    <row r="61" spans="1:35" ht="13.5" thickBot="1">
      <c r="A61" s="3210" t="s">
        <v>2237</v>
      </c>
      <c r="B61" s="3210"/>
      <c r="C61" s="3210"/>
      <c r="D61" s="3210"/>
      <c r="E61" s="3210"/>
      <c r="F61" s="2484"/>
      <c r="G61" s="2484"/>
      <c r="H61" s="2492"/>
      <c r="I61" s="138"/>
      <c r="J61" s="2981">
        <f>J59+1</f>
        <v>6</v>
      </c>
      <c r="K61" s="3147" t="s">
        <v>2238</v>
      </c>
      <c r="L61" s="3147"/>
      <c r="M61" s="1759"/>
      <c r="N61" s="1760">
        <f ca="1">ROUND(N59*10000/'数据-汇总表'!E3,0)</f>
        <v>41</v>
      </c>
      <c r="O61" s="2493"/>
    </row>
    <row r="62" spans="1:35" ht="12.75">
      <c r="A62" s="3167" t="s">
        <v>2239</v>
      </c>
      <c r="B62" s="3168"/>
      <c r="C62" s="2978"/>
      <c r="D62" s="2978" t="s">
        <v>2240</v>
      </c>
      <c r="E62" s="192" t="s">
        <v>2241</v>
      </c>
      <c r="F62" s="2484"/>
      <c r="G62" s="2484"/>
      <c r="H62" s="2492"/>
      <c r="I62" s="138"/>
    </row>
    <row r="63" spans="1:35" ht="12.75">
      <c r="A63" s="203" t="s">
        <v>775</v>
      </c>
      <c r="B63" s="193" t="s">
        <v>2242</v>
      </c>
      <c r="C63" s="194">
        <f ca="1">ROUND((C64+C65)/(1+'数据-取费表'!C42),0)</f>
        <v>386</v>
      </c>
      <c r="D63" s="195"/>
      <c r="E63" s="196"/>
      <c r="F63" s="2484"/>
      <c r="G63" s="2484"/>
      <c r="H63" s="2492"/>
      <c r="I63" s="138"/>
      <c r="J63" s="3132" t="s">
        <v>2243</v>
      </c>
      <c r="K63" s="2983" t="s">
        <v>2244</v>
      </c>
      <c r="L63" s="1747">
        <f ca="1">IF(M49&gt;10000,M49*0.5%,IF(AND(M49&gt;1000,M49&lt;=10000),M49*1%,IF(AND(M49&gt;100,M49&lt;=1000),M49*3%,IF(AND(M49&gt;10,M49&lt;=100),M49*5%,M49*8%))))</f>
        <v>12.15</v>
      </c>
      <c r="M63" s="24">
        <f ca="1">ROUND(L63,1)</f>
        <v>12.2</v>
      </c>
      <c r="Z63" s="2418"/>
      <c r="AI63" s="2419"/>
    </row>
    <row r="64" spans="1:35" ht="14.25" customHeight="1">
      <c r="A64" s="197" t="s">
        <v>770</v>
      </c>
      <c r="B64" s="198" t="s">
        <v>2245</v>
      </c>
      <c r="C64" s="199">
        <f ca="1">D45</f>
        <v>405</v>
      </c>
      <c r="D64" s="200" t="s">
        <v>32</v>
      </c>
      <c r="E64" s="201"/>
      <c r="F64" s="2484"/>
      <c r="G64" s="2484"/>
      <c r="H64" s="2492"/>
      <c r="I64" s="138"/>
      <c r="J64" s="3132"/>
      <c r="K64" s="2983" t="s">
        <v>2246</v>
      </c>
      <c r="L64" s="1747">
        <f ca="1">IF(M49&gt;2000,M49*0.5%,IF(AND(M49&gt;1000,M49&lt;=2000),M49*0.6%,IF(AND(M49&gt;500,M49&lt;=1000),M49*0.7%,IF(AND(M49&gt;200,M49&lt;=500),M49*0.8%,IF(AND(M49&gt;100,M49&lt;=200),M49*0.9%,IF(AND(M49&gt;50,M49&lt;=100),M49*1%,IF(AND(M49&gt;20,M49&lt;=50),M49*1.5%,IF(AND(M49&gt;10,M49&lt;=20),M49*2%,IF(AND(M49&gt;1,M49&lt;=10),M49*2.5%)))))))))</f>
        <v>3.24</v>
      </c>
      <c r="M64" s="24">
        <f t="shared" ref="M64:M65" ca="1" si="1">ROUND(L64,1)</f>
        <v>3.2</v>
      </c>
      <c r="N64" s="138" t="s">
        <v>2247</v>
      </c>
      <c r="Z64" s="2418"/>
      <c r="AI64" s="2419"/>
    </row>
    <row r="65" spans="1:35" ht="14.25" customHeight="1">
      <c r="A65" s="197" t="s">
        <v>771</v>
      </c>
      <c r="B65" s="198" t="s">
        <v>2248</v>
      </c>
      <c r="C65" s="202"/>
      <c r="D65" s="200"/>
      <c r="E65" s="201"/>
      <c r="F65" s="2484"/>
      <c r="G65" s="2484"/>
      <c r="H65" s="2492"/>
      <c r="I65" s="138"/>
      <c r="J65" s="3132"/>
      <c r="K65" s="2983" t="s">
        <v>2249</v>
      </c>
      <c r="L65" s="1747">
        <f ca="1">IF(M49&gt;1000,M49*0.1%,IF(AND(M49&gt;500,M49&lt;=1000),M49*0.5%,IF(AND(M49&gt;50,M49&lt;=500),M49*1%,IF(AND(M49&gt;1,M49&lt;=50),M49*1.5%))))</f>
        <v>4.05</v>
      </c>
      <c r="M65" s="24">
        <f t="shared" ca="1" si="1"/>
        <v>4.0999999999999996</v>
      </c>
      <c r="N65" s="138" t="s">
        <v>2247</v>
      </c>
      <c r="Z65" s="2418"/>
      <c r="AI65" s="2419"/>
    </row>
    <row r="66" spans="1:35" ht="14.25" customHeight="1">
      <c r="A66" s="203" t="s">
        <v>772</v>
      </c>
      <c r="B66" s="204" t="s">
        <v>2250</v>
      </c>
      <c r="C66" s="205"/>
      <c r="D66" s="206" t="s">
        <v>32</v>
      </c>
      <c r="E66" s="1771" t="s">
        <v>1371</v>
      </c>
      <c r="F66" s="2484"/>
      <c r="G66" s="2484"/>
      <c r="H66" s="2492"/>
      <c r="I66" s="138"/>
      <c r="J66" s="3132"/>
      <c r="K66" s="2983" t="s">
        <v>2251</v>
      </c>
      <c r="L66" s="1747">
        <f ca="1">M49*0.5%</f>
        <v>2.0249999999999999</v>
      </c>
      <c r="M66" s="24">
        <f ca="1">IF(L66&gt;0.5,0.5,ROUND(L66,0))</f>
        <v>0.5</v>
      </c>
      <c r="N66" s="138" t="s">
        <v>2252</v>
      </c>
      <c r="Z66" s="2418"/>
      <c r="AI66" s="2419"/>
    </row>
    <row r="67" spans="1:35" ht="14.25" customHeight="1">
      <c r="A67" s="203" t="s">
        <v>773</v>
      </c>
      <c r="B67" s="204" t="s">
        <v>2253</v>
      </c>
      <c r="C67" s="207">
        <f ca="1">C63-C66</f>
        <v>386</v>
      </c>
      <c r="D67" s="200" t="s">
        <v>32</v>
      </c>
      <c r="E67" s="201"/>
      <c r="F67" s="2484"/>
      <c r="G67" s="2484"/>
      <c r="H67" s="2492"/>
      <c r="I67" s="138"/>
      <c r="J67" s="3132"/>
      <c r="K67" s="2983" t="s">
        <v>2254</v>
      </c>
      <c r="L67" s="1747">
        <f ca="1">IF(M49&gt;=10000,(8.25+(M49-10000)*0.01%),IF(AND(M49&gt;=8000,M49&lt;10000),(7.85+(M49-8000)*0.02%),IF(AND(M49&gt;=5000,M49&lt;8000),(6.65+(M49-5000)*0.04%),IF(AND(M49&gt;=2000,M49&lt;5000),(4.25+(PM49-2000)*0.08%),IF(AND(M49&gt;=1000,M49&lt;2000),(2.75+(M49-1000)*0.15%),IF(AND(M49&gt;=100,M49&lt;1000),(0.5+(M49-100)*0.25%),IF(AND(M49&gt;0,M49&lt;100),M49*0.5%)))))))</f>
        <v>1.2625000000000002</v>
      </c>
      <c r="M67" s="24">
        <f ca="1">ROUND(L67*0.9,1)</f>
        <v>1.1000000000000001</v>
      </c>
      <c r="Z67" s="2418"/>
      <c r="AI67" s="2419"/>
    </row>
    <row r="68" spans="1:35" ht="14.25" customHeight="1" thickBot="1">
      <c r="A68" s="208" t="s">
        <v>774</v>
      </c>
      <c r="B68" s="209" t="s">
        <v>2255</v>
      </c>
      <c r="C68" s="210">
        <f ca="1">IF(C67&lt;=0,0,ROUND(C67*D68,0))</f>
        <v>22</v>
      </c>
      <c r="D68" s="211">
        <f>'数据-取费表'!B41</f>
        <v>5.6000000000000001E-2</v>
      </c>
      <c r="E68" s="212"/>
      <c r="F68" s="2484"/>
      <c r="G68" s="2484"/>
      <c r="H68" s="2492"/>
      <c r="I68" s="138"/>
      <c r="J68" s="3132"/>
      <c r="K68" s="2983" t="s">
        <v>2256</v>
      </c>
      <c r="L68" s="1747">
        <f ca="1">IF(M49&gt;10000,M49*0.5%,IF(AND(M49&gt;5000,M49&lt;=10000),M49*1%,IF(AND(M49&gt;1000,M49&lt;=5000),M49*2%,IF(AND(M49&gt;200,M49&lt;=1000),M49*3%,M49*5%))))</f>
        <v>12.15</v>
      </c>
      <c r="M68" s="24">
        <f ca="1">ROUND(L68,1)</f>
        <v>12.2</v>
      </c>
      <c r="Z68" s="2418"/>
      <c r="AI68" s="2419"/>
    </row>
    <row r="69" spans="1:35" s="2441" customFormat="1" ht="16.5" customHeight="1">
      <c r="A69" s="2495"/>
      <c r="B69" s="2496"/>
      <c r="C69" s="2497"/>
      <c r="D69" s="2498"/>
      <c r="E69" s="2499"/>
      <c r="F69" s="2161"/>
      <c r="G69" s="2161"/>
      <c r="H69" s="2160"/>
      <c r="I69" s="2413"/>
      <c r="J69" s="3132"/>
      <c r="K69" s="2983" t="s">
        <v>2257</v>
      </c>
      <c r="L69" s="2500"/>
      <c r="M69" s="24">
        <f ca="1">ROUND(SUM(M63:M68),0)</f>
        <v>33</v>
      </c>
      <c r="N69" s="1748">
        <f ca="1">M69/M49</f>
        <v>8.1481481481481488E-2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76" t="s">
        <v>2258</v>
      </c>
      <c r="B70" s="3177"/>
      <c r="C70" s="3177"/>
      <c r="D70" s="3177"/>
      <c r="E70" s="3177"/>
      <c r="F70" s="3177"/>
      <c r="G70" s="3177"/>
      <c r="H70" s="317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67" t="s">
        <v>2239</v>
      </c>
      <c r="B71" s="3168"/>
      <c r="C71" s="2978"/>
      <c r="D71" s="297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2259</v>
      </c>
      <c r="C72" s="207">
        <f ca="1">ROUND(D45/(1+'数据-取费表'!C42),0)</f>
        <v>386</v>
      </c>
      <c r="D72" s="200" t="s">
        <v>32</v>
      </c>
      <c r="E72" s="2977"/>
      <c r="F72" s="2972"/>
      <c r="G72" s="297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2260</v>
      </c>
      <c r="C73" s="207">
        <f ca="1">C74+C78</f>
        <v>2</v>
      </c>
      <c r="D73" s="200" t="s">
        <v>32</v>
      </c>
      <c r="E73" s="2977"/>
      <c r="F73" s="2972"/>
      <c r="G73" s="297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2261</v>
      </c>
      <c r="C74" s="200">
        <f>ROUND(IF(G77="2016年5月1日后购买",C75/(1+'数据-取费表'!C42)+C76+C77,C75+C76+C77),0)</f>
        <v>0</v>
      </c>
      <c r="D74" s="200" t="s">
        <v>32</v>
      </c>
      <c r="E74" s="2977"/>
      <c r="F74" s="2972"/>
      <c r="G74" s="297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2266</v>
      </c>
      <c r="C76" s="200">
        <f>IF(F75="购房发票",ROUND(C75*H75*D76,0),0)</f>
        <v>0</v>
      </c>
      <c r="D76" s="222">
        <v>0.05</v>
      </c>
      <c r="E76" s="3173" t="s">
        <v>2267</v>
      </c>
      <c r="F76" s="3172"/>
      <c r="G76" s="3172"/>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2268</v>
      </c>
      <c r="C77" s="200">
        <f>ROUND(IF(G77="个人住宅",0,IF(G77="2016年5月1日前购买",C75*D77,C75*D77/(1+'数据-取费表'!C42))),0)</f>
        <v>0</v>
      </c>
      <c r="D77" s="223">
        <f>'数据-取费表'!B48+'数据-取费表'!B49</f>
        <v>3.0499999999999999E-2</v>
      </c>
      <c r="E77" s="2984" t="s">
        <v>2269</v>
      </c>
      <c r="F77" s="224"/>
      <c r="G77" s="2508" t="s">
        <v>2270</v>
      </c>
      <c r="H77" s="2979"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2271</v>
      </c>
      <c r="C78" s="225">
        <f ca="1">ROUND(D45*D78/(1+'数据-取费表'!C42),0)</f>
        <v>2</v>
      </c>
      <c r="D78" s="226">
        <f>'数据-取费表'!B43</f>
        <v>6.000000000000001E-3</v>
      </c>
      <c r="E78" s="3164" t="s">
        <v>2272</v>
      </c>
      <c r="F78" s="3165"/>
      <c r="G78" s="3165"/>
      <c r="H78" s="316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2273</v>
      </c>
      <c r="C79" s="207">
        <f ca="1">C72-C73</f>
        <v>384</v>
      </c>
      <c r="D79" s="200" t="s">
        <v>32</v>
      </c>
      <c r="E79" s="2977"/>
      <c r="F79" s="2972"/>
      <c r="G79" s="297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2274</v>
      </c>
      <c r="C80" s="227">
        <f ca="1">IF(C79&lt;=0,0,C79/C73)</f>
        <v>192</v>
      </c>
      <c r="D80" s="200"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72"/>
      <c r="G80" s="297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2275</v>
      </c>
      <c r="C81" s="228">
        <f ca="1">ROUND(IF(C79&lt;=0,0,IF(C80&gt;=200%,C79*60%-C73*35%,IF(C80&gt;=100%,C79*50%-C73*15%,IF(C80&gt;=50%,C79*40%-C73*5%,IF(C80&lt;50%,C79*30%,0))))),0)</f>
        <v>230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6" t="s">
        <v>2276</v>
      </c>
      <c r="B83" s="3177"/>
      <c r="C83" s="3177"/>
      <c r="D83" s="3177"/>
      <c r="E83" s="3177"/>
      <c r="F83" s="3177"/>
      <c r="G83" s="3177"/>
      <c r="H83" s="317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67" t="s">
        <v>2239</v>
      </c>
      <c r="B84" s="3168"/>
      <c r="C84" s="2978"/>
      <c r="D84" s="297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2259</v>
      </c>
      <c r="C85" s="207">
        <f ca="1">ROUND(D45/(1+'数据-取费表'!C42),0)</f>
        <v>386</v>
      </c>
      <c r="D85" s="200" t="s">
        <v>32</v>
      </c>
      <c r="E85" s="2977"/>
      <c r="F85" s="2972"/>
      <c r="G85" s="297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2260</v>
      </c>
      <c r="C86" s="207">
        <f ca="1">IF(H88="仅含出让金",C87+C90+C91+C92+C93+C94,C87+C91+C92+C93+C94)</f>
        <v>2</v>
      </c>
      <c r="D86" s="235"/>
      <c r="E86" s="2977"/>
      <c r="F86" s="2972"/>
      <c r="G86" s="297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2277</v>
      </c>
      <c r="C87" s="225">
        <f>C88+C89</f>
        <v>0</v>
      </c>
      <c r="D87" s="226"/>
      <c r="E87" s="2973"/>
      <c r="F87" s="2974"/>
      <c r="G87" s="2974"/>
      <c r="H87" s="297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2278</v>
      </c>
      <c r="C88" s="236"/>
      <c r="D88" s="226"/>
      <c r="E88" s="237" t="s">
        <v>2279</v>
      </c>
      <c r="F88" s="297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2268</v>
      </c>
      <c r="C89" s="225">
        <f>ROUND(C88*D89,0)</f>
        <v>0</v>
      </c>
      <c r="D89" s="226">
        <f>'数据-取费表'!B48+'数据-取费表'!B49</f>
        <v>3.0499999999999999E-2</v>
      </c>
      <c r="E89" s="237" t="s">
        <v>2281</v>
      </c>
      <c r="F89" s="2974"/>
      <c r="G89" s="2974"/>
      <c r="H89" s="297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2282</v>
      </c>
      <c r="C90" s="236"/>
      <c r="D90" s="226"/>
      <c r="E90" s="237" t="str">
        <f>IF(H88="-","土地取得成本中已包含该笔费用"," ")</f>
        <v xml:space="preserve"> </v>
      </c>
      <c r="F90" s="2974"/>
      <c r="G90" s="2974"/>
      <c r="H90" s="297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2283</v>
      </c>
      <c r="B91" s="198" t="s">
        <v>2284</v>
      </c>
      <c r="C91" s="225">
        <f>IF(H91="——",成本法!C33,I91)</f>
        <v>0</v>
      </c>
      <c r="D91" s="226"/>
      <c r="E91" s="3164" t="s">
        <v>2285</v>
      </c>
      <c r="F91" s="3165"/>
      <c r="G91" s="3165"/>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2287</v>
      </c>
      <c r="B92" s="198" t="s">
        <v>2288</v>
      </c>
      <c r="C92" s="225">
        <f>ROUND((C87+C90+C91)*D92,0)</f>
        <v>0</v>
      </c>
      <c r="D92" s="226">
        <v>0.1</v>
      </c>
      <c r="E92" s="3164" t="s">
        <v>2289</v>
      </c>
      <c r="F92" s="3165"/>
      <c r="G92" s="3165"/>
      <c r="H92" s="316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2290</v>
      </c>
      <c r="B93" s="198" t="s">
        <v>2271</v>
      </c>
      <c r="C93" s="225">
        <f ca="1">ROUND(D45*D93/(1+'数据-取费表'!C42),0)</f>
        <v>2</v>
      </c>
      <c r="D93" s="226">
        <f>'数据-取费表'!B43</f>
        <v>6.000000000000001E-3</v>
      </c>
      <c r="E93" s="3164" t="s">
        <v>2272</v>
      </c>
      <c r="F93" s="3165"/>
      <c r="G93" s="3165"/>
      <c r="H93" s="316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2291</v>
      </c>
      <c r="B94" s="198" t="s">
        <v>2292</v>
      </c>
      <c r="C94" s="236">
        <f>ROUND((C87+C90+C91)*D94,0)</f>
        <v>0</v>
      </c>
      <c r="D94" s="226">
        <v>0.2</v>
      </c>
      <c r="E94" s="3212" t="s">
        <v>2293</v>
      </c>
      <c r="F94" s="3213"/>
      <c r="G94" s="3213"/>
      <c r="H94" s="321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2273</v>
      </c>
      <c r="C95" s="207">
        <f ca="1">ROUND(C85-C86,0)</f>
        <v>384</v>
      </c>
      <c r="D95" s="200" t="s">
        <v>32</v>
      </c>
      <c r="E95" s="2977"/>
      <c r="F95" s="2972"/>
      <c r="G95" s="297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2274</v>
      </c>
      <c r="C96" s="227">
        <f ca="1">IF(C95&lt;=0,0,C95/C86)</f>
        <v>192</v>
      </c>
      <c r="D96" s="200"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72"/>
      <c r="G96" s="297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2275</v>
      </c>
      <c r="C97" s="228">
        <f ca="1">ROUND(IF(C95&lt;=0,0,IF(C96&gt;=200%,C95*60%-C86*35%,IF(C96&gt;=100%,C95*50%-C86*15%,IF(C96&gt;=50%,C95*40%-C86*5%,IF(C96&lt;50%,C95*30%,0))))),0)</f>
        <v>230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116" t="s">
        <v>2295</v>
      </c>
      <c r="B100" s="3117"/>
      <c r="C100" s="3117"/>
      <c r="D100" s="3148"/>
      <c r="E100" s="3117" t="s">
        <v>2296</v>
      </c>
      <c r="F100" s="3117"/>
      <c r="G100" s="3117"/>
      <c r="H100" s="3148"/>
      <c r="I100" s="138"/>
    </row>
    <row r="101" spans="1:35" ht="18.75" customHeight="1">
      <c r="A101" s="3156" t="s">
        <v>2297</v>
      </c>
      <c r="B101" s="3157"/>
      <c r="C101" s="735" t="str">
        <f>C4</f>
        <v>比较法-办公</v>
      </c>
      <c r="D101" s="736" t="str">
        <f>D4</f>
        <v>收益法-办公</v>
      </c>
      <c r="E101" s="3128" t="s">
        <v>2298</v>
      </c>
      <c r="F101" s="3129"/>
      <c r="G101" s="2515" t="s">
        <v>2299</v>
      </c>
      <c r="H101" s="1044">
        <f ca="1">H118</f>
        <v>405</v>
      </c>
      <c r="I101" s="138"/>
    </row>
    <row r="102" spans="1:35" ht="18.75" customHeight="1">
      <c r="A102" s="3158" t="s">
        <v>2300</v>
      </c>
      <c r="B102" s="2515" t="s">
        <v>2299</v>
      </c>
      <c r="C102" s="735">
        <f ca="1">C19</f>
        <v>426</v>
      </c>
      <c r="D102" s="736">
        <f ca="1">D19</f>
        <v>323</v>
      </c>
      <c r="E102" s="3128"/>
      <c r="F102" s="3129"/>
      <c r="G102" s="2515" t="s">
        <v>2301</v>
      </c>
      <c r="H102" s="371">
        <f ca="1">I118</f>
        <v>143</v>
      </c>
      <c r="I102" s="138"/>
    </row>
    <row r="103" spans="1:35" ht="42.75" customHeight="1">
      <c r="A103" s="3158"/>
      <c r="B103" s="2515" t="s">
        <v>2301</v>
      </c>
      <c r="C103" s="737">
        <f ca="1">C20</f>
        <v>39884</v>
      </c>
      <c r="D103" s="738">
        <f ca="1">D20</f>
        <v>30243</v>
      </c>
      <c r="E103" s="3122" t="s">
        <v>2302</v>
      </c>
      <c r="F103" s="3123"/>
      <c r="G103" s="2516" t="s">
        <v>2303</v>
      </c>
      <c r="H103" s="1044">
        <f>IF(D36="正常操作",H104+H105+H106,H105+H106)</f>
        <v>0</v>
      </c>
      <c r="I103" s="138"/>
    </row>
    <row r="104" spans="1:35" ht="18.75" customHeight="1">
      <c r="A104" s="3158" t="s">
        <v>2304</v>
      </c>
      <c r="B104" s="2517" t="s">
        <v>2299</v>
      </c>
      <c r="C104" s="739">
        <f ca="1">H118</f>
        <v>405</v>
      </c>
      <c r="D104" s="740"/>
      <c r="E104" s="2261" t="s">
        <v>2305</v>
      </c>
      <c r="F104" s="2253"/>
      <c r="G104" s="2516" t="s">
        <v>2303</v>
      </c>
      <c r="H104" s="1045">
        <f>IF(D36="同一抵押权人同一抵押物续贷",C36&amp;"（未扣减，详见特别提示）",C36)</f>
        <v>0</v>
      </c>
      <c r="I104" s="138"/>
    </row>
    <row r="105" spans="1:35" ht="18.75" customHeight="1" thickBot="1">
      <c r="A105" s="3170"/>
      <c r="B105" s="2518" t="s">
        <v>2301</v>
      </c>
      <c r="C105" s="741">
        <f ca="1">I118</f>
        <v>143</v>
      </c>
      <c r="D105" s="742"/>
      <c r="E105" s="2261" t="s">
        <v>2306</v>
      </c>
      <c r="F105" s="2253"/>
      <c r="G105" s="2516" t="s">
        <v>2303</v>
      </c>
      <c r="H105" s="1045">
        <f>C37</f>
        <v>0</v>
      </c>
      <c r="I105" s="138"/>
    </row>
    <row r="106" spans="1:35" ht="18.75" customHeight="1">
      <c r="A106" s="2413" t="s">
        <v>2307</v>
      </c>
      <c r="B106" s="2413"/>
      <c r="C106" s="2413"/>
      <c r="D106" s="2413"/>
      <c r="E106" s="2519" t="s">
        <v>2308</v>
      </c>
      <c r="F106" s="2253"/>
      <c r="G106" s="2516" t="s">
        <v>2303</v>
      </c>
      <c r="H106" s="1045">
        <f>C38</f>
        <v>0</v>
      </c>
      <c r="I106" s="138"/>
    </row>
    <row r="107" spans="1:35" ht="18.75" customHeight="1">
      <c r="A107" s="138"/>
      <c r="B107" s="138"/>
      <c r="C107" s="138"/>
      <c r="D107" s="138"/>
      <c r="E107" s="3159" t="str">
        <f>IF(项目基本情况!E8="已注销","——","3.房地产抵押价值")</f>
        <v>——</v>
      </c>
      <c r="F107" s="3129"/>
      <c r="G107" s="2515" t="s">
        <v>2299</v>
      </c>
      <c r="H107" s="1044" t="str">
        <f>IF(E107="——","——",H101-H103)</f>
        <v>——</v>
      </c>
      <c r="I107" s="138"/>
    </row>
    <row r="108" spans="1:35" ht="18.75" customHeight="1">
      <c r="A108" s="138"/>
      <c r="B108" s="138"/>
      <c r="C108" s="138"/>
      <c r="D108" s="138"/>
      <c r="E108" s="3159"/>
      <c r="F108" s="3129"/>
      <c r="G108" s="2515" t="s">
        <v>2301</v>
      </c>
      <c r="H108" s="371" t="e">
        <f>ROUND(H107*10000/'数据-汇总表'!E3,0)</f>
        <v>#VALUE!</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3.抵押担保权已注销时的房地产抵押价值</v>
      </c>
      <c r="F109" s="3129"/>
      <c r="G109" s="2515" t="s">
        <v>2299</v>
      </c>
      <c r="H109" s="348">
        <f ca="1">IF(E109="——","——",H101-H105-H106)</f>
        <v>405</v>
      </c>
      <c r="I109" s="138"/>
    </row>
    <row r="110" spans="1:35" ht="18.75" customHeight="1">
      <c r="A110" s="138"/>
      <c r="B110" s="138"/>
      <c r="C110" s="138"/>
      <c r="D110" s="138"/>
      <c r="E110" s="3159"/>
      <c r="F110" s="3129"/>
      <c r="G110" s="2515" t="s">
        <v>2301</v>
      </c>
      <c r="H110" s="371">
        <f ca="1">IF(H109="——","——",ROUND(H109*10000/'数据-汇总表'!E3,0))</f>
        <v>96</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5" t="s">
        <v>2299</v>
      </c>
      <c r="H111" s="1044" t="str">
        <f>IF(E111="——","——",N59)</f>
        <v>——</v>
      </c>
      <c r="I111" s="138"/>
    </row>
    <row r="112" spans="1:35" ht="18.75" customHeight="1" thickBot="1">
      <c r="A112" s="138"/>
      <c r="B112" s="138"/>
      <c r="C112" s="138"/>
      <c r="D112" s="138"/>
      <c r="E112" s="3162"/>
      <c r="F112" s="3163"/>
      <c r="G112" s="2520" t="s">
        <v>2301</v>
      </c>
      <c r="H112" s="789" t="str">
        <f>IF(E111="——","——",N61)</f>
        <v>——</v>
      </c>
      <c r="I112" s="138"/>
    </row>
    <row r="113" spans="1:11" ht="18.75" customHeight="1">
      <c r="A113" s="138"/>
      <c r="B113" s="138"/>
      <c r="C113" s="138"/>
      <c r="D113" s="138"/>
      <c r="E113" s="3171" t="s">
        <v>2307</v>
      </c>
      <c r="F113" s="3171"/>
      <c r="G113" s="3171"/>
      <c r="H113" s="3171"/>
      <c r="I113" s="138"/>
    </row>
    <row r="114" spans="1:11" ht="3.75" customHeight="1">
      <c r="A114" s="2413"/>
      <c r="B114" s="2413"/>
      <c r="C114" s="2413"/>
      <c r="D114" s="2413"/>
      <c r="E114" s="2491"/>
      <c r="F114" s="2491"/>
      <c r="G114" s="2491"/>
      <c r="H114" s="2491"/>
      <c r="I114" s="2413"/>
    </row>
    <row r="115" spans="1:11" ht="18.75" customHeight="1">
      <c r="A115" s="3184" t="s">
        <v>2309</v>
      </c>
      <c r="B115" s="3185"/>
      <c r="C115" s="3185"/>
      <c r="D115" s="3185"/>
      <c r="E115" s="3185"/>
      <c r="F115" s="3185"/>
      <c r="G115" s="3185"/>
      <c r="H115" s="3185"/>
      <c r="I115" s="3186"/>
    </row>
    <row r="116" spans="1:11" ht="27" customHeight="1">
      <c r="A116" s="3095" t="s">
        <v>2310</v>
      </c>
      <c r="B116" s="3138" t="s">
        <v>2311</v>
      </c>
      <c r="C116" s="3138" t="s">
        <v>2312</v>
      </c>
      <c r="D116" s="3144" t="s">
        <v>2313</v>
      </c>
      <c r="E116" s="3145"/>
      <c r="F116" s="3180" t="s">
        <v>2314</v>
      </c>
      <c r="G116" s="3180"/>
      <c r="H116" s="3095" t="s">
        <v>2315</v>
      </c>
      <c r="I116" s="3095"/>
    </row>
    <row r="117" spans="1:11" ht="18.75" customHeight="1">
      <c r="A117" s="3095"/>
      <c r="B117" s="3139"/>
      <c r="C117" s="3139"/>
      <c r="D117" s="2970" t="s">
        <v>2316</v>
      </c>
      <c r="E117" s="2970" t="s">
        <v>2317</v>
      </c>
      <c r="F117" s="2970" t="s">
        <v>2316</v>
      </c>
      <c r="G117" s="2970" t="s">
        <v>2318</v>
      </c>
      <c r="H117" s="2970" t="s">
        <v>2316</v>
      </c>
      <c r="I117" s="2970" t="s">
        <v>2318</v>
      </c>
    </row>
    <row r="118" spans="1:11" ht="24.75" customHeight="1">
      <c r="A118" s="2521" t="str">
        <f>项目基本情况!S2</f>
        <v>北京市通州区临河里1号楼1-3层商业用房、1单元4-18层办公用房房地产</v>
      </c>
      <c r="B118" s="2970">
        <f>M18</f>
        <v>28249.879999999972</v>
      </c>
      <c r="C118" s="2970">
        <f>M19</f>
        <v>8071.4</v>
      </c>
      <c r="D118" s="2970">
        <f ca="1">ROUND(IF(D32="总价",C34,E118*B118/10000),0)</f>
        <v>324</v>
      </c>
      <c r="E118" s="2970">
        <f ca="1">ROUND(IF(C33="自定义",IF(D32="楼面单价",C34,D118*10000/B118),I118-G118),0)</f>
        <v>114</v>
      </c>
      <c r="F118" s="2970">
        <f ca="1">ROUND(IF(D32="总价",C35,G118*B118/10000),0)</f>
        <v>81</v>
      </c>
      <c r="G118" s="2970">
        <f ca="1">ROUND(IF(D32="楼面单价",C35,F118*10000/B118),0)</f>
        <v>29</v>
      </c>
      <c r="H118" s="2970">
        <f ca="1">ROUND(IF(D32="总价",C32,I118*B118/10000),0)</f>
        <v>405</v>
      </c>
      <c r="I118" s="2970">
        <f ca="1">ROUND(IF(D32="楼面单价",C32,H118*10000/B118),0)</f>
        <v>143</v>
      </c>
    </row>
    <row r="119" spans="1:11" ht="18.75" customHeight="1">
      <c r="A119" s="3095" t="s">
        <v>2319</v>
      </c>
      <c r="B119" s="3095"/>
      <c r="C119" s="3095"/>
      <c r="D119" s="3140" t="str">
        <f ca="1">NUMBERSTRING(INT(D118*10000),2)&amp;"元整"</f>
        <v>叁佰贰拾肆万元整</v>
      </c>
      <c r="E119" s="3141"/>
      <c r="F119" s="3140" t="str">
        <f ca="1">NUMBERSTRING(INT(F118*10000),2)&amp;"元整"</f>
        <v>捌拾壹万元整</v>
      </c>
      <c r="G119" s="3141"/>
      <c r="H119" s="3140" t="str">
        <f ca="1">NUMBERSTRING(INT(H118*10000),2)&amp;"元整"</f>
        <v>肆佰零伍万元整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81" t="s">
        <v>2319</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
      </c>
      <c r="B122" s="3146"/>
      <c r="C122" s="3146"/>
      <c r="D122" s="3135" t="str">
        <f>H107</f>
        <v>——</v>
      </c>
      <c r="E122" s="3136"/>
      <c r="F122" s="3136"/>
      <c r="G122" s="3136"/>
      <c r="H122" s="3136"/>
      <c r="I122" s="3137"/>
    </row>
    <row r="123" spans="1:11" ht="18.75" customHeight="1">
      <c r="A123" s="3095" t="s">
        <v>2319</v>
      </c>
      <c r="B123" s="3095"/>
      <c r="C123" s="3095"/>
      <c r="D123" s="3140" t="e">
        <f>NUMBERSTRING(INT(D122*10000),2)&amp;"元整"</f>
        <v>#VALUE!</v>
      </c>
      <c r="E123" s="3142"/>
      <c r="F123" s="3142"/>
      <c r="G123" s="3142"/>
      <c r="H123" s="3142"/>
      <c r="I123" s="3141"/>
    </row>
    <row r="124" spans="1:11" ht="18.75" customHeight="1">
      <c r="A124" s="3146" t="str">
        <f>IF(项目基本情况!B9="房地产市场价值","",MID(E109,3,LEN(E109)-2))</f>
        <v>抵押担保权已注销时的房地产抵押价值</v>
      </c>
      <c r="B124" s="3146"/>
      <c r="C124" s="3146"/>
      <c r="D124" s="3135">
        <f ca="1">H109</f>
        <v>405</v>
      </c>
      <c r="E124" s="3136"/>
      <c r="F124" s="3136"/>
      <c r="G124" s="3136"/>
      <c r="H124" s="3136"/>
      <c r="I124" s="3137"/>
    </row>
    <row r="125" spans="1:11" ht="18.75" customHeight="1">
      <c r="A125" s="3095" t="s">
        <v>2319</v>
      </c>
      <c r="B125" s="3095"/>
      <c r="C125" s="3095"/>
      <c r="D125" s="3140" t="str">
        <f ca="1">NUMBERSTRING(INT(D124*10000),2)&amp;"元整"</f>
        <v>肆佰零伍万元整</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2319</v>
      </c>
      <c r="B127" s="3095"/>
      <c r="C127" s="3095"/>
      <c r="D127" s="3140" t="e">
        <f>NUMBERSTRING(INT(D126*10000),2)&amp;"元整"</f>
        <v>#VALUE!</v>
      </c>
      <c r="E127" s="3142"/>
      <c r="F127" s="3142"/>
      <c r="G127" s="3142"/>
      <c r="H127" s="3142"/>
      <c r="I127" s="3141"/>
    </row>
    <row r="128" spans="1:11" ht="21.75" customHeight="1">
      <c r="A128" s="3143" t="s">
        <v>2320</v>
      </c>
      <c r="B128" s="3143"/>
      <c r="C128" s="3143"/>
      <c r="D128" s="3143"/>
      <c r="E128" s="3143"/>
      <c r="F128" s="3143"/>
      <c r="G128" s="3143"/>
      <c r="H128" s="3143"/>
      <c r="I128" s="3143"/>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2323</v>
      </c>
      <c r="G135" s="2539"/>
      <c r="H135" s="2539"/>
      <c r="I135" s="2540" t="s">
        <v>2324</v>
      </c>
    </row>
    <row r="136" spans="1:35" ht="21.75" customHeight="1">
      <c r="A136" s="794"/>
      <c r="B136" s="2541"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2326</v>
      </c>
    </row>
    <row r="139" spans="1:35" ht="21.75" customHeight="1">
      <c r="A139" s="794"/>
      <c r="B139" s="2541" t="s">
        <v>2327</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2326</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G36" sqref="G3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66" t="s">
        <v>2687</v>
      </c>
      <c r="C1" s="1618" t="s">
        <v>2532</v>
      </c>
      <c r="D1" s="3021" t="s">
        <v>4108</v>
      </c>
      <c r="E1" s="1628"/>
      <c r="F1" s="2581" t="s">
        <v>3388</v>
      </c>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17">
        <f>IF(C2="——",ROUND(C50*D3/10000,0),ROUND(C50*D3/10000,0)-D2)</f>
        <v>426</v>
      </c>
      <c r="C2" s="2583" t="s">
        <v>70</v>
      </c>
      <c r="D2" s="1364" t="e">
        <f ca="1">SUMIF(INDIRECT("'"&amp;F2&amp;"'"&amp;"!A:A"),"承租人权益价值",INDIRECT("'"&amp;F2&amp;"'"&amp;"!c:c"))</f>
        <v>#REF!</v>
      </c>
      <c r="E2" s="2584" t="s">
        <v>2330</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2331</v>
      </c>
      <c r="B3" s="609">
        <f>IF(C2="——",C50,ROUND(B2*10000/D3,0))</f>
        <v>39884</v>
      </c>
      <c r="C3" s="400" t="s">
        <v>2646</v>
      </c>
      <c r="D3" s="399">
        <f>IF(D1="",'数据-汇总表'!E3,SUMIF('数据-汇总表'!$C19:$C33,D1,'数据-汇总表'!$E19:$E33))</f>
        <v>106.79</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306" t="s">
        <v>2653</v>
      </c>
      <c r="Q4" s="3307"/>
      <c r="R4" s="3301" t="s">
        <v>2649</v>
      </c>
      <c r="S4" s="3302"/>
      <c r="T4" s="3301" t="s">
        <v>2650</v>
      </c>
      <c r="U4" s="3302"/>
      <c r="V4" s="3310" t="s">
        <v>2651</v>
      </c>
      <c r="W4" s="3310"/>
      <c r="X4" s="2667"/>
      <c r="Y4" s="3301" t="s">
        <v>2653</v>
      </c>
      <c r="Z4" s="3302"/>
      <c r="AA4" s="3300" t="s">
        <v>2649</v>
      </c>
      <c r="AB4" s="3300" t="s">
        <v>2650</v>
      </c>
      <c r="AC4" s="3303" t="s">
        <v>2651</v>
      </c>
    </row>
    <row r="5" spans="1:29" ht="15.75" thickBot="1">
      <c r="A5" s="404"/>
      <c r="B5" s="405"/>
      <c r="C5" s="3229" t="s">
        <v>2544</v>
      </c>
      <c r="D5" s="3230"/>
      <c r="E5" s="3281" t="s">
        <v>3782</v>
      </c>
      <c r="F5" s="3228"/>
      <c r="G5" s="3282" t="s">
        <v>4103</v>
      </c>
      <c r="H5" s="3230"/>
      <c r="I5" s="3282" t="s">
        <v>3770</v>
      </c>
      <c r="J5" s="3230"/>
      <c r="K5" s="610"/>
      <c r="L5" s="1129"/>
      <c r="M5" s="1130"/>
      <c r="N5" s="1130"/>
      <c r="O5" s="1130"/>
      <c r="P5" s="3308"/>
      <c r="Q5" s="3243"/>
      <c r="R5" s="3225"/>
      <c r="S5" s="3226"/>
      <c r="T5" s="3225"/>
      <c r="U5" s="3226"/>
      <c r="V5" s="3248"/>
      <c r="W5" s="3248"/>
      <c r="X5" s="1811"/>
      <c r="Y5" s="3225"/>
      <c r="Z5" s="3226"/>
      <c r="AA5" s="3219"/>
      <c r="AB5" s="3219"/>
      <c r="AC5" s="3304"/>
    </row>
    <row r="6" spans="1:29" ht="15.75" hidden="1" thickBot="1">
      <c r="A6" s="406"/>
      <c r="B6" s="407"/>
      <c r="C6" s="3231" t="s">
        <v>2548</v>
      </c>
      <c r="D6" s="3232"/>
      <c r="E6" s="3233" t="s">
        <v>2548</v>
      </c>
      <c r="F6" s="3234"/>
      <c r="G6" s="3231" t="s">
        <v>2548</v>
      </c>
      <c r="H6" s="3232"/>
      <c r="I6" s="3231" t="s">
        <v>2548</v>
      </c>
      <c r="J6" s="3232"/>
      <c r="K6" s="610" t="s">
        <v>2549</v>
      </c>
      <c r="L6" s="1129"/>
      <c r="M6" s="1130"/>
      <c r="N6" s="1130"/>
      <c r="O6" s="1130"/>
      <c r="P6" s="3309"/>
      <c r="Q6" s="3245"/>
      <c r="R6" s="3225"/>
      <c r="S6" s="3226"/>
      <c r="T6" s="3246"/>
      <c r="U6" s="3247"/>
      <c r="V6" s="3248"/>
      <c r="W6" s="3248"/>
      <c r="X6" s="1811"/>
      <c r="Y6" s="3246"/>
      <c r="Z6" s="3247"/>
      <c r="AA6" s="3220"/>
      <c r="AB6" s="3220"/>
      <c r="AC6" s="3305"/>
    </row>
    <row r="7" spans="1:29" s="117" customFormat="1" ht="15.75" thickBot="1">
      <c r="A7" s="408" t="s">
        <v>2550</v>
      </c>
      <c r="B7" s="409"/>
      <c r="C7" s="410">
        <f>'数据-取费表'!B2</f>
        <v>43228</v>
      </c>
      <c r="D7" s="411">
        <v>100</v>
      </c>
      <c r="E7" s="412">
        <f>C7</f>
        <v>43228</v>
      </c>
      <c r="F7" s="413">
        <f>SUMIF(59:59,YEAR(E7)&amp;"-"&amp;MONTH(E7),60:60)</f>
        <v>100</v>
      </c>
      <c r="G7" s="412">
        <f>E7</f>
        <v>43228</v>
      </c>
      <c r="H7" s="411">
        <f>SUMIF(59:59,YEAR(G7)&amp;"-"&amp;MONTH(G7),60:60)</f>
        <v>100</v>
      </c>
      <c r="I7" s="412">
        <f>E7</f>
        <v>43228</v>
      </c>
      <c r="J7" s="411">
        <f>SUMIF(59:59,YEAR(I7)&amp;"-"&amp;MONTH(I7),60:60)</f>
        <v>100</v>
      </c>
      <c r="K7" s="611"/>
      <c r="L7" s="1131"/>
      <c r="M7" s="1132"/>
      <c r="N7" s="1132"/>
      <c r="O7" s="1132"/>
      <c r="P7" s="3311" t="s">
        <v>2551</v>
      </c>
      <c r="Q7" s="3249"/>
      <c r="R7" s="769" t="s">
        <v>17</v>
      </c>
      <c r="S7" s="770">
        <f t="shared" ref="S7:S15" si="0">F7</f>
        <v>100</v>
      </c>
      <c r="T7" s="769" t="s">
        <v>17</v>
      </c>
      <c r="U7" s="770">
        <f t="shared" ref="U7:U15" si="1">H7</f>
        <v>100</v>
      </c>
      <c r="V7" s="769" t="s">
        <v>17</v>
      </c>
      <c r="W7" s="770">
        <f t="shared" ref="W7:W15" si="2">J7</f>
        <v>100</v>
      </c>
      <c r="X7" s="771"/>
      <c r="Y7" s="3221" t="s">
        <v>2551</v>
      </c>
      <c r="Z7" s="3222"/>
      <c r="AA7" s="772">
        <f>D7/F7</f>
        <v>1</v>
      </c>
      <c r="AB7" s="772">
        <f>D7/H7</f>
        <v>1</v>
      </c>
      <c r="AC7" s="2668">
        <f>D7/J7</f>
        <v>1</v>
      </c>
    </row>
    <row r="8" spans="1:29" s="117" customFormat="1" ht="15.75" thickBot="1">
      <c r="A8" s="408" t="s">
        <v>2552</v>
      </c>
      <c r="B8" s="409"/>
      <c r="C8" s="414" t="s">
        <v>2654</v>
      </c>
      <c r="D8" s="411">
        <v>100</v>
      </c>
      <c r="E8" s="414" t="s">
        <v>3392</v>
      </c>
      <c r="F8" s="413">
        <f>SUMIF(62:62,E8,63:63)-SUMIF(62:62,C8,63:63)+100</f>
        <v>100</v>
      </c>
      <c r="G8" s="414" t="s">
        <v>3392</v>
      </c>
      <c r="H8" s="411">
        <f>SUMIF(62:62,G8,63:63)-SUMIF(62:62,C8,63:63)+100</f>
        <v>100</v>
      </c>
      <c r="I8" s="414" t="s">
        <v>3392</v>
      </c>
      <c r="J8" s="411">
        <f>SUMIF(62:62,I8,63:63)-SUMIF(62:62,C8,63:63)+100</f>
        <v>100</v>
      </c>
      <c r="K8" s="611"/>
      <c r="L8" s="1131"/>
      <c r="M8" s="1132"/>
      <c r="N8" s="1132"/>
      <c r="O8" s="1132"/>
      <c r="P8" s="3311" t="s">
        <v>2554</v>
      </c>
      <c r="Q8" s="3222"/>
      <c r="R8" s="769" t="s">
        <v>17</v>
      </c>
      <c r="S8" s="770">
        <f t="shared" si="0"/>
        <v>100</v>
      </c>
      <c r="T8" s="769" t="s">
        <v>17</v>
      </c>
      <c r="U8" s="770">
        <f t="shared" si="1"/>
        <v>100</v>
      </c>
      <c r="V8" s="769" t="s">
        <v>17</v>
      </c>
      <c r="W8" s="770">
        <f t="shared" si="2"/>
        <v>100</v>
      </c>
      <c r="X8" s="771"/>
      <c r="Y8" s="3221" t="s">
        <v>2554</v>
      </c>
      <c r="Z8" s="3222"/>
      <c r="AA8" s="772">
        <f t="shared" ref="AA8:AA47" si="3">D8/F8</f>
        <v>1</v>
      </c>
      <c r="AB8" s="772">
        <f t="shared" ref="AB8:AB47" si="4">D8/H8</f>
        <v>1</v>
      </c>
      <c r="AC8" s="2668">
        <f t="shared" ref="AC8:AC47" si="5">D8/J8</f>
        <v>1</v>
      </c>
    </row>
    <row r="9" spans="1:29" s="117" customFormat="1">
      <c r="A9" s="415" t="s">
        <v>2555</v>
      </c>
      <c r="B9" s="71" t="s">
        <v>2556</v>
      </c>
      <c r="C9" s="2990" t="s">
        <v>3396</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59"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2668">
        <f t="shared" si="5"/>
        <v>1</v>
      </c>
    </row>
    <row r="10" spans="1:29" s="427" customFormat="1" ht="27.75" thickBot="1">
      <c r="A10" s="421"/>
      <c r="B10" s="422" t="s">
        <v>2559</v>
      </c>
      <c r="C10" s="423" t="s">
        <v>3393</v>
      </c>
      <c r="D10" s="136">
        <v>100</v>
      </c>
      <c r="E10" s="423" t="s">
        <v>3704</v>
      </c>
      <c r="F10" s="136">
        <f>SUMIF(66:66,E10,67:67)-SUMIF(66:66,C10,67:67)+100</f>
        <v>101</v>
      </c>
      <c r="G10" s="423" t="s">
        <v>3704</v>
      </c>
      <c r="H10" s="136">
        <f>SUMIF(66:66,G10,67:67)-SUMIF(66:66,C10,67:67)+100</f>
        <v>101</v>
      </c>
      <c r="I10" s="423" t="s">
        <v>3704</v>
      </c>
      <c r="J10" s="136">
        <f>SUMIF(66:66,I10,67:67)-SUMIF(66:66,C10,67:67)+100</f>
        <v>101</v>
      </c>
      <c r="K10" s="612">
        <v>1</v>
      </c>
      <c r="L10" s="1134"/>
      <c r="M10" s="1135"/>
      <c r="N10" s="1135"/>
      <c r="O10" s="1135"/>
      <c r="P10" s="3259"/>
      <c r="Q10" s="1793" t="str">
        <f t="shared" si="6"/>
        <v>土地使用年限（年）</v>
      </c>
      <c r="R10" s="769" t="s">
        <v>17</v>
      </c>
      <c r="S10" s="770">
        <f t="shared" si="0"/>
        <v>101</v>
      </c>
      <c r="T10" s="769" t="s">
        <v>17</v>
      </c>
      <c r="U10" s="770">
        <f t="shared" si="1"/>
        <v>101</v>
      </c>
      <c r="V10" s="769" t="s">
        <v>17</v>
      </c>
      <c r="W10" s="770">
        <f t="shared" si="2"/>
        <v>101</v>
      </c>
      <c r="X10" s="771"/>
      <c r="Y10" s="3095"/>
      <c r="Z10" s="55" t="str">
        <f t="shared" si="7"/>
        <v>土地使用年限（年）</v>
      </c>
      <c r="AA10" s="772">
        <f t="shared" si="3"/>
        <v>0.99009900990099009</v>
      </c>
      <c r="AB10" s="772">
        <f t="shared" si="4"/>
        <v>0.99009900990099009</v>
      </c>
      <c r="AC10" s="2668">
        <f t="shared" si="5"/>
        <v>0.99009900990099009</v>
      </c>
    </row>
    <row r="11" spans="1:29" ht="15.75" hidden="1" thickBot="1">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59"/>
      <c r="Q11" s="1793"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259"/>
      <c r="Q12" s="1793">
        <f t="shared" si="6"/>
        <v>0</v>
      </c>
      <c r="R12" s="769" t="s">
        <v>17</v>
      </c>
      <c r="S12" s="770">
        <f t="shared" si="0"/>
        <v>100</v>
      </c>
      <c r="T12" s="769" t="s">
        <v>17</v>
      </c>
      <c r="U12" s="770">
        <f t="shared" si="1"/>
        <v>100</v>
      </c>
      <c r="V12" s="769" t="s">
        <v>17</v>
      </c>
      <c r="W12" s="770">
        <f t="shared" si="2"/>
        <v>100</v>
      </c>
      <c r="X12" s="771"/>
      <c r="Y12" s="3095"/>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259"/>
      <c r="Q13" s="1793">
        <f t="shared" si="6"/>
        <v>0</v>
      </c>
      <c r="R13" s="769" t="s">
        <v>17</v>
      </c>
      <c r="S13" s="770">
        <f t="shared" si="0"/>
        <v>100</v>
      </c>
      <c r="T13" s="769" t="s">
        <v>17</v>
      </c>
      <c r="U13" s="770">
        <f t="shared" si="1"/>
        <v>100</v>
      </c>
      <c r="V13" s="769" t="s">
        <v>17</v>
      </c>
      <c r="W13" s="770">
        <f t="shared" si="2"/>
        <v>100</v>
      </c>
      <c r="X13" s="771"/>
      <c r="Y13" s="3095"/>
      <c r="Z13" s="55">
        <f t="shared" si="7"/>
        <v>0</v>
      </c>
      <c r="AA13" s="772">
        <f t="shared" si="3"/>
        <v>1</v>
      </c>
      <c r="AB13" s="772">
        <f t="shared" si="4"/>
        <v>1</v>
      </c>
      <c r="AC13" s="2668">
        <f t="shared" si="5"/>
        <v>1</v>
      </c>
    </row>
    <row r="14" spans="1:29" ht="15.75" hidden="1" thickBot="1">
      <c r="A14" s="436"/>
      <c r="B14" s="2599"/>
      <c r="C14" s="437"/>
      <c r="D14" s="438">
        <v>100</v>
      </c>
      <c r="E14" s="627"/>
      <c r="F14" s="438">
        <f>SUMIF(75:75,E14,76:76)-SUMIF(75:75,C14,76:76)+100</f>
        <v>100</v>
      </c>
      <c r="G14" s="2669"/>
      <c r="H14" s="438">
        <f>SUMIF(75:75,G14,76:76)-SUMIF(75:75,C14,76:76)+100</f>
        <v>100</v>
      </c>
      <c r="I14" s="432"/>
      <c r="J14" s="438">
        <f>SUMIF(75:75,I14,76:76)-SUMIF(75:75,C14,76:76)+100</f>
        <v>100</v>
      </c>
      <c r="K14" s="613"/>
      <c r="L14" s="1139"/>
      <c r="M14" s="1130"/>
      <c r="N14" s="1130"/>
      <c r="O14" s="1130"/>
      <c r="P14" s="3259"/>
      <c r="Q14" s="1793">
        <f t="shared" si="6"/>
        <v>0</v>
      </c>
      <c r="R14" s="769" t="s">
        <v>17</v>
      </c>
      <c r="S14" s="770">
        <f t="shared" si="0"/>
        <v>100</v>
      </c>
      <c r="T14" s="769" t="s">
        <v>17</v>
      </c>
      <c r="U14" s="770">
        <f t="shared" si="1"/>
        <v>100</v>
      </c>
      <c r="V14" s="769" t="s">
        <v>17</v>
      </c>
      <c r="W14" s="770">
        <f t="shared" si="2"/>
        <v>100</v>
      </c>
      <c r="X14" s="771"/>
      <c r="Y14" s="3095"/>
      <c r="Z14" s="55">
        <f t="shared" si="7"/>
        <v>0</v>
      </c>
      <c r="AA14" s="772">
        <f t="shared" si="3"/>
        <v>1</v>
      </c>
      <c r="AB14" s="772">
        <f t="shared" si="4"/>
        <v>1</v>
      </c>
      <c r="AC14" s="2668">
        <f t="shared" si="5"/>
        <v>1</v>
      </c>
    </row>
    <row r="15" spans="1:29" ht="71.25">
      <c r="A15" s="440" t="s">
        <v>2561</v>
      </c>
      <c r="B15" s="628" t="s">
        <v>2688</v>
      </c>
      <c r="C15" s="2670"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3015">
        <v>2</v>
      </c>
      <c r="L15" s="1139"/>
      <c r="M15" s="1130"/>
      <c r="N15" s="1130"/>
      <c r="O15" s="1130"/>
      <c r="P15" s="3283" t="s">
        <v>2562</v>
      </c>
      <c r="Q15" s="1808" t="str">
        <f t="shared" si="6"/>
        <v>办公集聚程度</v>
      </c>
      <c r="R15" s="773" t="s">
        <v>17</v>
      </c>
      <c r="S15" s="774">
        <f t="shared" si="0"/>
        <v>102</v>
      </c>
      <c r="T15" s="773" t="s">
        <v>17</v>
      </c>
      <c r="U15" s="774">
        <f t="shared" si="1"/>
        <v>102</v>
      </c>
      <c r="V15" s="773" t="s">
        <v>17</v>
      </c>
      <c r="W15" s="774">
        <f t="shared" si="2"/>
        <v>102</v>
      </c>
      <c r="X15" s="1811"/>
      <c r="Y15" s="3250" t="s">
        <v>2562</v>
      </c>
      <c r="Z15" s="1812" t="str">
        <f t="shared" si="7"/>
        <v>办公集聚程度</v>
      </c>
      <c r="AA15" s="1809">
        <f t="shared" si="3"/>
        <v>0.98039215686274506</v>
      </c>
      <c r="AB15" s="1809">
        <f t="shared" si="4"/>
        <v>0.98039215686274506</v>
      </c>
      <c r="AC15" s="2671">
        <f t="shared" si="5"/>
        <v>0.98039215686274506</v>
      </c>
    </row>
    <row r="16" spans="1:29" ht="15">
      <c r="A16" s="428"/>
      <c r="B16" s="629"/>
      <c r="C16" s="3016" t="s">
        <v>3092</v>
      </c>
      <c r="D16" s="448"/>
      <c r="E16" s="447" t="s">
        <v>3093</v>
      </c>
      <c r="F16" s="448"/>
      <c r="G16" s="447" t="s">
        <v>3093</v>
      </c>
      <c r="H16" s="450"/>
      <c r="I16" s="447" t="s">
        <v>3093</v>
      </c>
      <c r="J16" s="448"/>
      <c r="K16" s="615"/>
      <c r="L16" s="1139"/>
      <c r="M16" s="1130"/>
      <c r="N16" s="1130"/>
      <c r="O16" s="1130"/>
      <c r="P16" s="3284"/>
      <c r="Q16" s="1808"/>
      <c r="R16" s="773"/>
      <c r="S16" s="774"/>
      <c r="T16" s="773"/>
      <c r="U16" s="774"/>
      <c r="V16" s="773"/>
      <c r="W16" s="774"/>
      <c r="X16" s="1811"/>
      <c r="Y16" s="3251"/>
      <c r="Z16" s="1812"/>
      <c r="AA16" s="1809">
        <v>1</v>
      </c>
      <c r="AB16" s="1809">
        <v>1</v>
      </c>
      <c r="AC16" s="2671">
        <v>1</v>
      </c>
    </row>
    <row r="17" spans="1:29" ht="71.25">
      <c r="A17" s="428"/>
      <c r="B17" s="630"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84"/>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2671">
        <f t="shared" si="5"/>
        <v>1</v>
      </c>
    </row>
    <row r="18" spans="1:29" ht="15">
      <c r="A18" s="428"/>
      <c r="B18" s="631"/>
      <c r="C18" s="2673" t="s">
        <v>3093</v>
      </c>
      <c r="D18" s="450"/>
      <c r="E18" s="2606" t="s">
        <v>3093</v>
      </c>
      <c r="F18" s="450"/>
      <c r="G18" s="2607" t="s">
        <v>3093</v>
      </c>
      <c r="H18" s="448"/>
      <c r="I18" s="2607" t="s">
        <v>3093</v>
      </c>
      <c r="J18" s="448"/>
      <c r="K18" s="615"/>
      <c r="L18" s="1139"/>
      <c r="M18" s="1130"/>
      <c r="N18" s="1130"/>
      <c r="O18" s="1130"/>
      <c r="P18" s="3284"/>
      <c r="Q18" s="1808"/>
      <c r="R18" s="773"/>
      <c r="S18" s="774"/>
      <c r="T18" s="773"/>
      <c r="U18" s="774"/>
      <c r="V18" s="773"/>
      <c r="W18" s="774"/>
      <c r="X18" s="1811"/>
      <c r="Y18" s="3251"/>
      <c r="Z18" s="1812"/>
      <c r="AA18" s="1809">
        <v>1</v>
      </c>
      <c r="AB18" s="1809">
        <v>1</v>
      </c>
      <c r="AC18" s="2671">
        <v>1</v>
      </c>
    </row>
    <row r="19" spans="1:29" ht="42.75">
      <c r="A19" s="428"/>
      <c r="B19" s="630" t="s">
        <v>2689</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84"/>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2671">
        <f t="shared" si="5"/>
        <v>1</v>
      </c>
    </row>
    <row r="20" spans="1:29" ht="15">
      <c r="A20" s="428"/>
      <c r="B20" s="631"/>
      <c r="C20" s="2608" t="s">
        <v>3093</v>
      </c>
      <c r="D20" s="448"/>
      <c r="E20" s="2601" t="s">
        <v>3093</v>
      </c>
      <c r="F20" s="448"/>
      <c r="G20" s="2602" t="s">
        <v>3093</v>
      </c>
      <c r="H20" s="448"/>
      <c r="I20" s="2602" t="s">
        <v>3093</v>
      </c>
      <c r="J20" s="448"/>
      <c r="K20" s="615"/>
      <c r="L20" s="1139"/>
      <c r="M20" s="1130"/>
      <c r="N20" s="1130"/>
      <c r="O20" s="1130"/>
      <c r="P20" s="3284"/>
      <c r="Q20" s="1808"/>
      <c r="R20" s="773"/>
      <c r="S20" s="774"/>
      <c r="T20" s="773"/>
      <c r="U20" s="774"/>
      <c r="V20" s="773"/>
      <c r="W20" s="774"/>
      <c r="X20" s="1811"/>
      <c r="Y20" s="3251"/>
      <c r="Z20" s="1812"/>
      <c r="AA20" s="1809">
        <v>1</v>
      </c>
      <c r="AB20" s="1809">
        <v>1</v>
      </c>
      <c r="AC20" s="2671">
        <v>1</v>
      </c>
    </row>
    <row r="21" spans="1:29" ht="28.5">
      <c r="A21" s="428"/>
      <c r="B21" s="632" t="s">
        <v>2690</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2671">
        <f t="shared" ref="AC21" si="10">D21/J21</f>
        <v>1</v>
      </c>
    </row>
    <row r="22" spans="1:29" ht="15">
      <c r="A22" s="428"/>
      <c r="B22" s="632"/>
      <c r="C22" s="2673" t="s">
        <v>3113</v>
      </c>
      <c r="D22" s="448"/>
      <c r="E22" s="447" t="s">
        <v>3113</v>
      </c>
      <c r="F22" s="448"/>
      <c r="G22" s="2608" t="s">
        <v>3113</v>
      </c>
      <c r="H22" s="448"/>
      <c r="I22" s="2608" t="s">
        <v>3113</v>
      </c>
      <c r="J22" s="448"/>
      <c r="K22" s="1382"/>
      <c r="L22" s="1139"/>
      <c r="M22" s="1130"/>
      <c r="N22" s="1130"/>
      <c r="O22" s="1130"/>
      <c r="P22" s="3284"/>
      <c r="Q22" s="1808"/>
      <c r="R22" s="773"/>
      <c r="S22" s="774"/>
      <c r="T22" s="773"/>
      <c r="U22" s="774"/>
      <c r="V22" s="773"/>
      <c r="W22" s="774"/>
      <c r="X22" s="1811"/>
      <c r="Y22" s="3251"/>
      <c r="Z22" s="1812"/>
      <c r="AA22" s="1809">
        <v>1</v>
      </c>
      <c r="AB22" s="1809">
        <v>1</v>
      </c>
      <c r="AC22" s="2671">
        <v>1</v>
      </c>
    </row>
    <row r="23" spans="1:29" ht="42.75">
      <c r="A23" s="428"/>
      <c r="B23" s="630" t="s">
        <v>2691</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39"/>
      <c r="M23" s="1130"/>
      <c r="N23" s="1130"/>
      <c r="O23" s="1130"/>
      <c r="P23" s="3284"/>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2671">
        <f t="shared" si="5"/>
        <v>1</v>
      </c>
    </row>
    <row r="24" spans="1:29" ht="15">
      <c r="A24" s="428"/>
      <c r="B24" s="632"/>
      <c r="C24" s="2608" t="s">
        <v>3092</v>
      </c>
      <c r="D24" s="448"/>
      <c r="E24" s="2601" t="s">
        <v>3092</v>
      </c>
      <c r="F24" s="448"/>
      <c r="G24" s="2602" t="s">
        <v>3092</v>
      </c>
      <c r="H24" s="448"/>
      <c r="I24" s="2602" t="s">
        <v>3092</v>
      </c>
      <c r="J24" s="448"/>
      <c r="K24" s="615"/>
      <c r="L24" s="1139"/>
      <c r="M24" s="1130"/>
      <c r="N24" s="1130"/>
      <c r="O24" s="1130"/>
      <c r="P24" s="3284"/>
      <c r="Q24" s="1808"/>
      <c r="R24" s="773"/>
      <c r="S24" s="774"/>
      <c r="T24" s="773"/>
      <c r="U24" s="774"/>
      <c r="V24" s="773"/>
      <c r="W24" s="774"/>
      <c r="X24" s="1811"/>
      <c r="Y24" s="3251"/>
      <c r="Z24" s="1812"/>
      <c r="AA24" s="1809">
        <v>1</v>
      </c>
      <c r="AB24" s="1809">
        <v>1</v>
      </c>
      <c r="AC24" s="2671">
        <v>1</v>
      </c>
    </row>
    <row r="25" spans="1:29" ht="27">
      <c r="A25" s="404"/>
      <c r="B25" s="630" t="s">
        <v>2692</v>
      </c>
      <c r="C25" s="2612"/>
      <c r="D25" s="435">
        <v>100</v>
      </c>
      <c r="E25" s="434"/>
      <c r="F25" s="435">
        <f>SUMIF(87:87,E26,88:88)-SUMIF(87:87,C26,88:88)+100</f>
        <v>100</v>
      </c>
      <c r="G25" s="2612"/>
      <c r="H25" s="435">
        <f>SUMIF(87:87,G26,88:88)-SUMIF(87:87,C26,88:88)+100</f>
        <v>100</v>
      </c>
      <c r="I25" s="434"/>
      <c r="J25" s="435">
        <f>SUMIF(87:87,I26,88:88)-SUMIF(87:87,C26,88:88)+100</f>
        <v>100</v>
      </c>
      <c r="K25" s="614">
        <v>1</v>
      </c>
      <c r="L25" s="1139"/>
      <c r="M25" s="1130"/>
      <c r="N25" s="1130"/>
      <c r="O25" s="1130"/>
      <c r="P25" s="3284"/>
      <c r="Q25" s="1808" t="str">
        <f>B25</f>
        <v>毗邻道路的类型与等级</v>
      </c>
      <c r="R25" s="773" t="s">
        <v>17</v>
      </c>
      <c r="S25" s="774">
        <f>F25</f>
        <v>100</v>
      </c>
      <c r="T25" s="773" t="s">
        <v>17</v>
      </c>
      <c r="U25" s="774">
        <f>H25</f>
        <v>100</v>
      </c>
      <c r="V25" s="773" t="s">
        <v>17</v>
      </c>
      <c r="W25" s="774">
        <f>J25</f>
        <v>100</v>
      </c>
      <c r="X25" s="1811"/>
      <c r="Y25" s="3251"/>
      <c r="Z25" s="1812" t="str">
        <f>Q25</f>
        <v>毗邻道路的类型与等级</v>
      </c>
      <c r="AA25" s="1809">
        <f t="shared" si="3"/>
        <v>1</v>
      </c>
      <c r="AB25" s="1809">
        <f t="shared" si="4"/>
        <v>1</v>
      </c>
      <c r="AC25" s="2671">
        <f t="shared" si="5"/>
        <v>1</v>
      </c>
    </row>
    <row r="26" spans="1:29" ht="15">
      <c r="A26" s="404"/>
      <c r="B26" s="631"/>
      <c r="C26" s="633" t="s">
        <v>3119</v>
      </c>
      <c r="D26" s="435"/>
      <c r="E26" s="616" t="s">
        <v>3119</v>
      </c>
      <c r="F26" s="435"/>
      <c r="G26" s="633" t="s">
        <v>3119</v>
      </c>
      <c r="H26" s="435"/>
      <c r="I26" s="633" t="s">
        <v>3119</v>
      </c>
      <c r="J26" s="435"/>
      <c r="K26" s="615"/>
      <c r="L26" s="1139"/>
      <c r="M26" s="1130"/>
      <c r="N26" s="1130"/>
      <c r="O26" s="1130"/>
      <c r="P26" s="3284"/>
      <c r="Q26" s="1808"/>
      <c r="R26" s="773"/>
      <c r="S26" s="774"/>
      <c r="T26" s="773"/>
      <c r="U26" s="774"/>
      <c r="V26" s="773"/>
      <c r="W26" s="774"/>
      <c r="X26" s="1811"/>
      <c r="Y26" s="3251"/>
      <c r="Z26" s="1812"/>
      <c r="AA26" s="1809">
        <v>1</v>
      </c>
      <c r="AB26" s="1809">
        <v>1</v>
      </c>
      <c r="AC26" s="2671">
        <v>1</v>
      </c>
    </row>
    <row r="27" spans="1:29" ht="15.75" thickBot="1">
      <c r="A27" s="428"/>
      <c r="B27" s="631" t="s">
        <v>2660</v>
      </c>
      <c r="C27" s="633" t="s">
        <v>3397</v>
      </c>
      <c r="D27" s="435">
        <v>100</v>
      </c>
      <c r="E27" s="616" t="s">
        <v>3399</v>
      </c>
      <c r="F27" s="435">
        <f>SUMIF(89:89,E27,90:90)-SUMIF(89:89,C27,90:90)+100</f>
        <v>105</v>
      </c>
      <c r="G27" s="633" t="s">
        <v>3397</v>
      </c>
      <c r="H27" s="435">
        <f>SUMIF(89:89,G27,90:90)-SUMIF(89:89,C27,90:90)+100</f>
        <v>100</v>
      </c>
      <c r="I27" s="616" t="s">
        <v>3399</v>
      </c>
      <c r="J27" s="435">
        <f>SUMIF(89:89,I27,90:90)-SUMIF(89:89,C27,90:90)+100</f>
        <v>105</v>
      </c>
      <c r="K27" s="612">
        <v>5</v>
      </c>
      <c r="L27" s="1139"/>
      <c r="M27" s="1130"/>
      <c r="N27" s="1130"/>
      <c r="O27" s="1130"/>
      <c r="P27" s="3284"/>
      <c r="Q27" s="1808" t="str">
        <f t="shared" ref="Q27:Q47" si="11">B27</f>
        <v>楼层</v>
      </c>
      <c r="R27" s="773" t="s">
        <v>17</v>
      </c>
      <c r="S27" s="774">
        <f>F27</f>
        <v>105</v>
      </c>
      <c r="T27" s="773" t="s">
        <v>17</v>
      </c>
      <c r="U27" s="774">
        <f>H27</f>
        <v>100</v>
      </c>
      <c r="V27" s="773" t="s">
        <v>17</v>
      </c>
      <c r="W27" s="774">
        <f>J27</f>
        <v>105</v>
      </c>
      <c r="X27" s="1811"/>
      <c r="Y27" s="3251"/>
      <c r="Z27" s="1812" t="str">
        <f>Q27</f>
        <v>楼层</v>
      </c>
      <c r="AA27" s="1809">
        <f t="shared" si="3"/>
        <v>0.95238095238095233</v>
      </c>
      <c r="AB27" s="1809">
        <f t="shared" si="4"/>
        <v>1</v>
      </c>
      <c r="AC27" s="2671">
        <f t="shared" si="5"/>
        <v>0.95238095238095233</v>
      </c>
    </row>
    <row r="28" spans="1:29" s="117" customFormat="1" ht="15" hidden="1">
      <c r="A28" s="431"/>
      <c r="B28" s="630" t="s">
        <v>2693</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84"/>
      <c r="Q28" s="1793" t="str">
        <f t="shared" si="11"/>
        <v>朝向</v>
      </c>
      <c r="R28" s="769" t="s">
        <v>17</v>
      </c>
      <c r="S28" s="770">
        <f>F28</f>
        <v>100</v>
      </c>
      <c r="T28" s="769" t="s">
        <v>17</v>
      </c>
      <c r="U28" s="770">
        <f>H28</f>
        <v>100</v>
      </c>
      <c r="V28" s="769" t="s">
        <v>17</v>
      </c>
      <c r="W28" s="770">
        <f>J28</f>
        <v>100</v>
      </c>
      <c r="X28" s="771"/>
      <c r="Y28" s="3251"/>
      <c r="Z28" s="55" t="str">
        <f>Q28</f>
        <v>朝向</v>
      </c>
      <c r="AA28" s="1809">
        <f>D28/F28</f>
        <v>1</v>
      </c>
      <c r="AB28" s="1809">
        <f>D28/H28</f>
        <v>1</v>
      </c>
      <c r="AC28" s="2671">
        <f>D28/J28</f>
        <v>1</v>
      </c>
    </row>
    <row r="29" spans="1:29" ht="15" hidden="1">
      <c r="A29" s="428"/>
      <c r="B29" s="2675"/>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284"/>
      <c r="Q29" s="1808">
        <f t="shared" si="11"/>
        <v>0</v>
      </c>
      <c r="R29" s="773" t="s">
        <v>17</v>
      </c>
      <c r="S29" s="774">
        <f t="shared" ref="S29:S47" si="12">F29</f>
        <v>100</v>
      </c>
      <c r="T29" s="773" t="s">
        <v>17</v>
      </c>
      <c r="U29" s="774">
        <f t="shared" ref="U29:U47" si="13">H29</f>
        <v>100</v>
      </c>
      <c r="V29" s="773" t="s">
        <v>17</v>
      </c>
      <c r="W29" s="774">
        <f t="shared" ref="W29:W47" si="14">J29</f>
        <v>100</v>
      </c>
      <c r="X29" s="1811"/>
      <c r="Y29" s="3251"/>
      <c r="Z29" s="1812">
        <f t="shared" ref="Z29:Z47" si="15">Q29</f>
        <v>0</v>
      </c>
      <c r="AA29" s="1809">
        <f t="shared" si="3"/>
        <v>1</v>
      </c>
      <c r="AB29" s="1809">
        <f t="shared" si="4"/>
        <v>1</v>
      </c>
      <c r="AC29" s="2671">
        <f t="shared" si="5"/>
        <v>1</v>
      </c>
    </row>
    <row r="30" spans="1:29" ht="15" hidden="1">
      <c r="A30" s="428"/>
      <c r="B30" s="2675"/>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284"/>
      <c r="Q30" s="1808">
        <f t="shared" si="11"/>
        <v>0</v>
      </c>
      <c r="R30" s="773" t="s">
        <v>17</v>
      </c>
      <c r="S30" s="774">
        <f t="shared" si="12"/>
        <v>100</v>
      </c>
      <c r="T30" s="773" t="s">
        <v>17</v>
      </c>
      <c r="U30" s="774">
        <f t="shared" si="13"/>
        <v>100</v>
      </c>
      <c r="V30" s="773" t="s">
        <v>17</v>
      </c>
      <c r="W30" s="774">
        <f t="shared" si="14"/>
        <v>100</v>
      </c>
      <c r="X30" s="1811"/>
      <c r="Y30" s="3251"/>
      <c r="Z30" s="1812">
        <f t="shared" si="15"/>
        <v>0</v>
      </c>
      <c r="AA30" s="1809">
        <f t="shared" si="3"/>
        <v>1</v>
      </c>
      <c r="AB30" s="1809">
        <f t="shared" si="4"/>
        <v>1</v>
      </c>
      <c r="AC30" s="2671">
        <f t="shared" si="5"/>
        <v>1</v>
      </c>
    </row>
    <row r="31" spans="1:29" ht="15" hidden="1">
      <c r="A31" s="428"/>
      <c r="B31" s="2675"/>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284"/>
      <c r="Q31" s="1808">
        <f t="shared" si="11"/>
        <v>0</v>
      </c>
      <c r="R31" s="773" t="s">
        <v>17</v>
      </c>
      <c r="S31" s="774">
        <f t="shared" si="12"/>
        <v>100</v>
      </c>
      <c r="T31" s="773" t="s">
        <v>17</v>
      </c>
      <c r="U31" s="774">
        <f t="shared" si="13"/>
        <v>100</v>
      </c>
      <c r="V31" s="773" t="s">
        <v>17</v>
      </c>
      <c r="W31" s="774">
        <f t="shared" si="14"/>
        <v>100</v>
      </c>
      <c r="X31" s="1811"/>
      <c r="Y31" s="3251"/>
      <c r="Z31" s="1812">
        <f t="shared" si="15"/>
        <v>0</v>
      </c>
      <c r="AA31" s="1809">
        <f t="shared" si="3"/>
        <v>1</v>
      </c>
      <c r="AB31" s="1809">
        <f t="shared" si="4"/>
        <v>1</v>
      </c>
      <c r="AC31" s="2671">
        <f t="shared" si="5"/>
        <v>1</v>
      </c>
    </row>
    <row r="32" spans="1:29" ht="15.75" hidden="1" thickBot="1">
      <c r="A32" s="436"/>
      <c r="B32" s="634"/>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284"/>
      <c r="Q32" s="1808">
        <f t="shared" si="11"/>
        <v>0</v>
      </c>
      <c r="R32" s="773" t="s">
        <v>17</v>
      </c>
      <c r="S32" s="774">
        <f t="shared" si="12"/>
        <v>100</v>
      </c>
      <c r="T32" s="773" t="s">
        <v>17</v>
      </c>
      <c r="U32" s="774">
        <f t="shared" si="13"/>
        <v>100</v>
      </c>
      <c r="V32" s="773" t="s">
        <v>17</v>
      </c>
      <c r="W32" s="774">
        <f t="shared" si="14"/>
        <v>100</v>
      </c>
      <c r="X32" s="1811"/>
      <c r="Y32" s="3251"/>
      <c r="Z32" s="1812">
        <f t="shared" si="15"/>
        <v>0</v>
      </c>
      <c r="AA32" s="1809">
        <f t="shared" si="3"/>
        <v>1</v>
      </c>
      <c r="AB32" s="1809">
        <f t="shared" si="4"/>
        <v>1</v>
      </c>
      <c r="AC32" s="2671">
        <f t="shared" si="5"/>
        <v>1</v>
      </c>
    </row>
    <row r="33" spans="1:29" ht="15">
      <c r="A33" s="440" t="s">
        <v>2565</v>
      </c>
      <c r="B33" s="71" t="s">
        <v>2694</v>
      </c>
      <c r="C33" s="2676" t="s">
        <v>3747</v>
      </c>
      <c r="D33" s="467">
        <v>100</v>
      </c>
      <c r="E33" s="2676" t="s">
        <v>3747</v>
      </c>
      <c r="F33" s="461">
        <f>SUMIF(101:101,E33,102:102)-SUMIF(101:101,C33,102:102)+100</f>
        <v>100</v>
      </c>
      <c r="G33" s="2676" t="s">
        <v>3747</v>
      </c>
      <c r="H33" s="435">
        <f>SUMIF(101:101,G33,102:102)-SUMIF(101:101,C33,102:102)+100</f>
        <v>100</v>
      </c>
      <c r="I33" s="2676" t="s">
        <v>3747</v>
      </c>
      <c r="J33" s="467">
        <f>SUMIF(101:101,I33,102:102)-SUMIF(101:101,C33,102:102)+100</f>
        <v>100</v>
      </c>
      <c r="K33" s="612">
        <v>2</v>
      </c>
      <c r="L33" s="1139"/>
      <c r="M33" s="1130"/>
      <c r="N33" s="1130"/>
      <c r="O33" s="1130"/>
      <c r="P33" s="3285" t="s">
        <v>2567</v>
      </c>
      <c r="Q33" s="1808" t="str">
        <f t="shared" si="11"/>
        <v>建筑类型</v>
      </c>
      <c r="R33" s="773" t="s">
        <v>17</v>
      </c>
      <c r="S33" s="774">
        <f t="shared" si="12"/>
        <v>100</v>
      </c>
      <c r="T33" s="773" t="s">
        <v>17</v>
      </c>
      <c r="U33" s="774">
        <f t="shared" si="13"/>
        <v>100</v>
      </c>
      <c r="V33" s="773" t="s">
        <v>17</v>
      </c>
      <c r="W33" s="774">
        <f t="shared" si="14"/>
        <v>100</v>
      </c>
      <c r="X33" s="1811"/>
      <c r="Y33" s="3253" t="s">
        <v>2567</v>
      </c>
      <c r="Z33" s="1812" t="str">
        <f t="shared" si="15"/>
        <v>建筑类型</v>
      </c>
      <c r="AA33" s="1809">
        <f t="shared" si="3"/>
        <v>1</v>
      </c>
      <c r="AB33" s="1809">
        <f t="shared" si="4"/>
        <v>1</v>
      </c>
      <c r="AC33" s="2671">
        <f t="shared" si="5"/>
        <v>1</v>
      </c>
    </row>
    <row r="34" spans="1:29" s="471" customFormat="1" ht="15">
      <c r="A34" s="468"/>
      <c r="B34" s="3025" t="s">
        <v>2568</v>
      </c>
      <c r="C34" s="3024">
        <f>'数据-汇总表'!F22</f>
        <v>106.79</v>
      </c>
      <c r="D34" s="136">
        <v>100</v>
      </c>
      <c r="E34" s="430">
        <v>900</v>
      </c>
      <c r="F34" s="425">
        <f>LOOKUP(E34,104:104,105:105)-LOOKUP(C34,104:104,105:105)+100</f>
        <v>92</v>
      </c>
      <c r="G34" s="429">
        <v>1700</v>
      </c>
      <c r="H34" s="136">
        <f>LOOKUP(G34,104:104,105:105)-LOOKUP(C34,104:104,105:105)+100</f>
        <v>91</v>
      </c>
      <c r="I34" s="429">
        <v>170</v>
      </c>
      <c r="J34" s="136">
        <f>LOOKUP(I34,104:104,105:105)-LOOKUP(C34,104:104,105:105)+100</f>
        <v>100</v>
      </c>
      <c r="K34" s="613"/>
      <c r="L34" s="1137"/>
      <c r="M34" s="1140"/>
      <c r="N34" s="1140"/>
      <c r="O34" s="1140"/>
      <c r="P34" s="3286"/>
      <c r="Q34" s="775" t="str">
        <f t="shared" si="11"/>
        <v>项目建筑规模</v>
      </c>
      <c r="R34" s="776" t="s">
        <v>17</v>
      </c>
      <c r="S34" s="777">
        <f t="shared" si="12"/>
        <v>92</v>
      </c>
      <c r="T34" s="776" t="s">
        <v>17</v>
      </c>
      <c r="U34" s="777">
        <f t="shared" si="13"/>
        <v>91</v>
      </c>
      <c r="V34" s="776" t="s">
        <v>17</v>
      </c>
      <c r="W34" s="777">
        <f t="shared" si="14"/>
        <v>100</v>
      </c>
      <c r="X34" s="778"/>
      <c r="Y34" s="3253"/>
      <c r="Z34" s="779" t="str">
        <f t="shared" si="15"/>
        <v>项目建筑规模</v>
      </c>
      <c r="AA34" s="1809">
        <f t="shared" si="3"/>
        <v>1.0869565217391304</v>
      </c>
      <c r="AB34" s="1809">
        <f t="shared" si="4"/>
        <v>1.098901098901099</v>
      </c>
      <c r="AC34" s="2671">
        <f t="shared" si="5"/>
        <v>1</v>
      </c>
    </row>
    <row r="35" spans="1:29" ht="15">
      <c r="A35" s="472"/>
      <c r="B35" s="422" t="s">
        <v>2569</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39"/>
      <c r="M35" s="1130"/>
      <c r="N35" s="1130"/>
      <c r="O35" s="1130"/>
      <c r="P35" s="3286"/>
      <c r="Q35" s="1808" t="str">
        <f t="shared" si="11"/>
        <v>建筑结构</v>
      </c>
      <c r="R35" s="773" t="s">
        <v>17</v>
      </c>
      <c r="S35" s="774">
        <f t="shared" si="12"/>
        <v>100</v>
      </c>
      <c r="T35" s="773" t="s">
        <v>17</v>
      </c>
      <c r="U35" s="774">
        <f t="shared" si="13"/>
        <v>100</v>
      </c>
      <c r="V35" s="773" t="s">
        <v>17</v>
      </c>
      <c r="W35" s="774">
        <f t="shared" si="14"/>
        <v>100</v>
      </c>
      <c r="X35" s="1811"/>
      <c r="Y35" s="3253"/>
      <c r="Z35" s="1812" t="str">
        <f t="shared" si="15"/>
        <v>建筑结构</v>
      </c>
      <c r="AA35" s="1809">
        <f t="shared" si="3"/>
        <v>1</v>
      </c>
      <c r="AB35" s="1809">
        <f t="shared" si="4"/>
        <v>1</v>
      </c>
      <c r="AC35" s="2671">
        <f t="shared" si="5"/>
        <v>1</v>
      </c>
    </row>
    <row r="36" spans="1:29" ht="15">
      <c r="A36" s="472"/>
      <c r="B36" s="422" t="s">
        <v>2662</v>
      </c>
      <c r="C36" s="460" t="s">
        <v>3731</v>
      </c>
      <c r="D36" s="435">
        <v>100</v>
      </c>
      <c r="E36" s="460" t="s">
        <v>3731</v>
      </c>
      <c r="F36" s="461">
        <f>SUMIF(108:108,E36,109:109)-SUMIF(108:108,C36,109:109)+100</f>
        <v>100</v>
      </c>
      <c r="G36" s="460" t="s">
        <v>3731</v>
      </c>
      <c r="H36" s="435">
        <f>SUMIF(108:108,G36,109:109)-SUMIF(108:108,C36,109:109)+100</f>
        <v>100</v>
      </c>
      <c r="I36" s="460" t="s">
        <v>3731</v>
      </c>
      <c r="J36" s="435">
        <f>SUMIF(108:108,I36,109:109)-SUMIF(108:108,C36,109:109)+100</f>
        <v>100</v>
      </c>
      <c r="K36" s="612">
        <v>2</v>
      </c>
      <c r="L36" s="1139"/>
      <c r="M36" s="1130"/>
      <c r="N36" s="1130"/>
      <c r="O36" s="1130"/>
      <c r="P36" s="3286"/>
      <c r="Q36" s="1808" t="str">
        <f t="shared" si="11"/>
        <v>公共部分装修</v>
      </c>
      <c r="R36" s="773" t="s">
        <v>17</v>
      </c>
      <c r="S36" s="774">
        <f t="shared" si="12"/>
        <v>100</v>
      </c>
      <c r="T36" s="773" t="s">
        <v>17</v>
      </c>
      <c r="U36" s="774">
        <f t="shared" si="13"/>
        <v>100</v>
      </c>
      <c r="V36" s="773" t="s">
        <v>17</v>
      </c>
      <c r="W36" s="774">
        <f t="shared" si="14"/>
        <v>100</v>
      </c>
      <c r="X36" s="1811"/>
      <c r="Y36" s="3253"/>
      <c r="Z36" s="1812" t="str">
        <f t="shared" si="15"/>
        <v>公共部分装修</v>
      </c>
      <c r="AA36" s="1809">
        <f t="shared" si="3"/>
        <v>1</v>
      </c>
      <c r="AB36" s="1809">
        <f t="shared" si="4"/>
        <v>1</v>
      </c>
      <c r="AC36" s="2671">
        <f t="shared" si="5"/>
        <v>1</v>
      </c>
    </row>
    <row r="37" spans="1:29" ht="15" hidden="1">
      <c r="A37" s="472"/>
      <c r="B37" s="422" t="s">
        <v>2663</v>
      </c>
      <c r="C37" s="474">
        <v>0.97</v>
      </c>
      <c r="D37" s="435">
        <v>100</v>
      </c>
      <c r="E37" s="474">
        <f>ROUND(1-(2018-2012)/60,2)</f>
        <v>0.9</v>
      </c>
      <c r="F37" s="461">
        <f>LOOKUP(E37,111:111,112:112)-LOOKUP(C37,111:111,112:112)+100</f>
        <v>100</v>
      </c>
      <c r="G37" s="474">
        <f>ROUND(1-(2018-2012)/60,2)</f>
        <v>0.9</v>
      </c>
      <c r="H37" s="461">
        <f>LOOKUP(G37,111:111,112:112)-LOOKUP(C37,111:111,112:112)+100</f>
        <v>100</v>
      </c>
      <c r="I37" s="474">
        <f>ROUND(1-(2018-2015)/60,2)</f>
        <v>0.95</v>
      </c>
      <c r="J37" s="435">
        <f>LOOKUP(I37,111:111,112:112)-LOOKUP(C37,111:111,112:112)+100</f>
        <v>100</v>
      </c>
      <c r="K37" s="612">
        <v>2</v>
      </c>
      <c r="L37" s="1139"/>
      <c r="M37" s="1130"/>
      <c r="N37" s="1130"/>
      <c r="O37" s="1130"/>
      <c r="P37" s="3286"/>
      <c r="Q37" s="1808" t="str">
        <f t="shared" si="11"/>
        <v>成新度</v>
      </c>
      <c r="R37" s="773" t="s">
        <v>17</v>
      </c>
      <c r="S37" s="774">
        <f t="shared" si="12"/>
        <v>100</v>
      </c>
      <c r="T37" s="773" t="s">
        <v>17</v>
      </c>
      <c r="U37" s="774">
        <f t="shared" si="13"/>
        <v>100</v>
      </c>
      <c r="V37" s="773" t="s">
        <v>17</v>
      </c>
      <c r="W37" s="774">
        <f t="shared" si="14"/>
        <v>100</v>
      </c>
      <c r="X37" s="1811"/>
      <c r="Y37" s="3253"/>
      <c r="Z37" s="1812" t="str">
        <f t="shared" si="15"/>
        <v>成新度</v>
      </c>
      <c r="AA37" s="1809">
        <f t="shared" si="3"/>
        <v>1</v>
      </c>
      <c r="AB37" s="1809">
        <f t="shared" si="4"/>
        <v>1</v>
      </c>
      <c r="AC37" s="2671">
        <f t="shared" si="5"/>
        <v>1</v>
      </c>
    </row>
    <row r="38" spans="1:29" s="117" customFormat="1" ht="15">
      <c r="A38" s="473"/>
      <c r="B38" s="422" t="s">
        <v>2695</v>
      </c>
      <c r="C38" s="460" t="s">
        <v>3756</v>
      </c>
      <c r="D38" s="136">
        <v>100</v>
      </c>
      <c r="E38" s="460" t="s">
        <v>3756</v>
      </c>
      <c r="F38" s="461">
        <f>SUMIF(113:113,E38,114:114)-SUMIF(113:113,C38,114:114)+100</f>
        <v>100</v>
      </c>
      <c r="G38" s="460" t="s">
        <v>3756</v>
      </c>
      <c r="H38" s="435">
        <f>SUMIF(113:113,G38,114:114)-SUMIF(113:113,C38,114:114)+100</f>
        <v>100</v>
      </c>
      <c r="I38" s="460" t="s">
        <v>3756</v>
      </c>
      <c r="J38" s="435">
        <f>SUMIF(113:113,I38,114:114)-SUMIF(113:113,C38,114:114)+100</f>
        <v>100</v>
      </c>
      <c r="K38" s="612">
        <v>2</v>
      </c>
      <c r="L38" s="1131"/>
      <c r="M38" s="1132"/>
      <c r="N38" s="1132"/>
      <c r="O38" s="1132"/>
      <c r="P38" s="3286"/>
      <c r="Q38" s="1793" t="str">
        <f t="shared" si="11"/>
        <v>写字楼等级</v>
      </c>
      <c r="R38" s="769" t="s">
        <v>17</v>
      </c>
      <c r="S38" s="770">
        <f t="shared" si="12"/>
        <v>100</v>
      </c>
      <c r="T38" s="769" t="s">
        <v>17</v>
      </c>
      <c r="U38" s="770">
        <f t="shared" si="13"/>
        <v>100</v>
      </c>
      <c r="V38" s="769" t="s">
        <v>17</v>
      </c>
      <c r="W38" s="770">
        <f t="shared" si="14"/>
        <v>100</v>
      </c>
      <c r="X38" s="771"/>
      <c r="Y38" s="3253"/>
      <c r="Z38" s="55" t="str">
        <f t="shared" si="15"/>
        <v>写字楼等级</v>
      </c>
      <c r="AA38" s="772">
        <f t="shared" si="3"/>
        <v>1</v>
      </c>
      <c r="AB38" s="772">
        <f t="shared" si="4"/>
        <v>1</v>
      </c>
      <c r="AC38" s="2668">
        <f t="shared" si="5"/>
        <v>1</v>
      </c>
    </row>
    <row r="39" spans="1:29" ht="15">
      <c r="A39" s="472"/>
      <c r="B39" s="422" t="s">
        <v>2696</v>
      </c>
      <c r="C39" s="460" t="s">
        <v>3759</v>
      </c>
      <c r="D39" s="435">
        <v>100</v>
      </c>
      <c r="E39" s="460" t="s">
        <v>3759</v>
      </c>
      <c r="F39" s="461">
        <f>SUMIF(115:115,E39,116:116)-SUMIF(115:115,C39,116:116)+100</f>
        <v>100</v>
      </c>
      <c r="G39" s="460" t="s">
        <v>3759</v>
      </c>
      <c r="H39" s="435">
        <f>SUMIF(115:115,G39,116:116)-SUMIF(115:115,C39,116:116)+100</f>
        <v>100</v>
      </c>
      <c r="I39" s="460" t="s">
        <v>3759</v>
      </c>
      <c r="J39" s="435">
        <f>SUMIF(115:115,I39,116:116)-SUMIF(115:115,C39,116:116)+100</f>
        <v>100</v>
      </c>
      <c r="K39" s="612">
        <v>2</v>
      </c>
      <c r="L39" s="1139"/>
      <c r="M39" s="1130"/>
      <c r="N39" s="1130"/>
      <c r="O39" s="1130"/>
      <c r="P39" s="3286" t="s">
        <v>2567</v>
      </c>
      <c r="Q39" s="1808" t="str">
        <f t="shared" si="11"/>
        <v>物业管理</v>
      </c>
      <c r="R39" s="773" t="s">
        <v>17</v>
      </c>
      <c r="S39" s="774">
        <f t="shared" si="12"/>
        <v>100</v>
      </c>
      <c r="T39" s="773" t="s">
        <v>17</v>
      </c>
      <c r="U39" s="774">
        <f t="shared" si="13"/>
        <v>100</v>
      </c>
      <c r="V39" s="773" t="s">
        <v>17</v>
      </c>
      <c r="W39" s="774">
        <f t="shared" si="14"/>
        <v>100</v>
      </c>
      <c r="X39" s="1811"/>
      <c r="Y39" s="3253" t="s">
        <v>2567</v>
      </c>
      <c r="Z39" s="1812" t="str">
        <f t="shared" si="15"/>
        <v>物业管理</v>
      </c>
      <c r="AA39" s="1809">
        <f t="shared" si="3"/>
        <v>1</v>
      </c>
      <c r="AB39" s="1809">
        <f t="shared" si="4"/>
        <v>1</v>
      </c>
      <c r="AC39" s="2671">
        <f t="shared" si="5"/>
        <v>1</v>
      </c>
    </row>
    <row r="40" spans="1:29" ht="15">
      <c r="A40" s="472"/>
      <c r="B40" s="422" t="s">
        <v>2664</v>
      </c>
      <c r="C40" s="460" t="s">
        <v>3113</v>
      </c>
      <c r="D40" s="435">
        <v>100</v>
      </c>
      <c r="E40" s="460" t="s">
        <v>3113</v>
      </c>
      <c r="F40" s="461">
        <f>SUMIF(117:117,E40,118:118)-SUMIF(117:117,C40,118:118)+100</f>
        <v>100</v>
      </c>
      <c r="G40" s="460" t="s">
        <v>3113</v>
      </c>
      <c r="H40" s="435">
        <f>SUMIF(117:117,G40,118:118)-SUMIF(117:117,C40,118:118)+100</f>
        <v>100</v>
      </c>
      <c r="I40" s="460" t="s">
        <v>3113</v>
      </c>
      <c r="J40" s="435">
        <f>SUMIF(117:117,I40,118:118)-SUMIF(117:117,C40,118:118)+100</f>
        <v>100</v>
      </c>
      <c r="K40" s="612">
        <v>2</v>
      </c>
      <c r="L40" s="1139"/>
      <c r="M40" s="1130"/>
      <c r="N40" s="1130"/>
      <c r="O40" s="1130"/>
      <c r="P40" s="3286"/>
      <c r="Q40" s="1808" t="str">
        <f t="shared" si="11"/>
        <v>市政基础设施</v>
      </c>
      <c r="R40" s="773" t="s">
        <v>17</v>
      </c>
      <c r="S40" s="774">
        <f t="shared" si="12"/>
        <v>100</v>
      </c>
      <c r="T40" s="773" t="s">
        <v>17</v>
      </c>
      <c r="U40" s="774">
        <f t="shared" si="13"/>
        <v>100</v>
      </c>
      <c r="V40" s="773" t="s">
        <v>17</v>
      </c>
      <c r="W40" s="774">
        <f t="shared" si="14"/>
        <v>100</v>
      </c>
      <c r="X40" s="1811"/>
      <c r="Y40" s="3253"/>
      <c r="Z40" s="1812" t="str">
        <f t="shared" si="15"/>
        <v>市政基础设施</v>
      </c>
      <c r="AA40" s="1809">
        <f t="shared" si="3"/>
        <v>1</v>
      </c>
      <c r="AB40" s="1809">
        <f t="shared" si="4"/>
        <v>1</v>
      </c>
      <c r="AC40" s="2671">
        <f t="shared" si="5"/>
        <v>1</v>
      </c>
    </row>
    <row r="41" spans="1:29" ht="15">
      <c r="A41" s="472"/>
      <c r="B41" s="422" t="s">
        <v>2666</v>
      </c>
      <c r="C41" s="616" t="s">
        <v>3730</v>
      </c>
      <c r="D41" s="435">
        <v>100</v>
      </c>
      <c r="E41" s="616" t="s">
        <v>3730</v>
      </c>
      <c r="F41" s="461">
        <f>SUMIF(119:119,E41,120:120)-SUMIF(119:119,C41,120:120)+100</f>
        <v>100</v>
      </c>
      <c r="G41" s="616" t="s">
        <v>3730</v>
      </c>
      <c r="H41" s="435">
        <f>SUMIF(119:119,G41,120:120)-SUMIF(119:119,C41,120:120)+100</f>
        <v>100</v>
      </c>
      <c r="I41" s="616" t="s">
        <v>3730</v>
      </c>
      <c r="J41" s="435">
        <f>SUMIF(119:119,I41,120:120)-SUMIF(119:119,C41,120:120)+100</f>
        <v>100</v>
      </c>
      <c r="K41" s="612">
        <v>2</v>
      </c>
      <c r="L41" s="1139"/>
      <c r="M41" s="1130"/>
      <c r="N41" s="1130"/>
      <c r="O41" s="1130"/>
      <c r="P41" s="3286"/>
      <c r="Q41" s="1808" t="str">
        <f t="shared" si="11"/>
        <v>层高</v>
      </c>
      <c r="R41" s="773" t="s">
        <v>17</v>
      </c>
      <c r="S41" s="774">
        <f t="shared" si="12"/>
        <v>100</v>
      </c>
      <c r="T41" s="773" t="s">
        <v>17</v>
      </c>
      <c r="U41" s="774">
        <f t="shared" si="13"/>
        <v>100</v>
      </c>
      <c r="V41" s="773" t="s">
        <v>17</v>
      </c>
      <c r="W41" s="774">
        <f t="shared" si="14"/>
        <v>100</v>
      </c>
      <c r="X41" s="1811"/>
      <c r="Y41" s="3253"/>
      <c r="Z41" s="1812" t="str">
        <f t="shared" si="15"/>
        <v>层高</v>
      </c>
      <c r="AA41" s="1809">
        <f t="shared" si="3"/>
        <v>1</v>
      </c>
      <c r="AB41" s="1809">
        <f t="shared" si="4"/>
        <v>1</v>
      </c>
      <c r="AC41" s="2671">
        <f t="shared" si="5"/>
        <v>1</v>
      </c>
    </row>
    <row r="42" spans="1:29" s="471" customFormat="1" ht="15" hidden="1">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86"/>
      <c r="Q42" s="775" t="str">
        <f t="shared" si="11"/>
        <v>单套建筑面积</v>
      </c>
      <c r="R42" s="776" t="s">
        <v>17</v>
      </c>
      <c r="S42" s="777">
        <f t="shared" si="12"/>
        <v>100</v>
      </c>
      <c r="T42" s="776" t="s">
        <v>17</v>
      </c>
      <c r="U42" s="777">
        <f t="shared" si="13"/>
        <v>100</v>
      </c>
      <c r="V42" s="776" t="s">
        <v>17</v>
      </c>
      <c r="W42" s="777">
        <f t="shared" si="14"/>
        <v>100</v>
      </c>
      <c r="X42" s="778"/>
      <c r="Y42" s="3253"/>
      <c r="Z42" s="779" t="str">
        <f t="shared" si="15"/>
        <v>单套建筑面积</v>
      </c>
      <c r="AA42" s="1809">
        <f t="shared" si="3"/>
        <v>1</v>
      </c>
      <c r="AB42" s="1809">
        <f t="shared" si="4"/>
        <v>1</v>
      </c>
      <c r="AC42" s="2671">
        <f t="shared" si="5"/>
        <v>1</v>
      </c>
    </row>
    <row r="43" spans="1:29" ht="15.75" thickBot="1">
      <c r="A43" s="472"/>
      <c r="B43" s="422" t="s">
        <v>2669</v>
      </c>
      <c r="C43" s="460" t="s">
        <v>3736</v>
      </c>
      <c r="D43" s="435">
        <v>100</v>
      </c>
      <c r="E43" s="460" t="s">
        <v>3734</v>
      </c>
      <c r="F43" s="461">
        <f>SUMIF(123:123,E43,124:124)-SUMIF(123:123,C43,124:124)+100</f>
        <v>101</v>
      </c>
      <c r="G43" s="460" t="s">
        <v>3736</v>
      </c>
      <c r="H43" s="435">
        <f>SUMIF(123:123,G43,124:124)-SUMIF(123:123,C43,124:124)+100</f>
        <v>100</v>
      </c>
      <c r="I43" s="460" t="s">
        <v>3731</v>
      </c>
      <c r="J43" s="435">
        <f>SUMIF(123:123,I43,124:124)-SUMIF(123:123,C43,124:124)+100</f>
        <v>103</v>
      </c>
      <c r="K43" s="612">
        <v>1</v>
      </c>
      <c r="L43" s="1139"/>
      <c r="M43" s="1130"/>
      <c r="N43" s="1130"/>
      <c r="O43" s="1130"/>
      <c r="P43" s="3286"/>
      <c r="Q43" s="1808" t="str">
        <f t="shared" si="11"/>
        <v>内部装修</v>
      </c>
      <c r="R43" s="773" t="s">
        <v>17</v>
      </c>
      <c r="S43" s="774">
        <f t="shared" si="12"/>
        <v>101</v>
      </c>
      <c r="T43" s="773" t="s">
        <v>17</v>
      </c>
      <c r="U43" s="774">
        <f t="shared" si="13"/>
        <v>100</v>
      </c>
      <c r="V43" s="773" t="s">
        <v>17</v>
      </c>
      <c r="W43" s="774">
        <f t="shared" si="14"/>
        <v>103</v>
      </c>
      <c r="X43" s="1811"/>
      <c r="Y43" s="3253"/>
      <c r="Z43" s="1812" t="str">
        <f t="shared" si="15"/>
        <v>内部装修</v>
      </c>
      <c r="AA43" s="1809">
        <f t="shared" si="3"/>
        <v>0.99009900990099009</v>
      </c>
      <c r="AB43" s="1809">
        <f t="shared" si="4"/>
        <v>1</v>
      </c>
      <c r="AC43" s="2671">
        <f t="shared" si="5"/>
        <v>0.970873786407767</v>
      </c>
    </row>
    <row r="44" spans="1:29" ht="15" hidden="1">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286"/>
      <c r="Q44" s="1808" t="str">
        <f t="shared" si="11"/>
        <v>内部装修维护情况</v>
      </c>
      <c r="R44" s="773" t="s">
        <v>17</v>
      </c>
      <c r="S44" s="774">
        <f t="shared" si="12"/>
        <v>100</v>
      </c>
      <c r="T44" s="773" t="s">
        <v>17</v>
      </c>
      <c r="U44" s="774">
        <f t="shared" si="13"/>
        <v>100</v>
      </c>
      <c r="V44" s="773" t="s">
        <v>17</v>
      </c>
      <c r="W44" s="774">
        <f t="shared" si="14"/>
        <v>100</v>
      </c>
      <c r="X44" s="1811"/>
      <c r="Y44" s="3253"/>
      <c r="Z44" s="1812" t="str">
        <f t="shared" si="15"/>
        <v>内部装修维护情况</v>
      </c>
      <c r="AA44" s="1809">
        <f t="shared" si="3"/>
        <v>1</v>
      </c>
      <c r="AB44" s="1809">
        <f t="shared" si="4"/>
        <v>1</v>
      </c>
      <c r="AC44" s="2671">
        <f t="shared" si="5"/>
        <v>1</v>
      </c>
    </row>
    <row r="45" spans="1:29" s="117" customFormat="1" ht="15" hidden="1">
      <c r="A45" s="473"/>
      <c r="B45" s="1385"/>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86"/>
      <c r="Q45" s="1793">
        <f t="shared" si="11"/>
        <v>0</v>
      </c>
      <c r="R45" s="769" t="s">
        <v>17</v>
      </c>
      <c r="S45" s="770">
        <f t="shared" si="12"/>
        <v>100</v>
      </c>
      <c r="T45" s="769" t="s">
        <v>17</v>
      </c>
      <c r="U45" s="770">
        <f t="shared" si="13"/>
        <v>100</v>
      </c>
      <c r="V45" s="769" t="s">
        <v>17</v>
      </c>
      <c r="W45" s="770">
        <f t="shared" si="14"/>
        <v>100</v>
      </c>
      <c r="X45" s="771"/>
      <c r="Y45" s="3253"/>
      <c r="Z45" s="55">
        <f t="shared" si="15"/>
        <v>0</v>
      </c>
      <c r="AA45" s="772">
        <f t="shared" si="3"/>
        <v>1</v>
      </c>
      <c r="AB45" s="772">
        <f t="shared" si="4"/>
        <v>1</v>
      </c>
      <c r="AC45" s="2668">
        <f t="shared" si="5"/>
        <v>1</v>
      </c>
    </row>
    <row r="46" spans="1:29" ht="15" hidden="1">
      <c r="A46" s="472"/>
      <c r="B46" s="1385"/>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86"/>
      <c r="Q46" s="1808">
        <f t="shared" si="11"/>
        <v>0</v>
      </c>
      <c r="R46" s="773" t="s">
        <v>17</v>
      </c>
      <c r="S46" s="774">
        <f t="shared" si="12"/>
        <v>100</v>
      </c>
      <c r="T46" s="773" t="s">
        <v>17</v>
      </c>
      <c r="U46" s="774">
        <f t="shared" si="13"/>
        <v>100</v>
      </c>
      <c r="V46" s="773" t="s">
        <v>17</v>
      </c>
      <c r="W46" s="774">
        <f t="shared" si="14"/>
        <v>100</v>
      </c>
      <c r="X46" s="1811"/>
      <c r="Y46" s="3253"/>
      <c r="Z46" s="1812">
        <f t="shared" si="15"/>
        <v>0</v>
      </c>
      <c r="AA46" s="1809">
        <f t="shared" si="3"/>
        <v>1</v>
      </c>
      <c r="AB46" s="1809">
        <f t="shared" si="4"/>
        <v>1</v>
      </c>
      <c r="AC46" s="2671">
        <f t="shared" si="5"/>
        <v>1</v>
      </c>
    </row>
    <row r="47" spans="1:29" ht="15.75" hidden="1" thickBot="1">
      <c r="A47" s="478"/>
      <c r="B47" s="2599"/>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87"/>
      <c r="Q47" s="1808">
        <f t="shared" si="11"/>
        <v>0</v>
      </c>
      <c r="R47" s="773" t="s">
        <v>17</v>
      </c>
      <c r="S47" s="774">
        <f t="shared" si="12"/>
        <v>100</v>
      </c>
      <c r="T47" s="773" t="s">
        <v>17</v>
      </c>
      <c r="U47" s="774">
        <f t="shared" si="13"/>
        <v>100</v>
      </c>
      <c r="V47" s="773" t="s">
        <v>17</v>
      </c>
      <c r="W47" s="774">
        <f t="shared" si="14"/>
        <v>100</v>
      </c>
      <c r="X47" s="1811"/>
      <c r="Y47" s="3288"/>
      <c r="Z47" s="1812">
        <f t="shared" si="15"/>
        <v>0</v>
      </c>
      <c r="AA47" s="1809">
        <f t="shared" si="3"/>
        <v>1</v>
      </c>
      <c r="AB47" s="1809">
        <f t="shared" si="4"/>
        <v>1</v>
      </c>
      <c r="AC47" s="2671">
        <f t="shared" si="5"/>
        <v>1</v>
      </c>
    </row>
    <row r="48" spans="1:29" ht="15">
      <c r="A48" s="479" t="s">
        <v>2579</v>
      </c>
      <c r="B48" s="480"/>
      <c r="C48" s="1406" t="s">
        <v>1</v>
      </c>
      <c r="D48" s="1407"/>
      <c r="E48" s="1408">
        <v>40000</v>
      </c>
      <c r="F48" s="1409"/>
      <c r="G48" s="1410">
        <v>37000</v>
      </c>
      <c r="H48" s="1411"/>
      <c r="I48" s="1408">
        <v>45000</v>
      </c>
      <c r="J48" s="485"/>
      <c r="K48" s="782"/>
      <c r="L48" s="1142"/>
      <c r="M48" s="1130"/>
      <c r="N48" s="1130"/>
      <c r="O48" s="1130"/>
      <c r="P48" s="3259" t="str">
        <f>A48</f>
        <v>成交单价（元/平方米）</v>
      </c>
      <c r="Q48" s="3235"/>
      <c r="R48" s="3289">
        <f>E48</f>
        <v>40000</v>
      </c>
      <c r="S48" s="3289"/>
      <c r="T48" s="3289">
        <f>G48</f>
        <v>37000</v>
      </c>
      <c r="U48" s="3289"/>
      <c r="V48" s="3289">
        <f>I48</f>
        <v>45000</v>
      </c>
      <c r="W48" s="3289"/>
      <c r="X48" s="446"/>
      <c r="Y48" s="780"/>
      <c r="Z48" s="446"/>
      <c r="AA48" s="446"/>
      <c r="AB48" s="446"/>
      <c r="AC48" s="629"/>
    </row>
    <row r="49" spans="1:29" ht="15.75" thickBot="1">
      <c r="A49" s="486" t="s">
        <v>2670</v>
      </c>
      <c r="B49" s="487"/>
      <c r="C49" s="1412">
        <f>R50</f>
        <v>39884</v>
      </c>
      <c r="D49" s="1413"/>
      <c r="E49" s="1414">
        <f>R49</f>
        <v>39796</v>
      </c>
      <c r="F49" s="1414"/>
      <c r="G49" s="1412">
        <f>T49</f>
        <v>39467</v>
      </c>
      <c r="H49" s="1413"/>
      <c r="I49" s="1414">
        <f>V49</f>
        <v>40389</v>
      </c>
      <c r="J49" s="489"/>
      <c r="K49" s="783"/>
      <c r="L49" s="1142"/>
      <c r="M49" s="1130"/>
      <c r="N49" s="1130"/>
      <c r="O49" s="1130"/>
      <c r="P49" s="3259" t="str">
        <f>A49</f>
        <v>比较价值（元/平方米）</v>
      </c>
      <c r="Q49" s="3235"/>
      <c r="R49" s="3289">
        <f>IF(F1="售价",ROUND(PRODUCT(R48,AA7:AA47),0),ROUND(PRODUCT(R48,AA7:AA47),1))</f>
        <v>39796</v>
      </c>
      <c r="S49" s="3289"/>
      <c r="T49" s="3289">
        <f>IF(F1="售价",ROUND(PRODUCT(T48,AB7:AB47),0),ROUND(PRODUCT(T48,AB7:AB47),1))</f>
        <v>39467</v>
      </c>
      <c r="U49" s="3289"/>
      <c r="V49" s="3289">
        <f>IF(F1="售价",ROUND(PRODUCT(V48,AC7:AC47),0),ROUND(PRODUCT(V48,AC7:AC47),1))</f>
        <v>40389</v>
      </c>
      <c r="W49" s="3289"/>
      <c r="X49" s="446"/>
      <c r="Y49" s="446"/>
      <c r="Z49" s="446"/>
      <c r="AA49" s="446"/>
      <c r="AB49" s="446"/>
      <c r="AC49" s="629"/>
    </row>
    <row r="50" spans="1:29" ht="15.75" thickBot="1">
      <c r="A50" s="492" t="s">
        <v>2671</v>
      </c>
      <c r="B50" s="493"/>
      <c r="C50" s="1416">
        <f>R50</f>
        <v>39884</v>
      </c>
      <c r="D50" s="1416"/>
      <c r="E50" s="1416"/>
      <c r="F50" s="1416"/>
      <c r="G50" s="1416"/>
      <c r="H50" s="1416"/>
      <c r="I50" s="1416"/>
      <c r="J50" s="494"/>
      <c r="K50" s="784"/>
      <c r="L50" s="1142"/>
      <c r="M50" s="1130"/>
      <c r="N50" s="1130"/>
      <c r="O50" s="1130"/>
      <c r="P50" s="3312" t="str">
        <f>A50</f>
        <v>估价对象XX用房的比较价值（楼面单价，元/平方米）</v>
      </c>
      <c r="Q50" s="3313"/>
      <c r="R50" s="3314">
        <f>IF(F1="售价",ROUND(AVERAGE(R49:V49),0),ROUND(AVERAGE(R49:V49),1))</f>
        <v>39884</v>
      </c>
      <c r="S50" s="3314"/>
      <c r="T50" s="3314"/>
      <c r="U50" s="3314"/>
      <c r="V50" s="3314"/>
      <c r="W50" s="3314"/>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5.1261433309879312E-3</v>
      </c>
      <c r="F53" s="500" t="str">
        <f>IF(OR(E53&gt;=0.3,E53&lt;=-0.3),"超过30%","")</f>
        <v/>
      </c>
      <c r="G53" s="499">
        <f>IF(G48&lt;G49,G49/G48-1,G48/G49-1)</f>
        <v>6.6675675675675672E-2</v>
      </c>
      <c r="H53" s="500" t="str">
        <f>IF(OR(G53&gt;=0.3,G53&lt;=-0.3),"超过30%","")</f>
        <v/>
      </c>
      <c r="I53" s="499">
        <f>IF(I48&lt;I49,I49/I48-1,I48/I49-1)</f>
        <v>0.11416474782737884</v>
      </c>
      <c r="J53" s="500" t="str">
        <f>IF(OR(I53&gt;=0.3,I53&lt;=-0.3),"超过30%","")</f>
        <v/>
      </c>
      <c r="K53" s="1104"/>
      <c r="L53" s="1105"/>
      <c r="M53" s="1143"/>
      <c r="N53" s="1143"/>
      <c r="O53" s="1143"/>
    </row>
    <row r="54" spans="1:29" ht="13.5" customHeight="1">
      <c r="A54" s="1143"/>
      <c r="B54" s="1143"/>
      <c r="C54" s="497" t="s">
        <v>2673</v>
      </c>
      <c r="D54" s="501"/>
      <c r="E54" s="499">
        <f>IF(E49&lt;G49,G49/E49-1,E49/G49-1)</f>
        <v>8.3360782425823121E-3</v>
      </c>
      <c r="F54" s="500" t="str">
        <f>IF(OR(E54&gt;=0.2,E54&lt;=-0.2),"超过20%","")</f>
        <v/>
      </c>
      <c r="G54" s="499">
        <f>IF(G49&lt;I49,I49/G49-1,G49/I49-1)</f>
        <v>2.3361289178300826E-2</v>
      </c>
      <c r="H54" s="500" t="str">
        <f>IF(OR(G54&gt;=0.2,G54&lt;=-0.2),"超过20%","")</f>
        <v/>
      </c>
      <c r="I54" s="499">
        <f>IF(I49&lt;E49,E49/I49-1,I49/E49-1)</f>
        <v>1.4900995074881962E-2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8.1081081081081141E-2</v>
      </c>
      <c r="F55" s="500" t="str">
        <f>IF(OR(E55&gt;=0.3,E55&lt;=-0.3),"超过30%","")</f>
        <v/>
      </c>
      <c r="G55" s="499">
        <f>IF(G48&lt;I48,I48/G48-1,G48/I48-1)</f>
        <v>0.21621621621621623</v>
      </c>
      <c r="H55" s="500" t="str">
        <f>IF(OR(G55&gt;=0.3,G55&lt;=-0.3),"超过30%","")</f>
        <v/>
      </c>
      <c r="I55" s="499">
        <f>IF(I48&lt;E48,E48/I48-1,I48/E48-1)</f>
        <v>0.125</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78"/>
      <c r="Q58" s="504"/>
    </row>
    <row r="59" spans="1:29" s="508" customFormat="1" ht="15">
      <c r="A59" s="505" t="s">
        <v>2550</v>
      </c>
      <c r="B59" s="506"/>
      <c r="C59" s="1572" t="str">
        <f>YEAR(C7)&amp;"-"&amp;MONTH(C7)</f>
        <v>2018-5</v>
      </c>
      <c r="D59" s="1573">
        <f>EDATE(C59,-1)</f>
        <v>43191</v>
      </c>
      <c r="E59" s="1573">
        <f>EDATE(D59,-1)</f>
        <v>43160</v>
      </c>
      <c r="F59" s="1573">
        <f t="shared" ref="F59:O59" si="16">EDATE(E59,-1)</f>
        <v>43132</v>
      </c>
      <c r="G59" s="1573">
        <f t="shared" si="16"/>
        <v>43101</v>
      </c>
      <c r="H59" s="1573">
        <f t="shared" si="16"/>
        <v>43070</v>
      </c>
      <c r="I59" s="1573">
        <f t="shared" si="16"/>
        <v>43040</v>
      </c>
      <c r="J59" s="1573">
        <f t="shared" si="16"/>
        <v>43009</v>
      </c>
      <c r="K59" s="1573">
        <f t="shared" si="16"/>
        <v>42979</v>
      </c>
      <c r="L59" s="1573">
        <f t="shared" si="16"/>
        <v>42948</v>
      </c>
      <c r="M59" s="1573">
        <f t="shared" si="16"/>
        <v>42917</v>
      </c>
      <c r="N59" s="1573">
        <f t="shared" si="16"/>
        <v>42887</v>
      </c>
      <c r="O59" s="1573">
        <f t="shared" si="16"/>
        <v>42856</v>
      </c>
      <c r="P59" s="1569"/>
    </row>
    <row r="60" spans="1:29" s="117" customFormat="1" ht="15">
      <c r="A60" s="509"/>
      <c r="B60" s="510"/>
      <c r="C60" s="1571">
        <v>100</v>
      </c>
      <c r="D60" s="512">
        <v>99</v>
      </c>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2590</v>
      </c>
      <c r="B64" s="528" t="s">
        <v>2556</v>
      </c>
      <c r="C64" s="529" t="str">
        <f>C9</f>
        <v>办公</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1"/>
      <c r="O66" s="1151"/>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1"/>
      <c r="Q67" s="504"/>
    </row>
    <row r="68" spans="1:17" ht="15.75" thickTop="1">
      <c r="A68" s="534"/>
      <c r="B68" s="546" t="s">
        <v>2560</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0</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0</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0</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2561</v>
      </c>
      <c r="B77" s="528" t="s">
        <v>2698</v>
      </c>
      <c r="C77" s="573" t="s">
        <v>2599</v>
      </c>
      <c r="D77" s="573" t="s">
        <v>2600</v>
      </c>
      <c r="E77" s="573" t="s">
        <v>2601</v>
      </c>
      <c r="F77" s="573" t="s">
        <v>2602</v>
      </c>
      <c r="G77" s="573" t="s">
        <v>2603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2690</v>
      </c>
      <c r="C83" s="659" t="s">
        <v>2676</v>
      </c>
      <c r="D83" s="659" t="s">
        <v>2677</v>
      </c>
      <c r="E83" s="659" t="s">
        <v>2678</v>
      </c>
      <c r="F83" s="659" t="s">
        <v>2679</v>
      </c>
      <c r="G83" s="659" t="s">
        <v>2680</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59"/>
      <c r="I84" s="659"/>
      <c r="J84" s="659"/>
      <c r="K84" s="659"/>
      <c r="L84" s="659"/>
      <c r="M84" s="450"/>
      <c r="N84" s="1152"/>
      <c r="O84" s="1152"/>
      <c r="P84" s="2681"/>
      <c r="Q84" s="504"/>
    </row>
    <row r="85" spans="1:17" ht="15.75" thickTop="1">
      <c r="A85" s="534"/>
      <c r="B85" s="538" t="s">
        <v>2699</v>
      </c>
      <c r="C85" s="578" t="s">
        <v>2599</v>
      </c>
      <c r="D85" s="578" t="s">
        <v>2600</v>
      </c>
      <c r="E85" s="578" t="s">
        <v>2601</v>
      </c>
      <c r="F85" s="578" t="s">
        <v>2602</v>
      </c>
      <c r="G85" s="578" t="s">
        <v>2603</v>
      </c>
      <c r="H85" s="539"/>
      <c r="I85" s="539"/>
      <c r="J85" s="539"/>
      <c r="K85" s="540"/>
      <c r="L85" s="541"/>
      <c r="M85" s="542"/>
      <c r="N85" s="1151"/>
      <c r="O85" s="1151"/>
      <c r="P85" s="2681"/>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2"/>
      <c r="O86" s="1152"/>
      <c r="P86" s="2681"/>
      <c r="Q86" s="504"/>
    </row>
    <row r="87" spans="1:17" s="117" customFormat="1" ht="27.75" thickTop="1">
      <c r="A87" s="579"/>
      <c r="B87" s="538" t="s">
        <v>2700</v>
      </c>
      <c r="C87" s="2968" t="s">
        <v>3742</v>
      </c>
      <c r="D87" s="2968" t="s">
        <v>3743</v>
      </c>
      <c r="E87" s="2968" t="s">
        <v>3744</v>
      </c>
      <c r="F87" s="2968" t="s">
        <v>3745</v>
      </c>
      <c r="G87" s="2968" t="s">
        <v>3746</v>
      </c>
      <c r="H87" s="554"/>
      <c r="I87" s="554"/>
      <c r="J87" s="554"/>
      <c r="K87" s="554"/>
      <c r="L87" s="580"/>
      <c r="M87" s="581"/>
      <c r="N87" s="1150"/>
      <c r="O87" s="1150"/>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1"/>
      <c r="Q88" s="504"/>
    </row>
    <row r="89" spans="1:17" s="117" customFormat="1" ht="15.75" thickTop="1">
      <c r="A89" s="579"/>
      <c r="B89" s="538" t="str">
        <f>B27</f>
        <v>楼层</v>
      </c>
      <c r="C89" s="2968" t="s">
        <v>3401</v>
      </c>
      <c r="D89" s="2968" t="s">
        <v>3400</v>
      </c>
      <c r="E89" s="2968" t="s">
        <v>3398</v>
      </c>
      <c r="F89" s="2632"/>
      <c r="G89" s="554"/>
      <c r="H89" s="554"/>
      <c r="I89" s="554"/>
      <c r="J89" s="554"/>
      <c r="K89" s="554"/>
      <c r="L89" s="554"/>
      <c r="M89" s="581"/>
      <c r="N89" s="1150"/>
      <c r="O89" s="1150"/>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0</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0</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0</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0</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2565</v>
      </c>
      <c r="B101" s="528" t="s">
        <v>2614</v>
      </c>
      <c r="C101" s="2967" t="s">
        <v>3748</v>
      </c>
      <c r="D101" s="2967" t="s">
        <v>3749</v>
      </c>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2615</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1" t="str">
        <f>M104&amp;"(含)"&amp;"-"&amp;P104</f>
        <v>1000(含)-</v>
      </c>
      <c r="N103" s="1150"/>
      <c r="O103" s="1150"/>
      <c r="P103" s="2681"/>
      <c r="Q103" s="504"/>
    </row>
    <row r="104" spans="1:17" s="471" customFormat="1">
      <c r="A104" s="593"/>
      <c r="B104" s="594"/>
      <c r="C104" s="3018">
        <v>0</v>
      </c>
      <c r="D104" s="3018">
        <v>100</v>
      </c>
      <c r="E104" s="3018">
        <v>200</v>
      </c>
      <c r="F104" s="3018">
        <v>300</v>
      </c>
      <c r="G104" s="3018">
        <v>400</v>
      </c>
      <c r="H104" s="3018">
        <v>500</v>
      </c>
      <c r="I104" s="3018">
        <v>600</v>
      </c>
      <c r="J104" s="3018">
        <v>700</v>
      </c>
      <c r="K104" s="3018">
        <v>800</v>
      </c>
      <c r="L104" s="3018">
        <v>900</v>
      </c>
      <c r="M104" s="3018">
        <v>1000</v>
      </c>
      <c r="N104" s="1153"/>
      <c r="O104" s="1153"/>
      <c r="P104" s="2682"/>
      <c r="Q104" s="559"/>
    </row>
    <row r="105" spans="1:17" s="471" customFormat="1" ht="15.75" thickBot="1">
      <c r="A105" s="553"/>
      <c r="B105" s="543"/>
      <c r="C105" s="3019">
        <v>100</v>
      </c>
      <c r="D105" s="3020">
        <v>99</v>
      </c>
      <c r="E105" s="3020">
        <v>98</v>
      </c>
      <c r="F105" s="3020">
        <v>97</v>
      </c>
      <c r="G105" s="3020">
        <v>96</v>
      </c>
      <c r="H105" s="3020">
        <v>95</v>
      </c>
      <c r="I105" s="3020">
        <v>94</v>
      </c>
      <c r="J105" s="3020">
        <v>93</v>
      </c>
      <c r="K105" s="3020">
        <v>92</v>
      </c>
      <c r="L105" s="3020">
        <v>91</v>
      </c>
      <c r="M105" s="3020">
        <v>90</v>
      </c>
      <c r="N105" s="1152"/>
      <c r="O105" s="1152"/>
      <c r="P105" s="2682"/>
      <c r="Q105" s="559"/>
    </row>
    <row r="106" spans="1:17" ht="15" thickTop="1">
      <c r="A106" s="599"/>
      <c r="B106" s="538" t="s">
        <v>2616</v>
      </c>
      <c r="C106" s="2968" t="s">
        <v>3750</v>
      </c>
      <c r="D106" s="2968" t="s">
        <v>3751</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1"/>
      <c r="Q107" s="504"/>
    </row>
    <row r="108" spans="1:17" ht="15" thickTop="1">
      <c r="A108" s="599"/>
      <c r="B108" s="538" t="s">
        <v>2618</v>
      </c>
      <c r="C108" s="2968" t="s">
        <v>3752</v>
      </c>
      <c r="D108" s="2968" t="s">
        <v>3753</v>
      </c>
      <c r="E108" s="2968" t="s">
        <v>3754</v>
      </c>
      <c r="F108" s="2969" t="s">
        <v>3755</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1"/>
      <c r="Q112" s="504"/>
    </row>
    <row r="113" spans="1:17" s="471" customFormat="1" ht="15" thickTop="1">
      <c r="A113" s="593"/>
      <c r="B113" s="538" t="s">
        <v>2701</v>
      </c>
      <c r="C113" s="2968" t="s">
        <v>3757</v>
      </c>
      <c r="D113" s="2968" t="s">
        <v>3758</v>
      </c>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2"/>
      <c r="Q114" s="559"/>
    </row>
    <row r="115" spans="1:17" ht="15" thickTop="1">
      <c r="A115" s="599"/>
      <c r="B115" s="538" t="s">
        <v>2619</v>
      </c>
      <c r="C115" s="2968" t="s">
        <v>3760</v>
      </c>
      <c r="D115" s="2968" t="s">
        <v>3761</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2620</v>
      </c>
      <c r="C117" s="2968" t="s">
        <v>3762</v>
      </c>
      <c r="D117" s="2968" t="s">
        <v>3763</v>
      </c>
      <c r="E117" s="2968" t="s">
        <v>3764</v>
      </c>
      <c r="F117" s="2968" t="s">
        <v>3765</v>
      </c>
      <c r="G117" s="2968" t="s">
        <v>3766</v>
      </c>
      <c r="H117" s="583"/>
      <c r="I117" s="583"/>
      <c r="J117" s="583"/>
      <c r="K117" s="584"/>
      <c r="L117" s="585"/>
      <c r="M117" s="586"/>
      <c r="N117" s="1151"/>
      <c r="O117" s="1151"/>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1"/>
      <c r="Q118" s="504"/>
    </row>
    <row r="119" spans="1:17" ht="15" thickTop="1">
      <c r="A119" s="599"/>
      <c r="B119" s="635" t="s">
        <v>2702</v>
      </c>
      <c r="C119" s="2969" t="s">
        <v>3767</v>
      </c>
      <c r="D119" s="583" t="s">
        <v>3768</v>
      </c>
      <c r="E119" s="583"/>
      <c r="F119" s="583"/>
      <c r="G119" s="583"/>
      <c r="H119" s="583"/>
      <c r="I119" s="583"/>
      <c r="J119" s="583"/>
      <c r="K119" s="583"/>
      <c r="L119" s="2686"/>
      <c r="M119" s="2687"/>
      <c r="N119" s="1152"/>
      <c r="O119" s="1152"/>
      <c r="P119" s="2688"/>
      <c r="Q119" s="637"/>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1"/>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2622</v>
      </c>
      <c r="C123" s="2968" t="s">
        <v>3769</v>
      </c>
      <c r="D123" s="2968" t="s">
        <v>3753</v>
      </c>
      <c r="E123" s="2968" t="s">
        <v>3754</v>
      </c>
      <c r="F123" s="2969" t="s">
        <v>3755</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0</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0</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0" sqref="F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1" t="s">
        <v>1589</v>
      </c>
      <c r="B1" s="781"/>
      <c r="C1" s="3026" t="s">
        <v>4108</v>
      </c>
      <c r="D1" s="1818" t="s">
        <v>70</v>
      </c>
      <c r="E1" s="1819" t="s">
        <v>1387</v>
      </c>
      <c r="F1" s="1282">
        <f ca="1">J53</f>
        <v>36.33</v>
      </c>
      <c r="G1" s="1834">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ROUND(D2/10000,0)</f>
        <v>323</v>
      </c>
      <c r="C2" s="1842" t="s">
        <v>1516</v>
      </c>
      <c r="D2" s="1935">
        <f ca="1">C40+J29+L46</f>
        <v>3229617</v>
      </c>
      <c r="E2" s="1843" t="s">
        <v>1592</v>
      </c>
      <c r="F2" s="1844"/>
      <c r="G2" s="1845"/>
      <c r="H2" s="1837"/>
      <c r="I2" s="1837"/>
      <c r="J2" s="1837"/>
      <c r="K2" s="1838"/>
      <c r="L2" s="1837"/>
      <c r="M2" s="1837"/>
    </row>
    <row r="3" spans="1:37" ht="18" customHeight="1" thickBot="1">
      <c r="A3" s="1846" t="s">
        <v>1517</v>
      </c>
      <c r="B3" s="1847">
        <f ca="1">IF(ISERROR(D2/F43),0,ROUND(D2/F43,0))</f>
        <v>30243</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1">
        <f ca="1">C6+C10+C12</f>
        <v>167049</v>
      </c>
      <c r="D5" s="1820" t="s">
        <v>1402</v>
      </c>
      <c r="E5" s="1292"/>
      <c r="F5" s="1293"/>
      <c r="G5" s="1848"/>
      <c r="H5" s="344">
        <v>1</v>
      </c>
      <c r="I5" s="345" t="s">
        <v>1401</v>
      </c>
      <c r="J5" s="1291">
        <f ca="1">J6+J10+J12</f>
        <v>0</v>
      </c>
      <c r="K5" s="1820" t="s">
        <v>1402</v>
      </c>
      <c r="L5" s="1292"/>
      <c r="M5" s="1293"/>
    </row>
    <row r="6" spans="1:37" ht="18" customHeight="1">
      <c r="A6" s="1290" t="s">
        <v>1035</v>
      </c>
      <c r="B6" s="3291" t="s">
        <v>1403</v>
      </c>
      <c r="C6" s="1295">
        <f ca="1">ROUND(F6*F8*F7*(1-F9),0)</f>
        <v>166632</v>
      </c>
      <c r="D6" s="164" t="s">
        <v>3026</v>
      </c>
      <c r="E6" s="347" t="s">
        <v>1405</v>
      </c>
      <c r="F6" s="348">
        <f ca="1">INDIRECT("'数据-取费表'!u"&amp;$G$1)</f>
        <v>4.5</v>
      </c>
      <c r="G6" s="1848"/>
      <c r="H6" s="1290" t="s">
        <v>1035</v>
      </c>
      <c r="I6" s="3291" t="s">
        <v>1403</v>
      </c>
      <c r="J6" s="346">
        <f ca="1">ROUND(M6*M8*M7*(1-M9),0)</f>
        <v>0</v>
      </c>
      <c r="K6" s="1832" t="s">
        <v>3027</v>
      </c>
      <c r="L6" s="347" t="s">
        <v>1405</v>
      </c>
      <c r="M6" s="348">
        <f ca="1">INDIRECT("'数据-取费表'!z"&amp;$G$1)</f>
        <v>0</v>
      </c>
    </row>
    <row r="7" spans="1:37" ht="18" customHeight="1">
      <c r="A7" s="1294"/>
      <c r="B7" s="3292"/>
      <c r="C7" s="1296"/>
      <c r="D7" s="352"/>
      <c r="E7" s="3009" t="s">
        <v>1406</v>
      </c>
      <c r="F7" s="348">
        <f ca="1">IF(INDIRECT("'数据-取费表'!ah"&amp;$G$1)="",INDIRECT("'数据-取费表'!k"&amp;$G$1),INDIRECT("'数据-取费表'!ah"&amp;$G$1))</f>
        <v>106.79</v>
      </c>
      <c r="G7" s="1848"/>
      <c r="H7" s="349"/>
      <c r="I7" s="3292"/>
      <c r="J7" s="351"/>
      <c r="K7" s="352"/>
      <c r="L7" s="347" t="s">
        <v>1406</v>
      </c>
      <c r="M7" s="348">
        <f ca="1">F7</f>
        <v>106.79</v>
      </c>
    </row>
    <row r="8" spans="1:37" ht="18" customHeight="1">
      <c r="A8" s="349"/>
      <c r="B8" s="3292"/>
      <c r="C8" s="351"/>
      <c r="D8" s="352"/>
      <c r="E8" s="347" t="s">
        <v>1407</v>
      </c>
      <c r="F8" s="348">
        <f ca="1">INDIRECT("'数据-取费表'!ai"&amp;$G$1)</f>
        <v>365</v>
      </c>
      <c r="G8" s="1848"/>
      <c r="H8" s="349"/>
      <c r="I8" s="3292"/>
      <c r="J8" s="351"/>
      <c r="K8" s="352"/>
      <c r="L8" s="347" t="s">
        <v>1407</v>
      </c>
      <c r="M8" s="348">
        <f ca="1">INDIRECT("'数据-取费表'!ai"&amp;$G$1)</f>
        <v>365</v>
      </c>
    </row>
    <row r="9" spans="1:37" ht="18" customHeight="1">
      <c r="A9" s="349"/>
      <c r="B9" s="3293"/>
      <c r="C9" s="351"/>
      <c r="D9" s="352"/>
      <c r="E9" s="347" t="s">
        <v>1408</v>
      </c>
      <c r="F9" s="357">
        <f ca="1">INDIRECT("'数据-取费表'!w"&amp;$G$1)</f>
        <v>0.05</v>
      </c>
      <c r="G9" s="1848"/>
      <c r="H9" s="349"/>
      <c r="I9" s="3293"/>
      <c r="J9" s="351"/>
      <c r="K9" s="352"/>
      <c r="L9" s="358" t="s">
        <v>1408</v>
      </c>
      <c r="M9" s="359">
        <f ca="1">INDIRECT("'数据-取费表'!ab"&amp;$G$1)</f>
        <v>0</v>
      </c>
    </row>
    <row r="10" spans="1:37" ht="18" customHeight="1">
      <c r="A10" s="1290" t="s">
        <v>1039</v>
      </c>
      <c r="B10" s="1821" t="s">
        <v>1409</v>
      </c>
      <c r="C10" s="361">
        <f ca="1">ROUND(IF(F10="押一",C6/12*F11,IF(F10="押二",C6/12*2*F11,IF(F10="押三",C6/12*3*F11,C11*F11))),0)</f>
        <v>417</v>
      </c>
      <c r="D10" s="1822" t="s">
        <v>3037</v>
      </c>
      <c r="E10" s="358" t="s">
        <v>1410</v>
      </c>
      <c r="F10" s="3017" t="s">
        <v>3078</v>
      </c>
      <c r="G10" s="1848"/>
      <c r="H10" s="1290" t="s">
        <v>1039</v>
      </c>
      <c r="I10" s="1821" t="s">
        <v>1409</v>
      </c>
      <c r="J10" s="346">
        <f ca="1">ROUND(IF(M10="押一",J6/12*M11,IF(M10="押二",J6/12*2*M11,IF(M10="押三",J6/12*3*M11,J11*M11))),0)</f>
        <v>0</v>
      </c>
      <c r="K10" s="1833" t="s">
        <v>3039</v>
      </c>
      <c r="L10" s="358" t="s">
        <v>1410</v>
      </c>
      <c r="M10" s="1365"/>
    </row>
    <row r="11" spans="1:37" ht="18" customHeight="1">
      <c r="A11" s="353"/>
      <c r="B11" s="1823" t="s">
        <v>1602</v>
      </c>
      <c r="C11" s="1177"/>
      <c r="D11" s="352"/>
      <c r="E11" s="358" t="s">
        <v>1412</v>
      </c>
      <c r="F11" s="359">
        <f ca="1">'数据-取费表'!B39</f>
        <v>1.4999999999999999E-2</v>
      </c>
      <c r="G11" s="1848"/>
      <c r="H11" s="1298"/>
      <c r="I11" s="1823" t="s">
        <v>1603</v>
      </c>
      <c r="J11" s="1177"/>
      <c r="K11" s="747"/>
      <c r="L11" s="358" t="s">
        <v>1412</v>
      </c>
      <c r="M11" s="1055">
        <f ca="1">'数据-取费表'!B39</f>
        <v>1.4999999999999999E-2</v>
      </c>
    </row>
    <row r="12" spans="1:37" ht="18" customHeight="1" thickBot="1">
      <c r="A12" s="1332" t="s">
        <v>1075</v>
      </c>
      <c r="B12" s="1825" t="s">
        <v>1413</v>
      </c>
      <c r="C12" s="1333"/>
      <c r="D12" s="1334"/>
      <c r="E12" s="1339"/>
      <c r="F12" s="1335"/>
      <c r="G12" s="1848"/>
      <c r="H12" s="1332" t="s">
        <v>1075</v>
      </c>
      <c r="I12" s="1825" t="s">
        <v>1413</v>
      </c>
      <c r="J12" s="1333"/>
      <c r="K12" s="1347"/>
      <c r="L12" s="1339"/>
      <c r="M12" s="1348"/>
    </row>
    <row r="13" spans="1:37" ht="18" customHeight="1" thickTop="1">
      <c r="A13" s="1328">
        <v>2</v>
      </c>
      <c r="B13" s="1329" t="s">
        <v>1414</v>
      </c>
      <c r="C13" s="355">
        <f ca="1">ROUND(C29*F13,0)</f>
        <v>483429</v>
      </c>
      <c r="D13" s="1330" t="s">
        <v>1415</v>
      </c>
      <c r="E13" s="1330" t="s">
        <v>1416</v>
      </c>
      <c r="F13" s="1331">
        <f ca="1">INDIRECT("'数据-取费表'!y"&amp;$G$1)</f>
        <v>0.97</v>
      </c>
      <c r="G13" s="1848"/>
      <c r="H13" s="1328">
        <v>2</v>
      </c>
      <c r="I13" s="1329" t="s">
        <v>1414</v>
      </c>
      <c r="J13" s="1289">
        <f ca="1">ROUND(J14*J15,0)</f>
        <v>0</v>
      </c>
      <c r="K13" s="1336" t="s">
        <v>1415</v>
      </c>
      <c r="L13" s="1849"/>
      <c r="M13" s="1850"/>
    </row>
    <row r="14" spans="1:37" ht="18" customHeight="1">
      <c r="A14" s="1200" t="s">
        <v>1034</v>
      </c>
      <c r="B14" s="347" t="s">
        <v>1417</v>
      </c>
      <c r="C14" s="363">
        <f ca="1">ROUND(INDIRECT("'数据-取费表'!l"&amp;$G$1)*F43+'数据-取费表'!L14*INDIRECT("'数据-取费表'!S"&amp;$G$1),0)</f>
        <v>320370</v>
      </c>
      <c r="D14" s="3012" t="s">
        <v>1418</v>
      </c>
      <c r="E14" s="3011"/>
      <c r="F14" s="364"/>
      <c r="G14" s="1848"/>
      <c r="H14" s="1200" t="s">
        <v>1035</v>
      </c>
      <c r="I14" s="347" t="s">
        <v>1419</v>
      </c>
      <c r="J14" s="24">
        <f ca="1">C29</f>
        <v>498380</v>
      </c>
      <c r="K14" s="3008"/>
      <c r="L14" s="978"/>
      <c r="M14" s="979"/>
    </row>
    <row r="15" spans="1:37" s="1855" customFormat="1" ht="18" customHeight="1" thickBot="1">
      <c r="A15" s="1200" t="s">
        <v>1036</v>
      </c>
      <c r="B15" s="347" t="s">
        <v>1420</v>
      </c>
      <c r="C15" s="24">
        <f ca="1">ROUND(C14*F15,0)</f>
        <v>9611</v>
      </c>
      <c r="D15" s="365" t="s">
        <v>1421</v>
      </c>
      <c r="E15" s="365" t="s">
        <v>1422</v>
      </c>
      <c r="F15" s="366">
        <f>'数据-取费表'!B33</f>
        <v>0.03</v>
      </c>
      <c r="G15" s="1851"/>
      <c r="H15" s="1338" t="s">
        <v>1039</v>
      </c>
      <c r="I15" s="1339" t="s">
        <v>1416</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8"/>
      <c r="H16" s="1328" t="s">
        <v>1030</v>
      </c>
      <c r="I16" s="1329" t="s">
        <v>1424</v>
      </c>
      <c r="J16" s="355">
        <f ca="1">ROUND(J17+J22+J23+J24,0)</f>
        <v>11754</v>
      </c>
      <c r="K16" s="1336" t="s">
        <v>1425</v>
      </c>
      <c r="L16" s="3014"/>
      <c r="M16" s="1293"/>
    </row>
    <row r="17" spans="1:37" s="1855" customFormat="1" ht="18" customHeight="1">
      <c r="A17" s="1200" t="s">
        <v>1390</v>
      </c>
      <c r="B17" s="347" t="s">
        <v>1426</v>
      </c>
      <c r="C17" s="24">
        <f ca="1">ROUND(F17*(F43+INDIRECT("'数据-取费表'!S"&amp;$G$1)),0)</f>
        <v>21358</v>
      </c>
      <c r="D17" s="347" t="s">
        <v>1427</v>
      </c>
      <c r="E17" s="347" t="s">
        <v>1428</v>
      </c>
      <c r="F17" s="26">
        <f>'数据-取费表'!B35</f>
        <v>200</v>
      </c>
      <c r="G17" s="1851"/>
      <c r="H17" s="1200" t="s">
        <v>1035</v>
      </c>
      <c r="I17" s="347" t="s">
        <v>1429</v>
      </c>
      <c r="J17" s="24">
        <f ca="1">ROUND(IF(项目基本情况!B11="自然人",J5*M17,J18+J19+J20),0)</f>
        <v>4278</v>
      </c>
      <c r="K17" s="3012" t="s">
        <v>1430</v>
      </c>
      <c r="L17" s="3013"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7" t="s">
        <v>1432</v>
      </c>
      <c r="C18" s="24">
        <f ca="1">ROUND(C14*F18,0)</f>
        <v>4806</v>
      </c>
      <c r="D18" s="347" t="s">
        <v>1421</v>
      </c>
      <c r="E18" s="347" t="s">
        <v>1422</v>
      </c>
      <c r="F18" s="367">
        <f>'数据-取费表'!B36</f>
        <v>1.4999999999999999E-2</v>
      </c>
      <c r="G18" s="1851"/>
      <c r="H18" s="1200" t="s">
        <v>1034</v>
      </c>
      <c r="I18" s="347" t="s">
        <v>1433</v>
      </c>
      <c r="J18" s="24">
        <f ca="1">ROUND(J5*M18/(1+'数据-取费表'!C42),0)</f>
        <v>0</v>
      </c>
      <c r="K18" s="301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7" t="s">
        <v>1435</v>
      </c>
      <c r="C19" s="24">
        <f ca="1">SUM(C14:C18)</f>
        <v>356145</v>
      </c>
      <c r="D19" s="140" t="s">
        <v>1436</v>
      </c>
      <c r="E19" s="3007"/>
      <c r="F19" s="26"/>
      <c r="G19" s="1848"/>
      <c r="H19" s="1200" t="s">
        <v>1036</v>
      </c>
      <c r="I19" s="347" t="s">
        <v>1437</v>
      </c>
      <c r="J19" s="24">
        <f ca="1">IF(K19="按租金收入计税",ROUND(J5*M19,0),ROUND(C29*M19*0.7,0))</f>
        <v>4186</v>
      </c>
      <c r="K19" s="1826" t="s">
        <v>1438</v>
      </c>
      <c r="L19" s="347" t="s">
        <v>1422</v>
      </c>
      <c r="M19" s="367">
        <f>IF(K19="按租金收入计税",'数据-取费表'!B51,'数据-取费表'!B50)</f>
        <v>1.2E-2</v>
      </c>
    </row>
    <row r="20" spans="1:37" s="1855" customFormat="1" ht="18" customHeight="1">
      <c r="A20" s="1200" t="s">
        <v>1039</v>
      </c>
      <c r="B20" s="347" t="s">
        <v>1439</v>
      </c>
      <c r="C20" s="24">
        <f ca="1">ROUND(C19*F20,0)</f>
        <v>7123</v>
      </c>
      <c r="D20" s="369" t="s">
        <v>1440</v>
      </c>
      <c r="E20" s="347" t="s">
        <v>1422</v>
      </c>
      <c r="F20" s="367">
        <f>'数据-取费表'!B37</f>
        <v>0.02</v>
      </c>
      <c r="G20" s="1851"/>
      <c r="H20" s="1200" t="s">
        <v>1389</v>
      </c>
      <c r="I20" s="164" t="s">
        <v>1441</v>
      </c>
      <c r="J20" s="25">
        <f ca="1">ROUND(M20*M21,0)</f>
        <v>92</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7" t="s">
        <v>1444</v>
      </c>
      <c r="C21" s="24" t="s">
        <v>1</v>
      </c>
      <c r="D21" s="369" t="s">
        <v>1445</v>
      </c>
      <c r="E21" s="347" t="s">
        <v>1446</v>
      </c>
      <c r="F21" s="367">
        <f>'数据-取费表'!B38</f>
        <v>0.03</v>
      </c>
      <c r="G21" s="1851"/>
      <c r="H21" s="372"/>
      <c r="I21" s="356"/>
      <c r="J21" s="29"/>
      <c r="K21" s="373"/>
      <c r="L21" s="347" t="s">
        <v>1447</v>
      </c>
      <c r="M21" s="348">
        <f ca="1">INDIRECT("'数据-取费表'!r"&amp;$G$1)</f>
        <v>30.51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3007"/>
      <c r="F22" s="26"/>
      <c r="G22" s="1848"/>
      <c r="H22" s="1200" t="s">
        <v>1039</v>
      </c>
      <c r="I22" s="347" t="s">
        <v>1449</v>
      </c>
      <c r="J22" s="24">
        <f ca="1">ROUND(J14*M22,0)</f>
        <v>7476</v>
      </c>
      <c r="K22" s="3013" t="s">
        <v>1450</v>
      </c>
      <c r="L22" s="347" t="s">
        <v>1422</v>
      </c>
      <c r="M22" s="374">
        <f ca="1">INDIRECT("'数据-取费表'!Ak"&amp;$G$1)</f>
        <v>1.4999999999999999E-2</v>
      </c>
    </row>
    <row r="23" spans="1:37" s="1855" customFormat="1" ht="18" customHeight="1">
      <c r="A23" s="1200" t="s">
        <v>1034</v>
      </c>
      <c r="B23" s="347" t="s">
        <v>1451</v>
      </c>
      <c r="C23" s="24">
        <f ca="1">IF('数据-取费表'!B22&lt;=1,ROUND(C19*F24*F23/2,0)+ROUND(C20*F24*F23/2,0),ROUND(C19*(POWER((1+F24),F23/2)-1),0)+ROUND(C20*(POWER((1+F24),F23/2)-1),0))</f>
        <v>17255</v>
      </c>
      <c r="D23" s="375" t="str">
        <f>IF(F23&lt;=1,"(建造成本+管理费用)×利率×(建设周期÷2)","(建造成本+管理费用)×((1+利率)^(建设周期÷2)-1)")</f>
        <v>(建造成本+管理费用)×((1+利率)^(建设周期÷2)-1)</v>
      </c>
      <c r="E23" s="347" t="s">
        <v>1452</v>
      </c>
      <c r="F23" s="371">
        <f>'数据-取费表'!B20</f>
        <v>2</v>
      </c>
      <c r="G23" s="1851"/>
      <c r="H23" s="1200" t="s">
        <v>1075</v>
      </c>
      <c r="I23" s="347" t="s">
        <v>1453</v>
      </c>
      <c r="J23" s="24">
        <f ca="1">ROUND(J13*M23,0)</f>
        <v>0</v>
      </c>
      <c r="K23" s="301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1"/>
      <c r="H24" s="1338" t="s">
        <v>1392</v>
      </c>
      <c r="I24" s="1339" t="s">
        <v>1439</v>
      </c>
      <c r="J24" s="1340">
        <f ca="1">ROUND(J5*M24,0)</f>
        <v>0</v>
      </c>
      <c r="K24" s="1341" t="s">
        <v>1459</v>
      </c>
      <c r="L24" s="1339" t="s">
        <v>1422</v>
      </c>
      <c r="M24" s="1335">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1460</v>
      </c>
      <c r="B25" s="347" t="s">
        <v>1461</v>
      </c>
      <c r="C25" s="24"/>
      <c r="D25" s="140" t="s">
        <v>1462</v>
      </c>
      <c r="E25" s="3007"/>
      <c r="F25" s="26"/>
      <c r="G25" s="1848"/>
      <c r="H25" s="1328" t="s">
        <v>1031</v>
      </c>
      <c r="I25" s="1343" t="s">
        <v>1463</v>
      </c>
      <c r="J25" s="355">
        <f ca="1">J5-J16</f>
        <v>-11754</v>
      </c>
      <c r="K25" s="1344" t="s">
        <v>1464</v>
      </c>
      <c r="L25" s="1345"/>
      <c r="M25" s="1346"/>
    </row>
    <row r="26" spans="1:37" ht="18" customHeight="1">
      <c r="A26" s="1200" t="s">
        <v>1034</v>
      </c>
      <c r="B26" s="347" t="s">
        <v>1465</v>
      </c>
      <c r="C26" s="24">
        <f ca="1">ROUND((C19+C20)*F26,0)</f>
        <v>72654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200"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1478</v>
      </c>
      <c r="C29" s="1340">
        <f ca="1">ROUND((C19+C20+C23+C26)/(1-F21-C24-C27-C28),0)</f>
        <v>498380</v>
      </c>
      <c r="D29" s="1341"/>
      <c r="E29" s="1339"/>
      <c r="F29" s="1342"/>
      <c r="G29" s="1851"/>
      <c r="H29" s="380" t="s">
        <v>1033</v>
      </c>
      <c r="I29" s="381" t="s">
        <v>1479</v>
      </c>
      <c r="J29" s="382">
        <f ca="1">ROUND(J26/(1+F40)^F41,0)</f>
        <v>0</v>
      </c>
      <c r="K29" s="383" t="s">
        <v>1480</v>
      </c>
      <c r="L29" s="384"/>
      <c r="M29" s="385">
        <f ca="1">INDIRECT("'数据-取费表'!k"&amp;$G$1)</f>
        <v>106.79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1424</v>
      </c>
      <c r="C30" s="355">
        <f ca="1">ROUND(C31+C36+C37+C38,0)</f>
        <v>38919</v>
      </c>
      <c r="D30" s="1336" t="s">
        <v>1425</v>
      </c>
      <c r="E30" s="3014"/>
      <c r="F30" s="1293"/>
      <c r="G30" s="1848"/>
      <c r="H30" s="744"/>
      <c r="I30" s="745"/>
      <c r="J30" s="746"/>
      <c r="K30" s="747"/>
      <c r="L30" s="748"/>
      <c r="M30" s="749"/>
    </row>
    <row r="31" spans="1:37" ht="18" customHeight="1">
      <c r="A31" s="1200" t="s">
        <v>1035</v>
      </c>
      <c r="B31" s="347" t="s">
        <v>1429</v>
      </c>
      <c r="C31" s="24">
        <f ca="1">ROUND(IF(项目基本情况!B11="自然人",C5*F31,C32+C33+C34),0)</f>
        <v>29047</v>
      </c>
      <c r="D31" s="3012" t="s">
        <v>1430</v>
      </c>
      <c r="E31" s="3013"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200" t="s">
        <v>1034</v>
      </c>
      <c r="B32" s="347" t="s">
        <v>1433</v>
      </c>
      <c r="C32" s="24">
        <f ca="1">IF(项目基本情况!B11="自然人","——",ROUND(C5*F32/(1+'数据-取费表'!C42),0))</f>
        <v>8909</v>
      </c>
      <c r="D32" s="3013" t="s">
        <v>1434</v>
      </c>
      <c r="E32" s="347" t="s">
        <v>1422</v>
      </c>
      <c r="F32" s="377">
        <f>'数据-取费表'!B41</f>
        <v>5.6000000000000001E-2</v>
      </c>
      <c r="G32" s="1848"/>
      <c r="H32" s="744"/>
      <c r="I32" s="745"/>
      <c r="J32" s="746"/>
      <c r="K32" s="747"/>
      <c r="L32" s="748"/>
      <c r="M32" s="749"/>
    </row>
    <row r="33" spans="1:18" ht="18" customHeight="1">
      <c r="A33" s="1200" t="s">
        <v>1036</v>
      </c>
      <c r="B33" s="347" t="s">
        <v>1437</v>
      </c>
      <c r="C33" s="24">
        <f ca="1">IF(项目基本情况!B11="自然人","——",IF(D33="按租金收入计税",ROUND(C5*F33,0),IF(D33="按房产原值计税",ROUND(C29*F33*0.7,0),INDIRECT("'数据-取费表'!Aj"&amp;$G$1))))</f>
        <v>20046</v>
      </c>
      <c r="D33" s="3027" t="s">
        <v>3079</v>
      </c>
      <c r="E33" s="347" t="s">
        <v>1422</v>
      </c>
      <c r="F33" s="367">
        <f>IF(D33="按票据","——",IF(D33="按租金收入计税",'数据-取费表'!B51,'数据-取费表'!B50))</f>
        <v>0.12</v>
      </c>
      <c r="G33" s="1848"/>
      <c r="H33" s="1856"/>
      <c r="I33" s="1857"/>
      <c r="J33" s="1858"/>
      <c r="K33" s="1859"/>
      <c r="L33" s="1856"/>
      <c r="M33" s="1856"/>
    </row>
    <row r="34" spans="1:18" ht="18" customHeight="1">
      <c r="A34" s="1290" t="s">
        <v>1389</v>
      </c>
      <c r="B34" s="164" t="s">
        <v>1441</v>
      </c>
      <c r="C34" s="25">
        <f ca="1">IF(项目基本情况!B11="自然人","——",ROUND(F34*F35,))</f>
        <v>92</v>
      </c>
      <c r="D34" s="370" t="s">
        <v>1442</v>
      </c>
      <c r="E34" s="347" t="s">
        <v>1443</v>
      </c>
      <c r="F34" s="371">
        <f>'数据-取费表'!B52</f>
        <v>3</v>
      </c>
      <c r="G34" s="1848"/>
      <c r="H34" s="744"/>
      <c r="I34" s="1857"/>
      <c r="J34" s="1858"/>
      <c r="K34" s="1860"/>
      <c r="L34" s="1861"/>
      <c r="M34" s="1861"/>
    </row>
    <row r="35" spans="1:18" ht="18" customHeight="1">
      <c r="A35" s="1352"/>
      <c r="B35" s="1350"/>
      <c r="C35" s="29"/>
      <c r="D35" s="373"/>
      <c r="E35" s="347" t="s">
        <v>1447</v>
      </c>
      <c r="F35" s="348">
        <f ca="1">INDIRECT("'数据-取费表'!r"&amp;$G$1)</f>
        <v>30.51</v>
      </c>
      <c r="G35" s="1848"/>
      <c r="H35" s="744"/>
      <c r="I35" s="1857"/>
      <c r="J35" s="1858"/>
      <c r="K35" s="1859"/>
      <c r="L35" s="1856"/>
      <c r="M35" s="1856"/>
    </row>
    <row r="36" spans="1:18" ht="18" customHeight="1">
      <c r="A36" s="1351" t="s">
        <v>1039</v>
      </c>
      <c r="B36" s="347" t="s">
        <v>1449</v>
      </c>
      <c r="C36" s="24">
        <f ca="1">ROUND(C29*F36,0)</f>
        <v>7476</v>
      </c>
      <c r="D36" s="3013" t="s">
        <v>1482</v>
      </c>
      <c r="E36" s="347" t="s">
        <v>1422</v>
      </c>
      <c r="F36" s="374">
        <f ca="1">INDIRECT("'数据-取费表'!Ak"&amp;$G$1)</f>
        <v>1.4999999999999999E-2</v>
      </c>
      <c r="G36" s="1848"/>
      <c r="H36" s="1856"/>
      <c r="I36" s="1857"/>
      <c r="J36" s="1858"/>
      <c r="K36" s="750"/>
      <c r="L36" s="1856"/>
      <c r="M36" s="1856"/>
    </row>
    <row r="37" spans="1:18" ht="18" customHeight="1">
      <c r="A37" s="1200" t="s">
        <v>1075</v>
      </c>
      <c r="B37" s="347" t="s">
        <v>1453</v>
      </c>
      <c r="C37" s="24">
        <f ca="1">ROUND(C13*F37,0)</f>
        <v>725</v>
      </c>
      <c r="D37" s="3013" t="s">
        <v>1454</v>
      </c>
      <c r="E37" s="347" t="s">
        <v>1422</v>
      </c>
      <c r="F37" s="376">
        <f ca="1">INDIRECT("'数据-取费表'!Al"&amp;$G$1)</f>
        <v>1.5E-3</v>
      </c>
      <c r="G37" s="1848"/>
      <c r="H37" s="1856"/>
      <c r="I37" s="1857"/>
      <c r="J37" s="1858"/>
      <c r="K37" s="750"/>
      <c r="L37" s="1856"/>
      <c r="M37" s="1856"/>
    </row>
    <row r="38" spans="1:18" ht="18" customHeight="1" thickBot="1">
      <c r="A38" s="1338" t="s">
        <v>1392</v>
      </c>
      <c r="B38" s="1339" t="s">
        <v>1439</v>
      </c>
      <c r="C38" s="1340">
        <f ca="1">ROUND(C5*F38,1)</f>
        <v>1670.5</v>
      </c>
      <c r="D38" s="1341" t="s">
        <v>1459</v>
      </c>
      <c r="E38" s="1339" t="s">
        <v>1422</v>
      </c>
      <c r="F38" s="1335">
        <f ca="1">INDIRECT("'数据-取费表'!Am"&amp;$G$1)</f>
        <v>0.01</v>
      </c>
      <c r="G38" s="1848"/>
      <c r="H38" s="1856"/>
      <c r="I38" s="1857"/>
      <c r="J38" s="1858"/>
      <c r="K38" s="1862"/>
      <c r="L38" s="1856"/>
      <c r="M38" s="1856"/>
    </row>
    <row r="39" spans="1:18" ht="24.6" customHeight="1" thickTop="1">
      <c r="A39" s="1328" t="s">
        <v>1031</v>
      </c>
      <c r="B39" s="1343" t="s">
        <v>1463</v>
      </c>
      <c r="C39" s="355">
        <f ca="1">C5-C30</f>
        <v>128130</v>
      </c>
      <c r="D39" s="1344" t="s">
        <v>1464</v>
      </c>
      <c r="E39" s="1345"/>
      <c r="F39" s="1346"/>
      <c r="G39" s="1848"/>
      <c r="H39" s="1856"/>
      <c r="I39" s="1857"/>
      <c r="J39" s="1858"/>
      <c r="K39" s="1862"/>
      <c r="L39" s="1856"/>
      <c r="M39" s="1856"/>
    </row>
    <row r="40" spans="1:18" ht="18" customHeight="1">
      <c r="A40" s="344" t="s">
        <v>1032</v>
      </c>
      <c r="B40" s="345" t="s">
        <v>1485</v>
      </c>
      <c r="C40" s="346">
        <f ca="1">ROUND(C39*(1-((1+F42)/(1+F40))^F41)/(F40-F42),0)</f>
        <v>3220909</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36.33</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ROUND(C40/F43,0)</f>
        <v>30161</v>
      </c>
      <c r="D43" s="383" t="s">
        <v>1488</v>
      </c>
      <c r="E43" s="384" t="s">
        <v>1489</v>
      </c>
      <c r="F43" s="385">
        <f ca="1">INDIRECT("'数据-取费表'!k"&amp;$G$1)</f>
        <v>106.79</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-4481747</v>
      </c>
      <c r="D45" s="1937" t="s">
        <v>1604</v>
      </c>
      <c r="E45" s="1863"/>
      <c r="F45" s="1863"/>
      <c r="O45" s="1866" t="s">
        <v>1519</v>
      </c>
      <c r="P45" s="1836"/>
      <c r="Q45" s="1836"/>
      <c r="R45" s="1836"/>
    </row>
    <row r="46" spans="1:18" s="1839" customFormat="1" ht="13.5" thickBot="1">
      <c r="A46" s="1867" t="s">
        <v>1520</v>
      </c>
      <c r="C46" s="1868">
        <f ca="1">ROUND(C45/10000,0)</f>
        <v>-448</v>
      </c>
      <c r="D46" s="1869" t="str">
        <f>C2</f>
        <v>万元</v>
      </c>
      <c r="I46" s="1870" t="s">
        <v>1521</v>
      </c>
      <c r="J46" s="1871"/>
      <c r="K46" s="1872"/>
      <c r="L46" s="1873">
        <f ca="1">IF(M47="住宅",0,IF(L48&gt;J51,L60,J60))</f>
        <v>8708</v>
      </c>
      <c r="O46" s="1874" t="s">
        <v>1522</v>
      </c>
      <c r="P46" s="1875" t="s">
        <v>1523</v>
      </c>
      <c r="Q46" s="1876" t="s">
        <v>1524</v>
      </c>
      <c r="R46" s="1876" t="s">
        <v>1525</v>
      </c>
    </row>
    <row r="47" spans="1:18" s="1839" customFormat="1" ht="13.5" thickBot="1">
      <c r="A47" s="1164" t="s">
        <v>1396</v>
      </c>
      <c r="B47" s="1196" t="s">
        <v>1397</v>
      </c>
      <c r="C47" s="1196" t="s">
        <v>1398</v>
      </c>
      <c r="D47" s="1196" t="s">
        <v>1399</v>
      </c>
      <c r="E47" s="1278" t="s">
        <v>1400</v>
      </c>
      <c r="F47" s="1279"/>
      <c r="G47" s="791"/>
      <c r="I47" s="1877" t="s">
        <v>1526</v>
      </c>
      <c r="J47" s="1878" t="s">
        <v>3080</v>
      </c>
      <c r="K47" s="1879" t="s">
        <v>1527</v>
      </c>
      <c r="L47" s="1880">
        <f ca="1">INDIRECT("'数据-取费表'!d"&amp;$G$1)</f>
        <v>50</v>
      </c>
      <c r="M47" s="1835" t="str">
        <f>IF(ISNUMBER(FIND("住宅",C1)),"住宅","非住宅")</f>
        <v>非住宅</v>
      </c>
      <c r="O47" s="1881" t="s">
        <v>1040</v>
      </c>
      <c r="P47" s="1882" t="s">
        <v>1528</v>
      </c>
      <c r="Q47" s="1883">
        <f ca="1">C40+J29</f>
        <v>3220909</v>
      </c>
      <c r="R47" s="1883" t="s">
        <v>1529</v>
      </c>
    </row>
    <row r="48" spans="1:18" s="1839" customFormat="1" ht="28.5" thickBot="1">
      <c r="A48" s="1359" t="s">
        <v>1135</v>
      </c>
      <c r="B48" s="345" t="s">
        <v>1401</v>
      </c>
      <c r="C48" s="3006">
        <f ca="1">C49+C53+C55</f>
        <v>0</v>
      </c>
      <c r="D48" s="1361"/>
      <c r="E48" s="1362"/>
      <c r="F48" s="1180"/>
      <c r="G48" s="791"/>
      <c r="H48" s="792"/>
      <c r="I48" s="1884" t="s">
        <v>1530</v>
      </c>
      <c r="J48" s="1885" t="s">
        <v>3081</v>
      </c>
      <c r="K48" s="1886" t="s">
        <v>1531</v>
      </c>
      <c r="L48" s="1887">
        <f ca="1">INDIRECT("'数据-取费表'!f"&amp;$G$1)</f>
        <v>36.33</v>
      </c>
      <c r="O48" s="1881" t="s">
        <v>1041</v>
      </c>
      <c r="P48" s="1882" t="s">
        <v>1532</v>
      </c>
      <c r="Q48" s="1883">
        <f ca="1">J60</f>
        <v>8708</v>
      </c>
      <c r="R48" s="1883" t="s">
        <v>1533</v>
      </c>
    </row>
    <row r="49" spans="1:18" s="1839" customFormat="1" ht="13.5" thickBot="1">
      <c r="A49" s="1193" t="s">
        <v>1136</v>
      </c>
      <c r="B49" s="1827" t="s">
        <v>1490</v>
      </c>
      <c r="C49" s="1363">
        <f ca="1">ROUND(F49*F51*F50*(1-F52),0)</f>
        <v>0</v>
      </c>
      <c r="D49" s="1275" t="s">
        <v>1404</v>
      </c>
      <c r="E49" s="1828" t="s">
        <v>1491</v>
      </c>
      <c r="F49" s="1280"/>
      <c r="G49" s="1888"/>
      <c r="H49" s="792"/>
      <c r="I49" s="1884" t="s">
        <v>1534</v>
      </c>
      <c r="J49" s="1889">
        <v>2016</v>
      </c>
      <c r="K49" s="1886" t="s">
        <v>1535</v>
      </c>
      <c r="L49" s="1890"/>
      <c r="O49" s="1891" t="s">
        <v>1042</v>
      </c>
      <c r="P49" s="1882" t="s">
        <v>1536</v>
      </c>
      <c r="Q49" s="1883">
        <f ca="1">C29</f>
        <v>498380</v>
      </c>
      <c r="R49" s="1883" t="s">
        <v>1529</v>
      </c>
    </row>
    <row r="50" spans="1:18" s="1839" customFormat="1" ht="13.5" thickBot="1">
      <c r="A50" s="1194"/>
      <c r="B50" s="1197"/>
      <c r="C50" s="1198"/>
      <c r="D50" s="1171"/>
      <c r="E50" s="1276" t="s">
        <v>1406</v>
      </c>
      <c r="F50" s="1277">
        <f ca="1">F7</f>
        <v>106.79</v>
      </c>
      <c r="H50" s="792"/>
      <c r="I50" s="1884" t="s">
        <v>1537</v>
      </c>
      <c r="J50" s="1892">
        <f>SUMPRODUCT((I63:I65=J47)*(J62:L62=J48)*(J63:L65))</f>
        <v>60</v>
      </c>
      <c r="K50" s="1886" t="s">
        <v>1538</v>
      </c>
      <c r="L50" s="1890"/>
      <c r="M50" s="1893"/>
      <c r="O50" s="1891" t="s">
        <v>1043</v>
      </c>
      <c r="P50" s="1882" t="s">
        <v>1539</v>
      </c>
      <c r="Q50" s="1894">
        <f ca="1">J58</f>
        <v>0.4</v>
      </c>
      <c r="R50" s="1883"/>
    </row>
    <row r="51" spans="1:18" s="1839" customFormat="1" ht="13.5" thickBot="1">
      <c r="A51" s="1195"/>
      <c r="B51" s="1197"/>
      <c r="C51" s="1198"/>
      <c r="D51" s="1171"/>
      <c r="E51" s="1199" t="s">
        <v>1407</v>
      </c>
      <c r="F51" s="348">
        <f ca="1">F8</f>
        <v>365</v>
      </c>
      <c r="I51" s="1895" t="s">
        <v>1540</v>
      </c>
      <c r="J51" s="1896">
        <f>IF(J49="",J50,J49+J50-YEAR('数据-取费表'!B2))</f>
        <v>58</v>
      </c>
      <c r="K51" s="1897" t="s">
        <v>1541</v>
      </c>
      <c r="L51" s="1898">
        <f ca="1">ROUND(-PV(INDIRECT("'数据-取费表'!h"&amp;$G$1),L48,(C39-C13*C76),0),0)</f>
        <v>1543345</v>
      </c>
      <c r="M51" s="1899"/>
      <c r="O51" s="1891" t="s">
        <v>1044</v>
      </c>
      <c r="P51" s="1882" t="s">
        <v>1542</v>
      </c>
      <c r="Q51" s="1894">
        <f>J52</f>
        <v>0.09</v>
      </c>
      <c r="R51" s="1883"/>
    </row>
    <row r="52" spans="1:18" s="1839" customFormat="1" ht="13.5" thickBot="1">
      <c r="A52" s="1195"/>
      <c r="B52" s="1197"/>
      <c r="C52" s="1198"/>
      <c r="D52" s="1171"/>
      <c r="E52" s="1199" t="s">
        <v>1408</v>
      </c>
      <c r="F52" s="1274"/>
      <c r="I52" s="1900" t="s">
        <v>1543</v>
      </c>
      <c r="J52" s="1901">
        <v>0.09</v>
      </c>
      <c r="K52" s="1900" t="s">
        <v>1544</v>
      </c>
      <c r="L52" s="1901"/>
      <c r="O52" s="1891" t="s">
        <v>1045</v>
      </c>
      <c r="P52" s="1882" t="s">
        <v>1545</v>
      </c>
      <c r="Q52" s="1883">
        <f ca="1">J53</f>
        <v>36.33</v>
      </c>
      <c r="R52" s="1883" t="s">
        <v>1546</v>
      </c>
    </row>
    <row r="53" spans="1:18" s="1839" customFormat="1" ht="30.75" customHeight="1" thickBot="1">
      <c r="A53" s="1360" t="s">
        <v>1137</v>
      </c>
      <c r="B53" s="369" t="s">
        <v>1409</v>
      </c>
      <c r="C53" s="361">
        <f ca="1">ROUND(IF(F53="押一",C49/12*F11,IF(F53="押二",C49/12*2*F11,IF(F53="押三",C49/12*3*F11,C54*F11))),0)</f>
        <v>0</v>
      </c>
      <c r="D53" s="1822" t="s">
        <v>3040</v>
      </c>
      <c r="E53" s="358" t="s">
        <v>1410</v>
      </c>
      <c r="F53" s="1365"/>
      <c r="I53" s="1902" t="s">
        <v>1547</v>
      </c>
      <c r="J53" s="1903">
        <f ca="1">IF(M47="住宅",J51,IF(D1="——",MIN(J51,L48),IF(D1="在建（套用方法）",MIN(J51,L48-'数据-取费表'!B24),IF(D1="土地（套用方法）",MIN(J51,L48-'数据-取费表'!B20)))))</f>
        <v>36.33</v>
      </c>
      <c r="K53" s="3294" t="s">
        <v>1548</v>
      </c>
      <c r="L53" s="3295"/>
      <c r="O53" s="1881" t="s">
        <v>1046</v>
      </c>
      <c r="P53" s="1882" t="s">
        <v>1549</v>
      </c>
      <c r="Q53" s="1883">
        <f ca="1">Q47+Q48</f>
        <v>3229617</v>
      </c>
      <c r="R53" s="1883" t="s">
        <v>1047</v>
      </c>
    </row>
    <row r="54" spans="1:18" s="1839" customFormat="1" ht="13.5" thickBot="1">
      <c r="A54" s="1193"/>
      <c r="B54" s="1938" t="s">
        <v>1603</v>
      </c>
      <c r="C54" s="1177"/>
      <c r="D54" s="1822"/>
      <c r="E54" s="301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2" t="s">
        <v>1075</v>
      </c>
      <c r="B55" s="1825" t="s">
        <v>1413</v>
      </c>
      <c r="C55" s="1333"/>
      <c r="D55" s="1822"/>
      <c r="E55" s="3010"/>
      <c r="F55" s="1904"/>
      <c r="I55" s="1907" t="s">
        <v>1551</v>
      </c>
      <c r="J55" s="1908">
        <f ca="1">ROUND(IF(J47="钢混",J57/J50,1-(1-2%)*(J50-J57)/J50),3)</f>
        <v>0.36099999999999999</v>
      </c>
      <c r="K55" s="1909" t="s">
        <v>1552</v>
      </c>
      <c r="L55" s="1910"/>
      <c r="O55" s="1874" t="s">
        <v>1522</v>
      </c>
      <c r="P55" s="1875" t="s">
        <v>1523</v>
      </c>
      <c r="Q55" s="1876" t="s">
        <v>1524</v>
      </c>
      <c r="R55" s="1876" t="s">
        <v>1525</v>
      </c>
    </row>
    <row r="56" spans="1:18" s="1839" customFormat="1" ht="36" customHeight="1" thickTop="1" thickBot="1">
      <c r="A56" s="1175">
        <v>2</v>
      </c>
      <c r="B56" s="1176" t="s">
        <v>1414</v>
      </c>
      <c r="C56" s="276">
        <f ca="1">C13</f>
        <v>483429</v>
      </c>
      <c r="D56" s="1911"/>
      <c r="E56" s="1912"/>
      <c r="F56" s="1904"/>
      <c r="I56" s="1913" t="s">
        <v>1554</v>
      </c>
      <c r="J56" s="1914" t="s">
        <v>3049</v>
      </c>
      <c r="K56" s="1884" t="s">
        <v>1555</v>
      </c>
      <c r="L56" s="1887" t="str">
        <f ca="1">IF(L48&lt;J51,"——",L48-J51)</f>
        <v>——</v>
      </c>
      <c r="O56" s="1881" t="s">
        <v>1040</v>
      </c>
      <c r="P56" s="1882" t="s">
        <v>1528</v>
      </c>
      <c r="Q56" s="1883">
        <f ca="1">C40+J29</f>
        <v>3220909</v>
      </c>
      <c r="R56" s="1883" t="s">
        <v>1529</v>
      </c>
    </row>
    <row r="57" spans="1:18" s="1839" customFormat="1" ht="24.75" thickBot="1">
      <c r="A57" s="1915"/>
      <c r="B57" s="1168" t="s">
        <v>1478</v>
      </c>
      <c r="C57" s="282">
        <f ca="1">C29</f>
        <v>498380</v>
      </c>
      <c r="D57" s="1916"/>
      <c r="E57" s="1917"/>
      <c r="F57" s="1918"/>
      <c r="I57" s="1919" t="s">
        <v>1556</v>
      </c>
      <c r="J57" s="1920">
        <f ca="1">IF(OR(M47="住宅",J51&lt;L48,J56="是"),"——",J51-L48)</f>
        <v>21.67</v>
      </c>
      <c r="K57" s="1884" t="s">
        <v>1605</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6" t="s">
        <v>1424</v>
      </c>
      <c r="C58" s="361">
        <f ca="1">ROUND(C59+C64+C65+C66,0)</f>
        <v>50157</v>
      </c>
      <c r="D58" s="1178" t="s">
        <v>1425</v>
      </c>
      <c r="E58" s="1179"/>
      <c r="F58" s="1180"/>
      <c r="I58" s="1919" t="s">
        <v>1560</v>
      </c>
      <c r="J58" s="1921">
        <f ca="1">IF(J55&lt;0.4,0.4,J55)</f>
        <v>0.4</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200" t="s">
        <v>1035</v>
      </c>
      <c r="B59" s="1168" t="s">
        <v>1429</v>
      </c>
      <c r="C59" s="24">
        <f ca="1">ROUND(IF(项目基本情况!B11="自然人",C48*F59,C60+C61+C62),0)</f>
        <v>41956</v>
      </c>
      <c r="D59" s="1181" t="s">
        <v>1430</v>
      </c>
      <c r="E59" s="1182" t="s">
        <v>1431</v>
      </c>
      <c r="F59" s="368" t="str">
        <f ca="1">IF(项目基本情况!B11="企业","",IF(INDIRECT("'数据-取费表'!c"&amp;$G$1)="住宅",5%,IF(F49*F50*F51/12/(1+'数据-取费表'!C42)&gt;20000,12%,7%)))</f>
        <v/>
      </c>
      <c r="I59" s="1919" t="s">
        <v>1563</v>
      </c>
      <c r="J59" s="1920">
        <f ca="1">IF(OR(M47="住宅",J51&lt;L48,J56="是"),"——",ROUND(C29*J58,0))</f>
        <v>199352</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2" t="s">
        <v>1565</v>
      </c>
      <c r="J60" s="1923">
        <f ca="1">IF(OR(M47="住宅",J51&lt;L48,J56="是"),"0",ROUND(J59/(1+J52)^J53,0))</f>
        <v>8708</v>
      </c>
      <c r="K60" s="1924" t="s">
        <v>1566</v>
      </c>
      <c r="L60" s="1923">
        <f ca="1">IF(OR(M47="住宅",L48&lt;J51),0,ROUND(L57*(L58/L59-1),0))</f>
        <v>0</v>
      </c>
      <c r="O60" s="1891" t="s">
        <v>1044</v>
      </c>
      <c r="P60" s="1882" t="s">
        <v>1567</v>
      </c>
      <c r="Q60" s="1883" t="e">
        <f ca="1">L58</f>
        <v>#DIV/0!</v>
      </c>
      <c r="R60" s="1883" t="s">
        <v>1568</v>
      </c>
    </row>
    <row r="61" spans="1:18" s="1839" customFormat="1" ht="13.5" thickBot="1">
      <c r="A61" s="1200" t="s">
        <v>1492</v>
      </c>
      <c r="B61" s="1168" t="s">
        <v>1437</v>
      </c>
      <c r="C61" s="24">
        <f ca="1">IF(项目基本情况!B11="自然人","——",IF(D61="按租金收入计税",ROUND(C48*F61,0),IF(D61="按房产原值计税",ROUND(C57*F61*0.7,0),INDIRECT("'数据-取费表'!Aj"&amp;$G$1))))</f>
        <v>41864</v>
      </c>
      <c r="D61" s="1826" t="s">
        <v>1438</v>
      </c>
      <c r="E61" s="1168"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200" t="s">
        <v>1495</v>
      </c>
      <c r="B62" s="1167" t="s">
        <v>1441</v>
      </c>
      <c r="C62" s="25">
        <f ca="1">IF(项目基本情况!B11="自然人","——",ROUND(F62*F63,0))</f>
        <v>92</v>
      </c>
      <c r="D62" s="1183" t="s">
        <v>1442</v>
      </c>
      <c r="E62" s="1168" t="s">
        <v>1443</v>
      </c>
      <c r="F62" s="371">
        <f t="shared" si="0"/>
        <v>3</v>
      </c>
      <c r="I62" s="1926" t="s">
        <v>1570</v>
      </c>
      <c r="J62" s="1927" t="s">
        <v>1571</v>
      </c>
      <c r="K62" s="1927" t="s">
        <v>1572</v>
      </c>
      <c r="L62" s="1927" t="s">
        <v>1573</v>
      </c>
      <c r="M62" s="1928" t="s">
        <v>1574</v>
      </c>
      <c r="O62" s="1881" t="s">
        <v>1046</v>
      </c>
      <c r="P62" s="1882" t="s">
        <v>1549</v>
      </c>
      <c r="Q62" s="1883">
        <f ca="1">Q56+Q57</f>
        <v>3220909</v>
      </c>
      <c r="R62" s="1883" t="s">
        <v>1047</v>
      </c>
    </row>
    <row r="63" spans="1:18" s="1839" customFormat="1" ht="13.5" thickBot="1">
      <c r="A63" s="372"/>
      <c r="B63" s="1174"/>
      <c r="C63" s="29"/>
      <c r="D63" s="1184"/>
      <c r="E63" s="1168" t="s">
        <v>1447</v>
      </c>
      <c r="F63" s="348">
        <f t="shared" ca="1" si="0"/>
        <v>30.51</v>
      </c>
      <c r="I63" s="1926" t="s">
        <v>1576</v>
      </c>
      <c r="J63" s="1927">
        <v>70</v>
      </c>
      <c r="K63" s="1927">
        <v>50</v>
      </c>
      <c r="L63" s="1927">
        <v>80</v>
      </c>
      <c r="M63" s="1929">
        <v>0.02</v>
      </c>
      <c r="O63" s="1866" t="s">
        <v>1577</v>
      </c>
      <c r="P63" s="1836"/>
      <c r="Q63" s="1836"/>
      <c r="R63" s="1836"/>
    </row>
    <row r="64" spans="1:18" s="1839" customFormat="1" ht="13.5" thickBot="1">
      <c r="A64" s="1200" t="s">
        <v>1039</v>
      </c>
      <c r="B64" s="1168" t="s">
        <v>1449</v>
      </c>
      <c r="C64" s="24">
        <f ca="1">ROUND(C57*F64,0)</f>
        <v>7476</v>
      </c>
      <c r="D64" s="1182" t="s">
        <v>1482</v>
      </c>
      <c r="E64" s="1168"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4">
        <f ca="1">ROUND(C56*F65,0)</f>
        <v>725</v>
      </c>
      <c r="D65" s="1182" t="s">
        <v>1454</v>
      </c>
      <c r="E65" s="1168" t="s">
        <v>1422</v>
      </c>
      <c r="F65" s="376">
        <f t="shared" ca="1" si="0"/>
        <v>1.5E-3</v>
      </c>
      <c r="I65" s="1926" t="s">
        <v>1579</v>
      </c>
      <c r="J65" s="1927">
        <v>40</v>
      </c>
      <c r="K65" s="1927">
        <v>30</v>
      </c>
      <c r="L65" s="1927">
        <v>50</v>
      </c>
      <c r="M65" s="1929">
        <v>0.02</v>
      </c>
      <c r="O65" s="1881" t="s">
        <v>1040</v>
      </c>
      <c r="P65" s="1882" t="s">
        <v>1528</v>
      </c>
      <c r="Q65" s="1883">
        <f ca="1">C40+J29</f>
        <v>3220909</v>
      </c>
      <c r="R65" s="1883" t="s">
        <v>1529</v>
      </c>
    </row>
    <row r="66" spans="1:18" s="1839" customFormat="1" ht="16.5" thickBot="1">
      <c r="A66" s="1200" t="s">
        <v>1504</v>
      </c>
      <c r="B66" s="1168" t="s">
        <v>1439</v>
      </c>
      <c r="C66" s="24">
        <f ca="1">ROUND(C48*F66,0)</f>
        <v>0</v>
      </c>
      <c r="D66" s="1182" t="s">
        <v>1459</v>
      </c>
      <c r="E66" s="1168" t="s">
        <v>1422</v>
      </c>
      <c r="F66" s="357">
        <f t="shared" ca="1" si="0"/>
        <v>0.01</v>
      </c>
      <c r="O66" s="1881" t="s">
        <v>1041</v>
      </c>
      <c r="P66" s="1882" t="s">
        <v>1558</v>
      </c>
      <c r="Q66" s="1883">
        <f ca="1">L60</f>
        <v>0</v>
      </c>
      <c r="R66" s="1883" t="s">
        <v>1581</v>
      </c>
    </row>
    <row r="67" spans="1:18" s="1839" customFormat="1" ht="16.5" thickBot="1">
      <c r="A67" s="1175" t="s">
        <v>1031</v>
      </c>
      <c r="B67" s="1185" t="s">
        <v>1463</v>
      </c>
      <c r="C67" s="361">
        <f ca="1">C48-C58</f>
        <v>-50157</v>
      </c>
      <c r="D67" s="1181" t="s">
        <v>1464</v>
      </c>
      <c r="E67" s="1186"/>
      <c r="F67" s="1187"/>
      <c r="O67" s="1891" t="s">
        <v>1042</v>
      </c>
      <c r="P67" s="1882" t="s">
        <v>1562</v>
      </c>
      <c r="Q67" s="1930">
        <f ca="1">L51</f>
        <v>1543345</v>
      </c>
      <c r="R67" s="1883" t="s">
        <v>1582</v>
      </c>
    </row>
    <row r="68" spans="1:18" s="1839" customFormat="1" ht="16.5" thickBot="1">
      <c r="A68" s="1165" t="s">
        <v>1032</v>
      </c>
      <c r="B68" s="1166" t="s">
        <v>1485</v>
      </c>
      <c r="C68" s="346">
        <f ca="1">ROUND(C67*(1-((1+F70)/(1+F68))^F69)/(F68-F70),0)</f>
        <v>-1260838</v>
      </c>
      <c r="D68" s="1183" t="s">
        <v>1469</v>
      </c>
      <c r="E68" s="1168" t="s">
        <v>1470</v>
      </c>
      <c r="F68" s="357">
        <f ca="1">F40</f>
        <v>0.05</v>
      </c>
      <c r="O68" s="1891" t="s">
        <v>1043</v>
      </c>
      <c r="P68" s="1931" t="s">
        <v>1583</v>
      </c>
      <c r="Q68" s="1883">
        <f ca="1">ROUND(Q69-Q70*Q71,0)</f>
        <v>87039</v>
      </c>
      <c r="R68" s="1883" t="s">
        <v>1051</v>
      </c>
    </row>
    <row r="69" spans="1:18" s="1839" customFormat="1" ht="13.5" thickBot="1">
      <c r="A69" s="1169"/>
      <c r="B69" s="1170"/>
      <c r="C69" s="351"/>
      <c r="D69" s="1188" t="s">
        <v>1473</v>
      </c>
      <c r="E69" s="1168" t="s">
        <v>1474</v>
      </c>
      <c r="F69" s="379">
        <f ca="1">F41</f>
        <v>36.33</v>
      </c>
      <c r="O69" s="1891" t="s">
        <v>1048</v>
      </c>
      <c r="P69" s="1931" t="s">
        <v>1584</v>
      </c>
      <c r="Q69" s="1883">
        <f ca="1">C39</f>
        <v>128130</v>
      </c>
      <c r="R69" s="1883" t="s">
        <v>1529</v>
      </c>
    </row>
    <row r="70" spans="1:18" s="1839" customFormat="1" ht="13.5" thickBot="1">
      <c r="A70" s="1172"/>
      <c r="B70" s="1173"/>
      <c r="C70" s="355"/>
      <c r="D70" s="1184"/>
      <c r="E70" s="1168" t="s">
        <v>1477</v>
      </c>
      <c r="F70" s="1274">
        <f ca="1">F42</f>
        <v>0.03</v>
      </c>
      <c r="O70" s="1891" t="s">
        <v>1049</v>
      </c>
      <c r="P70" s="1931" t="s">
        <v>1585</v>
      </c>
      <c r="Q70" s="1883">
        <f ca="1">C13</f>
        <v>483429</v>
      </c>
      <c r="R70" s="1883" t="s">
        <v>1529</v>
      </c>
    </row>
    <row r="71" spans="1:18" s="1839" customFormat="1" ht="13.5" thickBot="1">
      <c r="A71" s="1189" t="s">
        <v>1033</v>
      </c>
      <c r="B71" s="1190" t="s">
        <v>1487</v>
      </c>
      <c r="C71" s="382">
        <f ca="1">ROUND(C68/F71,0)</f>
        <v>-11807</v>
      </c>
      <c r="D71" s="1191" t="s">
        <v>1488</v>
      </c>
      <c r="E71" s="1192" t="s">
        <v>1489</v>
      </c>
      <c r="F71" s="385">
        <f ca="1">F43</f>
        <v>106.79</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41091</v>
      </c>
      <c r="D75" s="1839"/>
      <c r="E75" s="1839"/>
      <c r="F75" s="1839"/>
      <c r="K75" s="1865"/>
      <c r="L75" s="1839"/>
      <c r="O75" s="1881" t="s">
        <v>1046</v>
      </c>
      <c r="P75" s="1882" t="s">
        <v>1549</v>
      </c>
      <c r="Q75" s="1883">
        <f ca="1">Q65+Q66</f>
        <v>3220909</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0.67900000000000005</v>
      </c>
    </row>
    <row r="80" spans="1:18">
      <c r="B80" s="386" t="s">
        <v>1511</v>
      </c>
      <c r="C80" s="318">
        <f ca="1">ROUND(C75/C39,3)</f>
        <v>0.32100000000000001</v>
      </c>
    </row>
    <row r="81" spans="2:3">
      <c r="B81" s="314" t="s">
        <v>1512</v>
      </c>
      <c r="C81" s="282"/>
    </row>
    <row r="82" spans="2:3">
      <c r="B82" s="317" t="s">
        <v>1513</v>
      </c>
      <c r="C82" s="319">
        <f ca="1">1-C83</f>
        <v>0.85</v>
      </c>
    </row>
    <row r="83" spans="2:3">
      <c r="B83" s="317" t="s">
        <v>1514</v>
      </c>
      <c r="C83" s="318">
        <f ca="1">ROUND(C13/C40,3)</f>
        <v>0.15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3" sqref="F4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1" t="s">
        <v>1589</v>
      </c>
      <c r="B1" s="781"/>
      <c r="C1" s="3026" t="s">
        <v>4108</v>
      </c>
      <c r="D1" s="1818" t="s">
        <v>70</v>
      </c>
      <c r="E1" s="1819" t="s">
        <v>1387</v>
      </c>
      <c r="F1" s="1282">
        <f ca="1">J53</f>
        <v>36.33</v>
      </c>
      <c r="G1" s="1834">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328</v>
      </c>
      <c r="C2" s="1842" t="s">
        <v>1516</v>
      </c>
      <c r="D2" s="1842"/>
      <c r="E2" s="1843"/>
      <c r="F2" s="1844"/>
      <c r="G2" s="1845"/>
      <c r="H2" s="1837"/>
      <c r="I2" s="1837"/>
      <c r="J2" s="1837"/>
      <c r="K2" s="1838"/>
      <c r="L2" s="1837"/>
      <c r="M2" s="1837"/>
    </row>
    <row r="3" spans="1:37" ht="18" customHeight="1" thickBot="1">
      <c r="A3" s="1846" t="s">
        <v>1517</v>
      </c>
      <c r="B3" s="1847">
        <f ca="1">IF(ISERROR(B2*10000/F43),0,ROUND(B2*10000/F43,0))</f>
        <v>30714</v>
      </c>
      <c r="C3" s="1842" t="s">
        <v>1518</v>
      </c>
      <c r="D3" s="1842"/>
      <c r="E3" s="1843"/>
      <c r="F3" s="1844"/>
      <c r="G3" s="1845"/>
      <c r="H3" s="743"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1">
        <f ca="1">C6+C10+C12</f>
        <v>17</v>
      </c>
      <c r="D5" s="1820" t="s">
        <v>1402</v>
      </c>
      <c r="E5" s="1292"/>
      <c r="F5" s="1293"/>
      <c r="G5" s="1848"/>
      <c r="H5" s="344">
        <v>1</v>
      </c>
      <c r="I5" s="345" t="s">
        <v>1401</v>
      </c>
      <c r="J5" s="1291">
        <f ca="1">J6+J10+J12</f>
        <v>0</v>
      </c>
      <c r="K5" s="1820" t="s">
        <v>1402</v>
      </c>
      <c r="L5" s="1292"/>
      <c r="M5" s="1293"/>
    </row>
    <row r="6" spans="1:37" ht="18" customHeight="1">
      <c r="A6" s="1290" t="s">
        <v>1035</v>
      </c>
      <c r="B6" s="3291" t="s">
        <v>1403</v>
      </c>
      <c r="C6" s="1295">
        <f ca="1">ROUND(F6*F8*F7*(1-F9)/10000,0)</f>
        <v>17</v>
      </c>
      <c r="D6" s="164" t="s">
        <v>3029</v>
      </c>
      <c r="E6" s="347" t="s">
        <v>1405</v>
      </c>
      <c r="F6" s="348">
        <f ca="1">INDIRECT("'数据-取费表'!u"&amp;$G$1)</f>
        <v>4.5</v>
      </c>
      <c r="G6" s="1848"/>
      <c r="H6" s="1290" t="s">
        <v>1035</v>
      </c>
      <c r="I6" s="3291" t="s">
        <v>1403</v>
      </c>
      <c r="J6" s="346">
        <f ca="1">ROUND(M6*M8*M7*(1-M9)/10000,0)</f>
        <v>0</v>
      </c>
      <c r="K6" s="164" t="s">
        <v>3028</v>
      </c>
      <c r="L6" s="347" t="s">
        <v>1405</v>
      </c>
      <c r="M6" s="348">
        <f ca="1">INDIRECT("'数据-取费表'!z"&amp;$G$1)</f>
        <v>0</v>
      </c>
    </row>
    <row r="7" spans="1:37" ht="18" customHeight="1">
      <c r="A7" s="1294"/>
      <c r="B7" s="3292"/>
      <c r="C7" s="1296"/>
      <c r="D7" s="352"/>
      <c r="E7" s="2949" t="s">
        <v>1406</v>
      </c>
      <c r="F7" s="348">
        <f ca="1">IF(INDIRECT("'数据-取费表'!ah"&amp;$G$1)="",INDIRECT("'数据-取费表'!k"&amp;$G$1),INDIRECT("'数据-取费表'!ah"&amp;$G$1))</f>
        <v>106.79</v>
      </c>
      <c r="G7" s="1848"/>
      <c r="H7" s="349"/>
      <c r="I7" s="3292"/>
      <c r="J7" s="351"/>
      <c r="K7" s="352"/>
      <c r="L7" s="347" t="s">
        <v>1406</v>
      </c>
      <c r="M7" s="348">
        <f ca="1">F7</f>
        <v>106.79</v>
      </c>
    </row>
    <row r="8" spans="1:37" ht="18" customHeight="1">
      <c r="A8" s="349"/>
      <c r="B8" s="3292"/>
      <c r="C8" s="351"/>
      <c r="D8" s="352"/>
      <c r="E8" s="347" t="s">
        <v>1407</v>
      </c>
      <c r="F8" s="348">
        <f ca="1">INDIRECT("'数据-取费表'!ai"&amp;$G$1)</f>
        <v>365</v>
      </c>
      <c r="G8" s="1848"/>
      <c r="H8" s="349"/>
      <c r="I8" s="3292"/>
      <c r="J8" s="351"/>
      <c r="K8" s="352"/>
      <c r="L8" s="347" t="s">
        <v>1407</v>
      </c>
      <c r="M8" s="348">
        <f ca="1">INDIRECT("'数据-取费表'!ai"&amp;$G$1)</f>
        <v>365</v>
      </c>
    </row>
    <row r="9" spans="1:37" ht="18" customHeight="1">
      <c r="A9" s="349"/>
      <c r="B9" s="3293"/>
      <c r="C9" s="351"/>
      <c r="D9" s="352"/>
      <c r="E9" s="347" t="s">
        <v>1408</v>
      </c>
      <c r="F9" s="357">
        <f ca="1">INDIRECT("'数据-取费表'!w"&amp;$G$1)</f>
        <v>0.05</v>
      </c>
      <c r="G9" s="1848"/>
      <c r="H9" s="349"/>
      <c r="I9" s="3293"/>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3037</v>
      </c>
      <c r="E10" s="358" t="s">
        <v>1410</v>
      </c>
      <c r="F10" s="3017" t="s">
        <v>3078</v>
      </c>
      <c r="G10" s="1848"/>
      <c r="H10" s="1290" t="s">
        <v>1039</v>
      </c>
      <c r="I10" s="1821" t="s">
        <v>1409</v>
      </c>
      <c r="J10" s="346">
        <f ca="1">ROUND(IF(M10="押一",J6/12*M11,IF(M10="押二",J6/12*2*M11,IF(M10="押三",J6/12*3*M11,J11*M11))),0)</f>
        <v>0</v>
      </c>
      <c r="K10" s="1822" t="s">
        <v>3037</v>
      </c>
      <c r="L10" s="358" t="s">
        <v>1410</v>
      </c>
      <c r="M10" s="1365" t="s">
        <v>1411</v>
      </c>
    </row>
    <row r="11" spans="1:37" ht="18" customHeight="1">
      <c r="A11" s="353"/>
      <c r="B11" s="1823" t="s">
        <v>1388</v>
      </c>
      <c r="C11" s="1177"/>
      <c r="D11" s="1824"/>
      <c r="E11" s="358" t="s">
        <v>1412</v>
      </c>
      <c r="F11" s="359">
        <f ca="1">'数据-取费表'!B39</f>
        <v>1.4999999999999999E-2</v>
      </c>
      <c r="G11" s="1848"/>
      <c r="H11" s="1298"/>
      <c r="I11" s="1823" t="s">
        <v>1388</v>
      </c>
      <c r="J11" s="1177"/>
      <c r="K11" s="747"/>
      <c r="L11" s="358" t="s">
        <v>1412</v>
      </c>
      <c r="M11" s="1055">
        <f ca="1">'数据-取费表'!B39</f>
        <v>1.4999999999999999E-2</v>
      </c>
    </row>
    <row r="12" spans="1:37" ht="18" customHeight="1" thickBot="1">
      <c r="A12" s="1332" t="s">
        <v>1075</v>
      </c>
      <c r="B12" s="1825" t="s">
        <v>1413</v>
      </c>
      <c r="C12" s="1333"/>
      <c r="D12" s="1334"/>
      <c r="E12" s="1339"/>
      <c r="F12" s="1335"/>
      <c r="G12" s="1848"/>
      <c r="H12" s="1332" t="s">
        <v>1075</v>
      </c>
      <c r="I12" s="1825" t="s">
        <v>1413</v>
      </c>
      <c r="J12" s="1333"/>
      <c r="K12" s="1347"/>
      <c r="L12" s="1339"/>
      <c r="M12" s="1348"/>
    </row>
    <row r="13" spans="1:37" ht="18" customHeight="1" thickTop="1">
      <c r="A13" s="1328">
        <v>2</v>
      </c>
      <c r="B13" s="1329" t="s">
        <v>1414</v>
      </c>
      <c r="C13" s="355">
        <f ca="1">ROUND(C29*F13,0)</f>
        <v>48</v>
      </c>
      <c r="D13" s="1330" t="s">
        <v>1415</v>
      </c>
      <c r="E13" s="1330" t="s">
        <v>1416</v>
      </c>
      <c r="F13" s="1331">
        <f ca="1">INDIRECT("'数据-取费表'!y"&amp;$G$1)</f>
        <v>0.97</v>
      </c>
      <c r="G13" s="1848"/>
      <c r="H13" s="1328">
        <v>2</v>
      </c>
      <c r="I13" s="1329" t="s">
        <v>1414</v>
      </c>
      <c r="J13" s="1289">
        <f ca="1">ROUND(J14*J15,0)</f>
        <v>0</v>
      </c>
      <c r="K13" s="1336" t="s">
        <v>1415</v>
      </c>
      <c r="L13" s="1849"/>
      <c r="M13" s="1850"/>
    </row>
    <row r="14" spans="1:37" ht="18" customHeight="1">
      <c r="A14" s="1200" t="s">
        <v>1034</v>
      </c>
      <c r="B14" s="347" t="s">
        <v>1417</v>
      </c>
      <c r="C14" s="363">
        <f ca="1">INDIRECT("'数据-取费表'!m"&amp;$G$1)+INDIRECT("'数据-取费表'!t"&amp;$G$1)</f>
        <v>32</v>
      </c>
      <c r="D14" s="2940" t="s">
        <v>1418</v>
      </c>
      <c r="E14" s="2938"/>
      <c r="F14" s="364"/>
      <c r="G14" s="1848"/>
      <c r="H14" s="1200" t="s">
        <v>1035</v>
      </c>
      <c r="I14" s="347" t="s">
        <v>1419</v>
      </c>
      <c r="J14" s="24">
        <f ca="1">C29</f>
        <v>49</v>
      </c>
      <c r="K14" s="2948"/>
      <c r="L14" s="978"/>
      <c r="M14" s="979"/>
    </row>
    <row r="15" spans="1:37" s="1855" customFormat="1" ht="18" customHeight="1" thickBot="1">
      <c r="A15" s="1200" t="s">
        <v>1036</v>
      </c>
      <c r="B15" s="347" t="s">
        <v>1420</v>
      </c>
      <c r="C15" s="24">
        <f ca="1">ROUND(C14*F15,0)</f>
        <v>1</v>
      </c>
      <c r="D15" s="365" t="s">
        <v>1421</v>
      </c>
      <c r="E15" s="365" t="s">
        <v>1422</v>
      </c>
      <c r="F15" s="366">
        <f>'数据-取费表'!B33</f>
        <v>0.03</v>
      </c>
      <c r="G15" s="1851"/>
      <c r="H15" s="1338" t="s">
        <v>1039</v>
      </c>
      <c r="I15" s="1339" t="s">
        <v>1416</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8"/>
      <c r="H16" s="1328" t="s">
        <v>1030</v>
      </c>
      <c r="I16" s="1329" t="s">
        <v>1424</v>
      </c>
      <c r="J16" s="355">
        <f ca="1">ROUND(J17+J22+J23+J24,0)</f>
        <v>1</v>
      </c>
      <c r="K16" s="1336" t="s">
        <v>1425</v>
      </c>
      <c r="L16" s="2942"/>
      <c r="M16" s="1293"/>
    </row>
    <row r="17" spans="1:37" s="1855" customFormat="1" ht="18" customHeight="1">
      <c r="A17" s="1200" t="s">
        <v>1390</v>
      </c>
      <c r="B17" s="347" t="s">
        <v>1426</v>
      </c>
      <c r="C17" s="24">
        <f ca="1">ROUND(F17*(F43+INDIRECT("'数据-取费表'!S"&amp;$G$1))/10000,0)</f>
        <v>2</v>
      </c>
      <c r="D17" s="347" t="s">
        <v>1427</v>
      </c>
      <c r="E17" s="347" t="s">
        <v>1428</v>
      </c>
      <c r="F17" s="26">
        <f>'数据-取费表'!B35</f>
        <v>200</v>
      </c>
      <c r="G17" s="1851"/>
      <c r="H17" s="1200" t="s">
        <v>1035</v>
      </c>
      <c r="I17" s="347" t="s">
        <v>1429</v>
      </c>
      <c r="J17" s="24">
        <f ca="1">ROUND(IF(项目基本情况!B11="自然人",J5*M17,J18+J19+J20),1)</f>
        <v>0.4</v>
      </c>
      <c r="K17" s="2940" t="s">
        <v>1430</v>
      </c>
      <c r="L17" s="2939"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7" t="s">
        <v>1432</v>
      </c>
      <c r="C18" s="24">
        <f ca="1">ROUND(C14*F18,0)</f>
        <v>0</v>
      </c>
      <c r="D18" s="347" t="s">
        <v>1421</v>
      </c>
      <c r="E18" s="347" t="s">
        <v>1422</v>
      </c>
      <c r="F18" s="367">
        <f>'数据-取费表'!B36</f>
        <v>1.4999999999999999E-2</v>
      </c>
      <c r="G18" s="1851"/>
      <c r="H18" s="1200" t="s">
        <v>1034</v>
      </c>
      <c r="I18" s="347" t="s">
        <v>1433</v>
      </c>
      <c r="J18" s="24">
        <f ca="1">ROUND(J5*M18/(1+'数据-取费表'!C42),2)</f>
        <v>0</v>
      </c>
      <c r="K18" s="2939"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7" t="s">
        <v>1435</v>
      </c>
      <c r="C19" s="24">
        <f ca="1">SUM(C14:C18)</f>
        <v>35</v>
      </c>
      <c r="D19" s="140" t="s">
        <v>1436</v>
      </c>
      <c r="E19" s="2947"/>
      <c r="F19" s="26"/>
      <c r="G19" s="1848"/>
      <c r="H19" s="1200" t="s">
        <v>1036</v>
      </c>
      <c r="I19" s="347" t="s">
        <v>1437</v>
      </c>
      <c r="J19" s="24">
        <f ca="1">IF(K19="按租金收入计税",ROUND(J5*M19,2),ROUND(C29*M19*0.7,2))</f>
        <v>0.41</v>
      </c>
      <c r="K19" s="1826" t="s">
        <v>1438</v>
      </c>
      <c r="L19" s="347" t="s">
        <v>1422</v>
      </c>
      <c r="M19" s="367">
        <f>IF(K19="按租金收入计税",'数据-取费表'!B51,'数据-取费表'!B50)</f>
        <v>1.2E-2</v>
      </c>
    </row>
    <row r="20" spans="1:37" s="1855" customFormat="1" ht="18" customHeight="1">
      <c r="A20" s="1200" t="s">
        <v>1039</v>
      </c>
      <c r="B20" s="347" t="s">
        <v>1439</v>
      </c>
      <c r="C20" s="24">
        <f ca="1">ROUND(C19*F20,0)</f>
        <v>1</v>
      </c>
      <c r="D20" s="369" t="s">
        <v>1440</v>
      </c>
      <c r="E20" s="347" t="s">
        <v>1422</v>
      </c>
      <c r="F20" s="367">
        <f>'数据-取费表'!B37</f>
        <v>0.02</v>
      </c>
      <c r="G20" s="1851"/>
      <c r="H20" s="1200" t="s">
        <v>1389</v>
      </c>
      <c r="I20" s="164" t="s">
        <v>1441</v>
      </c>
      <c r="J20" s="25">
        <f ca="1">ROUND(M20*M21/10000,2)</f>
        <v>0.01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30.51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7"/>
      <c r="F22" s="26"/>
      <c r="G22" s="1848"/>
      <c r="H22" s="1200" t="s">
        <v>1039</v>
      </c>
      <c r="I22" s="347" t="s">
        <v>1449</v>
      </c>
      <c r="J22" s="24">
        <f ca="1">ROUND(J14*M22,1)</f>
        <v>0.7</v>
      </c>
      <c r="K22" s="2939" t="s">
        <v>1450</v>
      </c>
      <c r="L22" s="347" t="s">
        <v>1422</v>
      </c>
      <c r="M22" s="374">
        <f ca="1">INDIRECT("'数据-取费表'!Ak"&amp;$G$1)</f>
        <v>1.4999999999999999E-2</v>
      </c>
    </row>
    <row r="23" spans="1:37" s="1855" customFormat="1" ht="18" customHeight="1">
      <c r="A23" s="1200"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v>
      </c>
      <c r="G23" s="1851"/>
      <c r="H23" s="1200" t="s">
        <v>1075</v>
      </c>
      <c r="I23" s="347" t="s">
        <v>1453</v>
      </c>
      <c r="J23" s="24">
        <f ca="1">ROUND(J13*M23,1)</f>
        <v>0</v>
      </c>
      <c r="K23" s="2939"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1"/>
      <c r="H24" s="1338" t="s">
        <v>1392</v>
      </c>
      <c r="I24" s="1339" t="s">
        <v>1439</v>
      </c>
      <c r="J24" s="1340">
        <f ca="1">ROUND(J5*M24,1)</f>
        <v>0</v>
      </c>
      <c r="K24" s="1341" t="s">
        <v>1459</v>
      </c>
      <c r="L24" s="1339" t="s">
        <v>1422</v>
      </c>
      <c r="M24" s="1335">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1460</v>
      </c>
      <c r="B25" s="347" t="s">
        <v>1461</v>
      </c>
      <c r="C25" s="24"/>
      <c r="D25" s="140" t="s">
        <v>1462</v>
      </c>
      <c r="E25" s="2947"/>
      <c r="F25" s="26"/>
      <c r="G25" s="1848"/>
      <c r="H25" s="1328" t="s">
        <v>1031</v>
      </c>
      <c r="I25" s="1343" t="s">
        <v>1463</v>
      </c>
      <c r="J25" s="355">
        <f ca="1">J5-J16</f>
        <v>-1</v>
      </c>
      <c r="K25" s="1344" t="s">
        <v>1464</v>
      </c>
      <c r="L25" s="1345"/>
      <c r="M25" s="1346"/>
    </row>
    <row r="26" spans="1:37">
      <c r="A26" s="1200" t="s">
        <v>1034</v>
      </c>
      <c r="B26" s="347" t="s">
        <v>1465</v>
      </c>
      <c r="C26" s="24">
        <f ca="1">ROUND((C19+C20)*F26,0)</f>
        <v>7</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200"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1478</v>
      </c>
      <c r="C29" s="1340">
        <f ca="1">ROUND((C19+C20+C23+C26)/(1-F21-C24-C27-C28),0)</f>
        <v>49</v>
      </c>
      <c r="D29" s="1341"/>
      <c r="E29" s="1339"/>
      <c r="F29" s="1342"/>
      <c r="G29" s="1851"/>
      <c r="H29" s="380" t="s">
        <v>1033</v>
      </c>
      <c r="I29" s="381" t="s">
        <v>1479</v>
      </c>
      <c r="J29" s="382">
        <f ca="1">ROUND(J26/(1+F40)^F41,0)</f>
        <v>0</v>
      </c>
      <c r="K29" s="383" t="s">
        <v>1480</v>
      </c>
      <c r="L29" s="384"/>
      <c r="M29" s="385">
        <f ca="1">INDIRECT("'数据-取费表'!k"&amp;$G$1)</f>
        <v>106.79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1424</v>
      </c>
      <c r="C30" s="355">
        <f ca="1">ROUND(C31+C36+C37+C38,0)</f>
        <v>4</v>
      </c>
      <c r="D30" s="1336" t="s">
        <v>1425</v>
      </c>
      <c r="E30" s="2942"/>
      <c r="F30" s="1293"/>
      <c r="G30" s="1848"/>
      <c r="H30" s="744"/>
      <c r="I30" s="745"/>
      <c r="J30" s="746"/>
      <c r="K30" s="747"/>
      <c r="L30" s="748"/>
      <c r="M30" s="749"/>
    </row>
    <row r="31" spans="1:37" ht="18" customHeight="1">
      <c r="A31" s="1200" t="s">
        <v>1035</v>
      </c>
      <c r="B31" s="347" t="s">
        <v>1429</v>
      </c>
      <c r="C31" s="24">
        <f ca="1">ROUND(IF(项目基本情况!B11="自然人",C5*F31,C32+C33+C34),1)</f>
        <v>3</v>
      </c>
      <c r="D31" s="2940" t="s">
        <v>1430</v>
      </c>
      <c r="E31" s="2939" t="s">
        <v>1481</v>
      </c>
      <c r="F31" s="368" t="str">
        <f ca="1">IF(项目基本情况!B11="企业","",IF(INDIRECT("'数据-取费表'!c"&amp;$G$1)="住宅",5%,IF(F6*F7*F8/12/(1+'数据-取费表'!C42)&gt;20000,12%,7%)))</f>
        <v/>
      </c>
      <c r="G31" s="1848"/>
      <c r="H31" s="744"/>
      <c r="I31" s="745"/>
      <c r="J31" s="746"/>
      <c r="K31" s="747"/>
      <c r="L31" s="748"/>
      <c r="M31" s="749"/>
    </row>
    <row r="32" spans="1:37" ht="18" customHeight="1">
      <c r="A32" s="1200" t="s">
        <v>1034</v>
      </c>
      <c r="B32" s="347" t="s">
        <v>1433</v>
      </c>
      <c r="C32" s="24">
        <f ca="1">IF(项目基本情况!B11="自然人","——",ROUND(C5*F32/(1+'数据-取费表'!C42),2))</f>
        <v>0.91</v>
      </c>
      <c r="D32" s="2939" t="s">
        <v>1434</v>
      </c>
      <c r="E32" s="347" t="s">
        <v>1422</v>
      </c>
      <c r="F32" s="377">
        <f>'数据-取费表'!B41</f>
        <v>5.6000000000000001E-2</v>
      </c>
      <c r="G32" s="1848"/>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2.04</v>
      </c>
      <c r="D33" s="1826" t="s">
        <v>3079</v>
      </c>
      <c r="E33" s="347" t="s">
        <v>1422</v>
      </c>
      <c r="F33" s="367">
        <f>IF(D33="按票据","——",IF(D33="按租金收入计税",'数据-取费表'!B51,'数据-取费表'!B50))</f>
        <v>0.12</v>
      </c>
      <c r="G33" s="1848"/>
      <c r="H33" s="1856"/>
      <c r="I33" s="1857"/>
      <c r="J33" s="1858"/>
      <c r="K33" s="1859"/>
      <c r="L33" s="1856"/>
      <c r="M33" s="1856"/>
    </row>
    <row r="34" spans="1:18" ht="18" customHeight="1">
      <c r="A34" s="1290" t="s">
        <v>1389</v>
      </c>
      <c r="B34" s="164" t="s">
        <v>1441</v>
      </c>
      <c r="C34" s="25">
        <f ca="1">IF(项目基本情况!B11="自然人","——",ROUND(F34*F35/10000,2))</f>
        <v>0.01</v>
      </c>
      <c r="D34" s="370" t="s">
        <v>1442</v>
      </c>
      <c r="E34" s="347" t="s">
        <v>1443</v>
      </c>
      <c r="F34" s="371">
        <f>'数据-取费表'!B52</f>
        <v>3</v>
      </c>
      <c r="G34" s="1848"/>
      <c r="H34" s="744"/>
      <c r="I34" s="1857"/>
      <c r="J34" s="1858"/>
      <c r="K34" s="1860"/>
      <c r="L34" s="1861"/>
      <c r="M34" s="1861"/>
    </row>
    <row r="35" spans="1:18" ht="18" customHeight="1">
      <c r="A35" s="1352"/>
      <c r="B35" s="1350"/>
      <c r="C35" s="29"/>
      <c r="D35" s="373"/>
      <c r="E35" s="347" t="s">
        <v>1447</v>
      </c>
      <c r="F35" s="348">
        <f ca="1">INDIRECT("'数据-取费表'!r"&amp;$G$1)</f>
        <v>30.51</v>
      </c>
      <c r="G35" s="1848"/>
      <c r="H35" s="744"/>
      <c r="I35" s="1857"/>
      <c r="J35" s="1858"/>
      <c r="K35" s="1859"/>
      <c r="L35" s="1856"/>
      <c r="M35" s="1856"/>
    </row>
    <row r="36" spans="1:18" ht="18" customHeight="1">
      <c r="A36" s="1351" t="s">
        <v>1039</v>
      </c>
      <c r="B36" s="347" t="s">
        <v>1449</v>
      </c>
      <c r="C36" s="24">
        <f ca="1">ROUND(C29*F36,1)</f>
        <v>0.7</v>
      </c>
      <c r="D36" s="2939" t="s">
        <v>1482</v>
      </c>
      <c r="E36" s="347" t="s">
        <v>1422</v>
      </c>
      <c r="F36" s="374">
        <f ca="1">INDIRECT("'数据-取费表'!Ak"&amp;$G$1)</f>
        <v>1.4999999999999999E-2</v>
      </c>
      <c r="G36" s="1848"/>
      <c r="H36" s="1856"/>
      <c r="I36" s="1857"/>
      <c r="J36" s="1858"/>
      <c r="K36" s="750"/>
      <c r="L36" s="1856"/>
      <c r="M36" s="1856"/>
    </row>
    <row r="37" spans="1:18" ht="18" customHeight="1">
      <c r="A37" s="1200" t="s">
        <v>1075</v>
      </c>
      <c r="B37" s="347" t="s">
        <v>1453</v>
      </c>
      <c r="C37" s="24">
        <f ca="1">ROUND(C13*F37,1)</f>
        <v>0.1</v>
      </c>
      <c r="D37" s="2939" t="s">
        <v>1454</v>
      </c>
      <c r="E37" s="347" t="s">
        <v>1422</v>
      </c>
      <c r="F37" s="376">
        <f ca="1">INDIRECT("'数据-取费表'!Al"&amp;$G$1)</f>
        <v>1.5E-3</v>
      </c>
      <c r="G37" s="1848"/>
      <c r="H37" s="1856"/>
      <c r="I37" s="1857"/>
      <c r="J37" s="1858"/>
      <c r="K37" s="750"/>
      <c r="L37" s="1856"/>
      <c r="M37" s="1856"/>
    </row>
    <row r="38" spans="1:18" ht="18" customHeight="1" thickBot="1">
      <c r="A38" s="1338" t="s">
        <v>1392</v>
      </c>
      <c r="B38" s="1339" t="s">
        <v>1439</v>
      </c>
      <c r="C38" s="1340">
        <f ca="1">ROUND(C5*F38,1)</f>
        <v>0.2</v>
      </c>
      <c r="D38" s="1341" t="s">
        <v>1459</v>
      </c>
      <c r="E38" s="1339" t="s">
        <v>1422</v>
      </c>
      <c r="F38" s="1335">
        <f ca="1">INDIRECT("'数据-取费表'!Am"&amp;$G$1)</f>
        <v>0.01</v>
      </c>
      <c r="G38" s="1848"/>
      <c r="H38" s="1856"/>
      <c r="I38" s="1857"/>
      <c r="J38" s="1858"/>
      <c r="K38" s="1862"/>
      <c r="L38" s="1856"/>
      <c r="M38" s="1856"/>
    </row>
    <row r="39" spans="1:18" ht="24.6" customHeight="1" thickTop="1">
      <c r="A39" s="1328" t="s">
        <v>1031</v>
      </c>
      <c r="B39" s="1343" t="s">
        <v>1463</v>
      </c>
      <c r="C39" s="355">
        <f ca="1">C5-C30</f>
        <v>13</v>
      </c>
      <c r="D39" s="1344" t="s">
        <v>1464</v>
      </c>
      <c r="E39" s="1345"/>
      <c r="F39" s="1346"/>
      <c r="G39" s="1848"/>
      <c r="H39" s="1856"/>
      <c r="I39" s="1857"/>
      <c r="J39" s="1858"/>
      <c r="K39" s="1862"/>
      <c r="L39" s="1856"/>
      <c r="M39" s="1856"/>
    </row>
    <row r="40" spans="1:18" ht="18" customHeight="1">
      <c r="A40" s="344" t="s">
        <v>1032</v>
      </c>
      <c r="B40" s="345" t="s">
        <v>1485</v>
      </c>
      <c r="C40" s="346">
        <f ca="1">ROUND(C39*(1-((1+F42)/(1+F40))^F41)/(F40-F42),0)</f>
        <v>327</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36.33</v>
      </c>
      <c r="G41" s="1848"/>
      <c r="H41" s="731"/>
      <c r="I41" s="1857"/>
      <c r="J41" s="1858"/>
      <c r="K41" s="750"/>
      <c r="L41" s="731"/>
      <c r="M41" s="731"/>
    </row>
    <row r="42" spans="1:18" ht="18" customHeight="1">
      <c r="A42" s="353"/>
      <c r="B42" s="354"/>
      <c r="C42" s="355"/>
      <c r="D42" s="373"/>
      <c r="E42" s="347" t="s">
        <v>1477</v>
      </c>
      <c r="F42" s="357">
        <f ca="1">INDIRECT("'数据-取费表'!v"&amp;$G$1)</f>
        <v>0.03</v>
      </c>
      <c r="G42" s="1848"/>
      <c r="H42" s="731"/>
      <c r="I42" s="1857"/>
      <c r="J42" s="1858"/>
      <c r="K42" s="750"/>
      <c r="L42" s="731"/>
      <c r="M42" s="731"/>
    </row>
    <row r="43" spans="1:18" ht="18" customHeight="1" thickBot="1">
      <c r="A43" s="380" t="s">
        <v>1033</v>
      </c>
      <c r="B43" s="381" t="s">
        <v>1487</v>
      </c>
      <c r="C43" s="382">
        <f ca="1">ROUND(C40*10000/F43,0)</f>
        <v>30621</v>
      </c>
      <c r="D43" s="383" t="s">
        <v>1488</v>
      </c>
      <c r="E43" s="384" t="s">
        <v>1489</v>
      </c>
      <c r="F43" s="385">
        <f ca="1">INDIRECT("'数据-取费表'!k"&amp;$G$1)</f>
        <v>106.79</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-410</v>
      </c>
      <c r="D46" s="1869" t="str">
        <f>C2</f>
        <v>万元</v>
      </c>
      <c r="E46" s="1863"/>
      <c r="F46" s="1863"/>
      <c r="I46" s="1870" t="s">
        <v>1521</v>
      </c>
      <c r="J46" s="1871"/>
      <c r="K46" s="1872"/>
      <c r="L46" s="1873">
        <f ca="1">IF(M47="住宅",0,IF(L48&gt;J51,L60,J60))</f>
        <v>1</v>
      </c>
      <c r="O46" s="1874" t="s">
        <v>1522</v>
      </c>
      <c r="P46" s="1875" t="s">
        <v>1523</v>
      </c>
      <c r="Q46" s="1876" t="s">
        <v>1524</v>
      </c>
      <c r="R46" s="1876" t="s">
        <v>1525</v>
      </c>
    </row>
    <row r="47" spans="1:18" s="1839" customFormat="1" ht="13.5" thickBot="1">
      <c r="A47" s="1164" t="s">
        <v>1396</v>
      </c>
      <c r="B47" s="1196" t="s">
        <v>1397</v>
      </c>
      <c r="C47" s="1366" t="s">
        <v>1398</v>
      </c>
      <c r="D47" s="1196" t="s">
        <v>1399</v>
      </c>
      <c r="E47" s="1278" t="s">
        <v>1400</v>
      </c>
      <c r="F47" s="1279"/>
      <c r="G47" s="791"/>
      <c r="I47" s="1877" t="s">
        <v>1526</v>
      </c>
      <c r="J47" s="1878" t="s">
        <v>3080</v>
      </c>
      <c r="K47" s="1879" t="s">
        <v>1527</v>
      </c>
      <c r="L47" s="1880">
        <f ca="1">INDIRECT("'数据-取费表'!d"&amp;$G$1)</f>
        <v>50</v>
      </c>
      <c r="M47" s="1835" t="str">
        <f>IF(ISNUMBER(FIND("住宅",C1)),"住宅","非住宅")</f>
        <v>非住宅</v>
      </c>
      <c r="O47" s="1881" t="s">
        <v>1040</v>
      </c>
      <c r="P47" s="1882" t="s">
        <v>1528</v>
      </c>
      <c r="Q47" s="1883">
        <f ca="1">C40+J29</f>
        <v>327</v>
      </c>
      <c r="R47" s="1883" t="s">
        <v>1529</v>
      </c>
    </row>
    <row r="48" spans="1:18" s="1839" customFormat="1" ht="28.5" thickBot="1">
      <c r="A48" s="1359" t="s">
        <v>1135</v>
      </c>
      <c r="B48" s="345" t="s">
        <v>1401</v>
      </c>
      <c r="C48" s="2946">
        <f ca="1">C49+C53+C55</f>
        <v>0</v>
      </c>
      <c r="D48" s="1361"/>
      <c r="E48" s="1362"/>
      <c r="F48" s="1180"/>
      <c r="G48" s="791"/>
      <c r="H48" s="792"/>
      <c r="I48" s="1884" t="s">
        <v>1530</v>
      </c>
      <c r="J48" s="1885" t="s">
        <v>3081</v>
      </c>
      <c r="K48" s="1886" t="s">
        <v>1531</v>
      </c>
      <c r="L48" s="1887">
        <f ca="1">INDIRECT("'数据-取费表'!f"&amp;$G$1)</f>
        <v>36.33</v>
      </c>
      <c r="O48" s="1881" t="s">
        <v>1041</v>
      </c>
      <c r="P48" s="1882" t="s">
        <v>1532</v>
      </c>
      <c r="Q48" s="1883">
        <f ca="1">J60</f>
        <v>1</v>
      </c>
      <c r="R48" s="1883" t="s">
        <v>1533</v>
      </c>
    </row>
    <row r="49" spans="1:18" s="1839" customFormat="1" ht="13.5" thickBot="1">
      <c r="A49" s="1193" t="s">
        <v>1136</v>
      </c>
      <c r="B49" s="1827" t="s">
        <v>1490</v>
      </c>
      <c r="C49" s="1363">
        <f ca="1">ROUND(F49*F51*F50*(1-F52)/10000,0)</f>
        <v>0</v>
      </c>
      <c r="D49" s="1275" t="s">
        <v>3028</v>
      </c>
      <c r="E49" s="1828" t="s">
        <v>1491</v>
      </c>
      <c r="F49" s="1280"/>
      <c r="G49" s="1888"/>
      <c r="H49" s="792"/>
      <c r="I49" s="1884" t="s">
        <v>1534</v>
      </c>
      <c r="J49" s="1889">
        <v>2016</v>
      </c>
      <c r="K49" s="1886" t="s">
        <v>1535</v>
      </c>
      <c r="L49" s="1890"/>
      <c r="O49" s="1891" t="s">
        <v>1042</v>
      </c>
      <c r="P49" s="1882" t="s">
        <v>1536</v>
      </c>
      <c r="Q49" s="1883">
        <f ca="1">C29</f>
        <v>49</v>
      </c>
      <c r="R49" s="1883" t="s">
        <v>1529</v>
      </c>
    </row>
    <row r="50" spans="1:18" s="1839" customFormat="1" ht="13.5" thickBot="1">
      <c r="A50" s="1194"/>
      <c r="B50" s="1197"/>
      <c r="C50" s="1367"/>
      <c r="D50" s="1171"/>
      <c r="E50" s="1276" t="s">
        <v>1406</v>
      </c>
      <c r="F50" s="1277">
        <f ca="1">F7</f>
        <v>106.79</v>
      </c>
      <c r="H50" s="792"/>
      <c r="I50" s="1884" t="s">
        <v>1537</v>
      </c>
      <c r="J50" s="1892">
        <f>SUMPRODUCT((I63:I65=J47)*(J62:L62=J48)*(J63:L65))</f>
        <v>60</v>
      </c>
      <c r="K50" s="1886" t="s">
        <v>1538</v>
      </c>
      <c r="L50" s="1890"/>
      <c r="M50" s="1893"/>
      <c r="O50" s="1891" t="s">
        <v>1043</v>
      </c>
      <c r="P50" s="1882" t="s">
        <v>1539</v>
      </c>
      <c r="Q50" s="1894">
        <f ca="1">J58</f>
        <v>0.4</v>
      </c>
      <c r="R50" s="1883"/>
    </row>
    <row r="51" spans="1:18" s="1839" customFormat="1" ht="13.5" thickBot="1">
      <c r="A51" s="1195"/>
      <c r="B51" s="1197"/>
      <c r="C51" s="1198"/>
      <c r="D51" s="1171"/>
      <c r="E51" s="1199" t="s">
        <v>1407</v>
      </c>
      <c r="F51" s="348">
        <f ca="1">F8</f>
        <v>365</v>
      </c>
      <c r="I51" s="1895" t="s">
        <v>1540</v>
      </c>
      <c r="J51" s="1896">
        <f>IF(J49="",J50,J49+J50-YEAR('数据-取费表'!B2))</f>
        <v>58</v>
      </c>
      <c r="K51" s="1897" t="s">
        <v>1541</v>
      </c>
      <c r="L51" s="1898">
        <f ca="1">ROUND(-PV(INDIRECT("'数据-取费表'!h"&amp;$G$1),L48,(C39-C13*C76),0),0)</f>
        <v>158</v>
      </c>
      <c r="M51" s="1899"/>
      <c r="O51" s="1891" t="s">
        <v>1044</v>
      </c>
      <c r="P51" s="1882" t="s">
        <v>1542</v>
      </c>
      <c r="Q51" s="1894">
        <f>J52</f>
        <v>0.09</v>
      </c>
      <c r="R51" s="1883"/>
    </row>
    <row r="52" spans="1:18" s="1839" customFormat="1" ht="13.5" thickBot="1">
      <c r="A52" s="1195"/>
      <c r="B52" s="1197"/>
      <c r="C52" s="1198"/>
      <c r="D52" s="1171"/>
      <c r="E52" s="1199" t="s">
        <v>1408</v>
      </c>
      <c r="F52" s="1274"/>
      <c r="I52" s="1900" t="s">
        <v>1543</v>
      </c>
      <c r="J52" s="1901">
        <v>0.09</v>
      </c>
      <c r="K52" s="1900" t="s">
        <v>1544</v>
      </c>
      <c r="L52" s="1901">
        <v>4.4999999999999998E-2</v>
      </c>
      <c r="O52" s="1891" t="s">
        <v>1045</v>
      </c>
      <c r="P52" s="1882" t="s">
        <v>1545</v>
      </c>
      <c r="Q52" s="1883">
        <f ca="1">J53</f>
        <v>36.33</v>
      </c>
      <c r="R52" s="1883" t="s">
        <v>1546</v>
      </c>
    </row>
    <row r="53" spans="1:18" s="1839" customFormat="1" ht="24.75" thickBot="1">
      <c r="A53" s="1404" t="s">
        <v>1137</v>
      </c>
      <c r="B53" s="1829" t="s">
        <v>1409</v>
      </c>
      <c r="C53" s="361">
        <f ca="1">ROUND(IF(F53="押一",C49/12*F11,IF(F53="押二",C49/12*2*F11,IF(F53="押三",C49/12*3*F11,C54*F11))),0)</f>
        <v>0</v>
      </c>
      <c r="D53" s="1822" t="s">
        <v>3037</v>
      </c>
      <c r="E53" s="358" t="s">
        <v>1410</v>
      </c>
      <c r="F53" s="1365"/>
      <c r="I53" s="1902" t="s">
        <v>1547</v>
      </c>
      <c r="J53" s="1903">
        <f ca="1">IF(M47="住宅",J51,IF(D1="——",MIN(J51,L48),IF(D1="在建（套用方法）",MIN(J51,L48-'数据-取费表'!B24),IF(D1="土地（套用方法）",MIN(J51,L48-'数据-取费表'!B20)))))</f>
        <v>36.33</v>
      </c>
      <c r="K53" s="3294" t="s">
        <v>1548</v>
      </c>
      <c r="L53" s="3295"/>
      <c r="O53" s="1881" t="s">
        <v>1046</v>
      </c>
      <c r="P53" s="1882" t="s">
        <v>1549</v>
      </c>
      <c r="Q53" s="1883">
        <f ca="1">Q47+Q48</f>
        <v>328</v>
      </c>
      <c r="R53" s="1883" t="s">
        <v>1047</v>
      </c>
    </row>
    <row r="54" spans="1:18" s="1839" customFormat="1" ht="13.5" thickBot="1">
      <c r="A54" s="1405"/>
      <c r="B54" s="1823" t="s">
        <v>1388</v>
      </c>
      <c r="C54" s="1177"/>
      <c r="D54" s="1822"/>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2" t="s">
        <v>1075</v>
      </c>
      <c r="B55" s="1825" t="s">
        <v>1413</v>
      </c>
      <c r="C55" s="1333"/>
      <c r="D55" s="1822"/>
      <c r="E55" s="2943"/>
      <c r="F55" s="1904"/>
      <c r="I55" s="1907" t="s">
        <v>1551</v>
      </c>
      <c r="J55" s="1908">
        <f ca="1">ROUND(IF(J47="钢混",J57/J50,1-(1-2%)*(J50-J57)/J50),3)</f>
        <v>0.36099999999999999</v>
      </c>
      <c r="K55" s="1909" t="s">
        <v>1552</v>
      </c>
      <c r="L55" s="1910" t="s">
        <v>1553</v>
      </c>
      <c r="O55" s="1874" t="s">
        <v>1522</v>
      </c>
      <c r="P55" s="1875" t="s">
        <v>1523</v>
      </c>
      <c r="Q55" s="1876" t="s">
        <v>1524</v>
      </c>
      <c r="R55" s="1876" t="s">
        <v>1525</v>
      </c>
    </row>
    <row r="56" spans="1:18" s="1839" customFormat="1" ht="25.5" thickTop="1" thickBot="1">
      <c r="A56" s="1175">
        <v>2</v>
      </c>
      <c r="B56" s="1176" t="s">
        <v>1414</v>
      </c>
      <c r="C56" s="276">
        <f ca="1">C13</f>
        <v>48</v>
      </c>
      <c r="D56" s="1911"/>
      <c r="E56" s="1912"/>
      <c r="F56" s="1904"/>
      <c r="I56" s="1913" t="s">
        <v>1554</v>
      </c>
      <c r="J56" s="1914"/>
      <c r="K56" s="1884" t="s">
        <v>1555</v>
      </c>
      <c r="L56" s="1887" t="str">
        <f ca="1">IF(L48&lt;J51,"——",L48-J53)</f>
        <v>——</v>
      </c>
      <c r="O56" s="1881" t="s">
        <v>1040</v>
      </c>
      <c r="P56" s="1882" t="s">
        <v>1528</v>
      </c>
      <c r="Q56" s="1883">
        <f ca="1">C40+J29</f>
        <v>327</v>
      </c>
      <c r="R56" s="1883" t="s">
        <v>1529</v>
      </c>
    </row>
    <row r="57" spans="1:18" s="1839" customFormat="1" ht="24.75" thickBot="1">
      <c r="A57" s="1915"/>
      <c r="B57" s="1168" t="s">
        <v>1478</v>
      </c>
      <c r="C57" s="282">
        <f ca="1">C29</f>
        <v>49</v>
      </c>
      <c r="D57" s="1916"/>
      <c r="E57" s="1917"/>
      <c r="F57" s="1918"/>
      <c r="I57" s="1919" t="s">
        <v>1556</v>
      </c>
      <c r="J57" s="1920">
        <f ca="1">IF(OR(M47="住宅",J51&lt;L48,J56="是"),"——",J51-L48)</f>
        <v>21.67</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6" t="s">
        <v>1424</v>
      </c>
      <c r="C58" s="361">
        <f ca="1">ROUND(C59+C64+C65+C66,0)</f>
        <v>5</v>
      </c>
      <c r="D58" s="1178" t="s">
        <v>1425</v>
      </c>
      <c r="E58" s="1179"/>
      <c r="F58" s="1180"/>
      <c r="I58" s="1919" t="s">
        <v>1560</v>
      </c>
      <c r="J58" s="1921">
        <f ca="1">IF(J55&lt;0.4,0.4,J55)</f>
        <v>0.4</v>
      </c>
      <c r="K58" s="1897" t="s">
        <v>1561</v>
      </c>
      <c r="L58" s="1887">
        <f ca="1">ROUND(POWER(1+L52,L47-L48)*(POWER(1+L52,L48)-1)/(POWER(1+L52,L47)-1),4)</f>
        <v>0.89729999999999999</v>
      </c>
      <c r="O58" s="1891" t="s">
        <v>1042</v>
      </c>
      <c r="P58" s="1882" t="s">
        <v>1562</v>
      </c>
      <c r="Q58" s="1883">
        <f>IF(L55="比较法",L49,IF(L55="基准地价",L50,0))</f>
        <v>0</v>
      </c>
      <c r="R58" s="1883" t="s">
        <v>1529</v>
      </c>
    </row>
    <row r="59" spans="1:18" s="1839" customFormat="1" ht="24.75" thickBot="1">
      <c r="A59" s="1200" t="s">
        <v>1035</v>
      </c>
      <c r="B59" s="1168" t="s">
        <v>1429</v>
      </c>
      <c r="C59" s="24">
        <f ca="1">ROUND(IF(项目基本情况!B11="自然人",C48*F59,C60+C61+C62),1)</f>
        <v>4.0999999999999996</v>
      </c>
      <c r="D59" s="1181" t="s">
        <v>1430</v>
      </c>
      <c r="E59" s="1182" t="s">
        <v>1431</v>
      </c>
      <c r="F59" s="368" t="str">
        <f ca="1">IF(项目基本情况!B11="企业","",IF(INDIRECT("'数据-取费表'!c"&amp;$G$1)="住宅",5%,IF(F49*F50*F51/12/(1+'数据-取费表'!C42)&gt;20000,12%,7%)))</f>
        <v/>
      </c>
      <c r="I59" s="1919" t="s">
        <v>1563</v>
      </c>
      <c r="J59" s="1920">
        <f ca="1">IF(OR(M47="住宅",J51&lt;L48,J56="是"),"——",ROUND(C29*J58,0))</f>
        <v>20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1.0369999999999999</v>
      </c>
      <c r="M59" s="1835">
        <f ca="1">ROUND(POWER(1+L52,L47-(J51+'数据-取费表'!B24))*(POWER(1+L52,(J51+'数据-取费表'!B24))-1)/(POWER(1+L52,L47)-1),4)</f>
        <v>1.0369999999999999</v>
      </c>
      <c r="N59" s="1835">
        <f ca="1">ROUND(POWER(1+L52,L47-(J51+'数据-取费表'!B20))*(POWER(1+L52,(J51+'数据-取费表'!B20))-1)/(POWER(1+L52,L47)-1),4)</f>
        <v>1.0443</v>
      </c>
      <c r="O59" s="1891" t="s">
        <v>1043</v>
      </c>
      <c r="P59" s="1882" t="s">
        <v>1564</v>
      </c>
      <c r="Q59" s="1894">
        <f>L52</f>
        <v>4.4999999999999998E-2</v>
      </c>
      <c r="R59" s="1883"/>
    </row>
    <row r="60" spans="1:18" s="1839"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2" t="s">
        <v>1565</v>
      </c>
      <c r="J60" s="1923">
        <f ca="1">IF(OR(M47="住宅",J51&lt;L48,J56="是"),"0",ROUND(J59/(1+J52)^J53,0))</f>
        <v>1</v>
      </c>
      <c r="K60" s="1924" t="s">
        <v>1566</v>
      </c>
      <c r="L60" s="1923">
        <f ca="1">IF(OR(M47="住宅",L48&lt;J51),0,ROUND(L57*(L58/L59-1),0))</f>
        <v>0</v>
      </c>
      <c r="O60" s="1891" t="s">
        <v>1044</v>
      </c>
      <c r="P60" s="1882" t="s">
        <v>1567</v>
      </c>
      <c r="Q60" s="1883">
        <f ca="1">L58</f>
        <v>0.89729999999999999</v>
      </c>
      <c r="R60" s="1883" t="s">
        <v>1568</v>
      </c>
    </row>
    <row r="61" spans="1:18" s="1839" customFormat="1" ht="13.5" thickBot="1">
      <c r="A61" s="1200" t="s">
        <v>1492</v>
      </c>
      <c r="B61" s="1168" t="s">
        <v>1437</v>
      </c>
      <c r="C61" s="24">
        <f ca="1">IF(项目基本情况!B11="自然人","——",IF(D61="按租金收入计税",ROUND(C48*F61,2),IF(D61="按房产原值计税",ROUND(C57*F61*0.7,2),INDIRECT("'数据-取费表'!Aj"&amp;$G$1))))</f>
        <v>4.12</v>
      </c>
      <c r="D61" s="1826" t="s">
        <v>1438</v>
      </c>
      <c r="E61" s="1168" t="s">
        <v>1422</v>
      </c>
      <c r="F61" s="367">
        <f t="shared" si="0"/>
        <v>0.12</v>
      </c>
      <c r="I61" s="1925"/>
      <c r="J61" s="1925"/>
      <c r="K61" s="1925"/>
      <c r="L61" s="1925"/>
      <c r="O61" s="1891" t="s">
        <v>1045</v>
      </c>
      <c r="P61" s="1882" t="str">
        <f>K59</f>
        <v>建筑物剩余耐用年限下的土地年期修正系数Kn</v>
      </c>
      <c r="Q61" s="1883">
        <f ca="1">L59</f>
        <v>1.0369999999999999</v>
      </c>
      <c r="R61" s="1883" t="s">
        <v>1569</v>
      </c>
    </row>
    <row r="62" spans="1:18" s="1839" customFormat="1" ht="13.5" thickBot="1">
      <c r="A62" s="1200" t="s">
        <v>1495</v>
      </c>
      <c r="B62" s="1167" t="s">
        <v>1441</v>
      </c>
      <c r="C62" s="25">
        <f ca="1">IF(项目基本情况!B11="自然人","——",ROUND(F62*F63/10000,2))</f>
        <v>0.01</v>
      </c>
      <c r="D62" s="1183" t="s">
        <v>1442</v>
      </c>
      <c r="E62" s="1168" t="s">
        <v>1443</v>
      </c>
      <c r="F62" s="371">
        <f t="shared" si="0"/>
        <v>3</v>
      </c>
      <c r="I62" s="1926" t="s">
        <v>1570</v>
      </c>
      <c r="J62" s="1927" t="s">
        <v>1571</v>
      </c>
      <c r="K62" s="1927" t="s">
        <v>1572</v>
      </c>
      <c r="L62" s="1927" t="s">
        <v>1573</v>
      </c>
      <c r="M62" s="1928" t="s">
        <v>1574</v>
      </c>
      <c r="O62" s="1881" t="s">
        <v>1046</v>
      </c>
      <c r="P62" s="1882" t="s">
        <v>1549</v>
      </c>
      <c r="Q62" s="1883">
        <f ca="1">Q56+Q57</f>
        <v>327</v>
      </c>
      <c r="R62" s="1883" t="s">
        <v>1047</v>
      </c>
    </row>
    <row r="63" spans="1:18" s="1839" customFormat="1" ht="13.5" thickBot="1">
      <c r="A63" s="372"/>
      <c r="B63" s="1174"/>
      <c r="C63" s="29"/>
      <c r="D63" s="1184"/>
      <c r="E63" s="1168" t="s">
        <v>1447</v>
      </c>
      <c r="F63" s="348">
        <f t="shared" ca="1" si="0"/>
        <v>30.51</v>
      </c>
      <c r="I63" s="1926" t="s">
        <v>1576</v>
      </c>
      <c r="J63" s="1927">
        <v>70</v>
      </c>
      <c r="K63" s="1927">
        <v>50</v>
      </c>
      <c r="L63" s="1927">
        <v>80</v>
      </c>
      <c r="M63" s="1929">
        <v>0.02</v>
      </c>
      <c r="O63" s="1866" t="s">
        <v>1577</v>
      </c>
      <c r="P63" s="1836"/>
      <c r="Q63" s="1836"/>
      <c r="R63" s="1836"/>
    </row>
    <row r="64" spans="1:18" s="1839" customFormat="1" ht="13.5" thickBot="1">
      <c r="A64" s="1200" t="s">
        <v>1039</v>
      </c>
      <c r="B64" s="1168" t="s">
        <v>1449</v>
      </c>
      <c r="C64" s="24">
        <f ca="1">ROUND(C57*F64,1)</f>
        <v>0.7</v>
      </c>
      <c r="D64" s="1182" t="s">
        <v>1482</v>
      </c>
      <c r="E64" s="1168"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4">
        <f ca="1">ROUND(C56*F65,1)</f>
        <v>0.1</v>
      </c>
      <c r="D65" s="1182" t="s">
        <v>1454</v>
      </c>
      <c r="E65" s="1168" t="s">
        <v>1422</v>
      </c>
      <c r="F65" s="376">
        <f t="shared" ca="1" si="0"/>
        <v>1.5E-3</v>
      </c>
      <c r="I65" s="1926" t="s">
        <v>1579</v>
      </c>
      <c r="J65" s="1927">
        <v>40</v>
      </c>
      <c r="K65" s="1927">
        <v>30</v>
      </c>
      <c r="L65" s="1927">
        <v>50</v>
      </c>
      <c r="M65" s="1929">
        <v>0.02</v>
      </c>
      <c r="O65" s="1881" t="s">
        <v>1040</v>
      </c>
      <c r="P65" s="1882" t="s">
        <v>1528</v>
      </c>
      <c r="Q65" s="1883">
        <f ca="1">C40+J29</f>
        <v>327</v>
      </c>
      <c r="R65" s="1883" t="s">
        <v>1529</v>
      </c>
    </row>
    <row r="66" spans="1:18" s="1839" customFormat="1" ht="16.5" thickBot="1">
      <c r="A66" s="1200" t="s">
        <v>1504</v>
      </c>
      <c r="B66" s="1168" t="s">
        <v>1439</v>
      </c>
      <c r="C66" s="24">
        <f ca="1">ROUND(C48*F66,1)</f>
        <v>0</v>
      </c>
      <c r="D66" s="1182" t="s">
        <v>1459</v>
      </c>
      <c r="E66" s="1168" t="s">
        <v>1422</v>
      </c>
      <c r="F66" s="357">
        <f t="shared" ca="1" si="0"/>
        <v>0.01</v>
      </c>
      <c r="O66" s="1881" t="s">
        <v>1041</v>
      </c>
      <c r="P66" s="1882" t="s">
        <v>1558</v>
      </c>
      <c r="Q66" s="1883">
        <f ca="1">L60</f>
        <v>0</v>
      </c>
      <c r="R66" s="1883" t="s">
        <v>1581</v>
      </c>
    </row>
    <row r="67" spans="1:18" s="1839" customFormat="1" ht="16.5" thickBot="1">
      <c r="A67" s="1175" t="s">
        <v>1031</v>
      </c>
      <c r="B67" s="1185" t="s">
        <v>1463</v>
      </c>
      <c r="C67" s="361">
        <f ca="1">C48-C58</f>
        <v>-5</v>
      </c>
      <c r="D67" s="1181" t="s">
        <v>1464</v>
      </c>
      <c r="E67" s="1186"/>
      <c r="F67" s="1187"/>
      <c r="O67" s="1891" t="s">
        <v>1042</v>
      </c>
      <c r="P67" s="1882" t="s">
        <v>1562</v>
      </c>
      <c r="Q67" s="1930">
        <f ca="1">L51</f>
        <v>158</v>
      </c>
      <c r="R67" s="1883" t="s">
        <v>1582</v>
      </c>
    </row>
    <row r="68" spans="1:18" s="1839" customFormat="1" ht="16.5" thickBot="1">
      <c r="A68" s="1165" t="s">
        <v>1032</v>
      </c>
      <c r="B68" s="1166" t="s">
        <v>1485</v>
      </c>
      <c r="C68" s="346">
        <f ca="1">ROUND(C67*(1-((1+F70)/(1+F68))^F69)/(F68-F70),0)</f>
        <v>-83</v>
      </c>
      <c r="D68" s="1183" t="s">
        <v>1469</v>
      </c>
      <c r="E68" s="1168" t="s">
        <v>1470</v>
      </c>
      <c r="F68" s="357">
        <f ca="1">F40</f>
        <v>0.05</v>
      </c>
      <c r="O68" s="1891" t="s">
        <v>1043</v>
      </c>
      <c r="P68" s="1931" t="s">
        <v>1583</v>
      </c>
      <c r="Q68" s="1883">
        <f ca="1">ROUND(Q69-Q70*Q71,0)</f>
        <v>9</v>
      </c>
      <c r="R68" s="1883" t="s">
        <v>1051</v>
      </c>
    </row>
    <row r="69" spans="1:18" s="1839" customFormat="1" ht="13.5" thickBot="1">
      <c r="A69" s="1169"/>
      <c r="B69" s="1170"/>
      <c r="C69" s="351"/>
      <c r="D69" s="1188" t="s">
        <v>1473</v>
      </c>
      <c r="E69" s="1168" t="s">
        <v>1474</v>
      </c>
      <c r="F69" s="379">
        <f ca="1">F41</f>
        <v>36.33</v>
      </c>
      <c r="O69" s="1891" t="s">
        <v>1048</v>
      </c>
      <c r="P69" s="1931" t="s">
        <v>1584</v>
      </c>
      <c r="Q69" s="1883">
        <f ca="1">C39</f>
        <v>13</v>
      </c>
      <c r="R69" s="1883" t="s">
        <v>1529</v>
      </c>
    </row>
    <row r="70" spans="1:18" s="1839" customFormat="1" ht="13.5" thickBot="1">
      <c r="A70" s="1172"/>
      <c r="B70" s="1173"/>
      <c r="C70" s="355"/>
      <c r="D70" s="1184"/>
      <c r="E70" s="1168" t="s">
        <v>1477</v>
      </c>
      <c r="F70" s="1274"/>
      <c r="O70" s="1891" t="s">
        <v>1049</v>
      </c>
      <c r="P70" s="1931" t="s">
        <v>1585</v>
      </c>
      <c r="Q70" s="1883">
        <f ca="1">C13</f>
        <v>48</v>
      </c>
      <c r="R70" s="1883" t="s">
        <v>1529</v>
      </c>
    </row>
    <row r="71" spans="1:18" s="1839" customFormat="1" ht="13.5" thickBot="1">
      <c r="A71" s="1189" t="s">
        <v>1033</v>
      </c>
      <c r="B71" s="1190" t="s">
        <v>1487</v>
      </c>
      <c r="C71" s="382">
        <f ca="1">ROUND(C68*10000/F71,0)</f>
        <v>-7772</v>
      </c>
      <c r="D71" s="1191" t="s">
        <v>1488</v>
      </c>
      <c r="E71" s="1192" t="s">
        <v>1489</v>
      </c>
      <c r="F71" s="385">
        <f ca="1">F43</f>
        <v>106.79</v>
      </c>
      <c r="O71" s="1891" t="s">
        <v>1050</v>
      </c>
      <c r="P71" s="1931" t="s">
        <v>1586</v>
      </c>
      <c r="Q71" s="1894">
        <f ca="1">C76</f>
        <v>8.5000000000000006E-2</v>
      </c>
      <c r="R71" s="1883"/>
    </row>
    <row r="72" spans="1:18" s="1839" customFormat="1" ht="13.5" thickBot="1">
      <c r="B72" s="795"/>
      <c r="C72" s="795"/>
      <c r="O72" s="1891" t="s">
        <v>1044</v>
      </c>
      <c r="P72" s="1882" t="s">
        <v>1564</v>
      </c>
      <c r="Q72" s="1894">
        <f>L52</f>
        <v>4.4999999999999998E-2</v>
      </c>
      <c r="R72" s="1883"/>
    </row>
    <row r="73" spans="1:18" ht="16.5" thickBot="1">
      <c r="A73" s="1839"/>
      <c r="B73" s="795"/>
      <c r="C73" s="795"/>
      <c r="D73" s="1839"/>
      <c r="E73" s="1839"/>
      <c r="F73" s="1839"/>
      <c r="O73" s="1891" t="s">
        <v>1045</v>
      </c>
      <c r="P73" s="1882" t="s">
        <v>1567</v>
      </c>
      <c r="Q73" s="1883">
        <f ca="1">L58</f>
        <v>0.89729999999999999</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f ca="1">L59</f>
        <v>1.0369999999999999</v>
      </c>
      <c r="R74" s="1883" t="s">
        <v>1569</v>
      </c>
    </row>
    <row r="75" spans="1:18" ht="13.5" thickBot="1">
      <c r="A75" s="1839"/>
      <c r="B75" s="386" t="s">
        <v>1506</v>
      </c>
      <c r="C75" s="387">
        <f ca="1">ROUND(C13*C76,0)</f>
        <v>4</v>
      </c>
      <c r="D75" s="1839"/>
      <c r="E75" s="1839"/>
      <c r="F75" s="1839"/>
      <c r="K75" s="1865"/>
      <c r="L75" s="1839"/>
      <c r="O75" s="1881" t="s">
        <v>1046</v>
      </c>
      <c r="P75" s="1882" t="s">
        <v>1549</v>
      </c>
      <c r="Q75" s="1883">
        <f ca="1">Q65+Q66</f>
        <v>327</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0.69199999999999995</v>
      </c>
    </row>
    <row r="80" spans="1:18">
      <c r="B80" s="386" t="s">
        <v>1511</v>
      </c>
      <c r="C80" s="318">
        <f ca="1">ROUND(C75/C39,3)</f>
        <v>0.308</v>
      </c>
    </row>
    <row r="81" spans="2:3">
      <c r="B81" s="314" t="s">
        <v>1512</v>
      </c>
      <c r="C81" s="282"/>
    </row>
    <row r="82" spans="2:3">
      <c r="B82" s="317" t="s">
        <v>1513</v>
      </c>
      <c r="C82" s="319">
        <f ca="1">1-C83</f>
        <v>0.85299999999999998</v>
      </c>
    </row>
    <row r="83" spans="2:3">
      <c r="B83" s="317" t="s">
        <v>1514</v>
      </c>
      <c r="C83" s="318">
        <f ca="1">ROUND(C13/C40,3)</f>
        <v>0.14699999999999999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8" sqref="B38"/>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3183</v>
      </c>
      <c r="C2" s="2563" t="s">
        <v>2521</v>
      </c>
      <c r="D2" s="2564" t="s">
        <v>2522</v>
      </c>
      <c r="E2" s="2565">
        <f>SUM(E6:E13)</f>
        <v>689.02</v>
      </c>
    </row>
    <row r="3" spans="1:6" ht="15.75">
      <c r="A3" s="2561" t="s">
        <v>1395</v>
      </c>
      <c r="B3" s="2562">
        <f ca="1">ROUND(B2*10000/E2,0)</f>
        <v>46196</v>
      </c>
      <c r="C3" s="2563" t="s">
        <v>2529</v>
      </c>
      <c r="D3" s="2566"/>
      <c r="E3" s="2567"/>
    </row>
    <row r="4" spans="1:6" ht="15.75">
      <c r="A4" s="2568"/>
      <c r="B4" s="2566"/>
      <c r="C4" s="2566"/>
      <c r="D4" s="2566"/>
      <c r="E4" s="2567"/>
    </row>
    <row r="5" spans="1:6" ht="15">
      <c r="A5" s="2569" t="s">
        <v>2523</v>
      </c>
      <c r="B5" s="3315" t="s">
        <v>2524</v>
      </c>
      <c r="C5" s="3315"/>
      <c r="D5" s="2570"/>
      <c r="E5" s="2571" t="s">
        <v>2525</v>
      </c>
      <c r="F5" s="2572" t="s">
        <v>2526</v>
      </c>
    </row>
    <row r="6" spans="1:6">
      <c r="A6" s="2573">
        <f>'数据-取费表'!AN6</f>
        <v>0</v>
      </c>
      <c r="B6" s="2572" t="e">
        <f ca="1">IF(F6="是",'数据-取费表'!AO6,0)</f>
        <v>#REF!</v>
      </c>
      <c r="C6" s="2563" t="s">
        <v>2521</v>
      </c>
      <c r="D6" s="2566"/>
      <c r="E6" s="2574">
        <f>IF(OR(A6=0,F6="否"),0,'数据-取费表'!K6+'数据-取费表'!S6)</f>
        <v>0</v>
      </c>
      <c r="F6" s="2575" t="s">
        <v>2527</v>
      </c>
    </row>
    <row r="7" spans="1:6">
      <c r="A7" s="2573">
        <f>'数据-取费表'!AN7</f>
        <v>0</v>
      </c>
      <c r="B7" s="2572" t="e">
        <f ca="1">IF(F7="是",'数据-取费表'!AO7,0)</f>
        <v>#REF!</v>
      </c>
      <c r="C7" s="2563" t="s">
        <v>2521</v>
      </c>
      <c r="D7" s="2566"/>
      <c r="E7" s="2574">
        <f>IF(OR(A7=0,F7="否"),0,'数据-取费表'!K7+'数据-取费表'!S7)</f>
        <v>0</v>
      </c>
      <c r="F7" s="2575" t="s">
        <v>2527</v>
      </c>
    </row>
    <row r="8" spans="1:6">
      <c r="A8" s="2573" t="str">
        <f>'数据-取费表'!AN8</f>
        <v>收益法-商业</v>
      </c>
      <c r="B8" s="2572">
        <f ca="1">IF(F8="是",'数据-取费表'!AO8,0)</f>
        <v>2860</v>
      </c>
      <c r="C8" s="2563" t="s">
        <v>2521</v>
      </c>
      <c r="D8" s="2566"/>
      <c r="E8" s="2574">
        <f>IF(OR(A8=0,F8="否"),0,'数据-取费表'!K8+'数据-取费表'!S8)</f>
        <v>582.23</v>
      </c>
      <c r="F8" s="2575" t="s">
        <v>2527</v>
      </c>
    </row>
    <row r="9" spans="1:6">
      <c r="A9" s="2573" t="str">
        <f>'数据-取费表'!AN9</f>
        <v>收益法-办公</v>
      </c>
      <c r="B9" s="2572">
        <f ca="1">IF(F9="是",'数据-取费表'!AO9,0)</f>
        <v>323</v>
      </c>
      <c r="C9" s="2563" t="s">
        <v>2521</v>
      </c>
      <c r="D9" s="2566"/>
      <c r="E9" s="2574">
        <f>IF(OR(A9=0,F9="否"),0,'数据-取费表'!K9+'数据-取费表'!S9)</f>
        <v>106.79</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6" t="s">
        <v>1076</v>
      </c>
      <c r="B1" s="3317"/>
      <c r="C1" s="3318"/>
      <c r="D1" s="3319">
        <f>SUM(I10,I15,I20,I21,I23)</f>
        <v>0</v>
      </c>
      <c r="E1" s="3319"/>
      <c r="F1" s="3319"/>
      <c r="G1" s="3319"/>
      <c r="H1" s="3319"/>
      <c r="I1" s="3320"/>
    </row>
    <row r="2" spans="1:9">
      <c r="A2" s="3321" t="s">
        <v>1077</v>
      </c>
      <c r="B2" s="3322" t="s">
        <v>1078</v>
      </c>
      <c r="C2" s="3322"/>
      <c r="D2" s="1300" t="s">
        <v>1079</v>
      </c>
      <c r="E2" s="1300" t="s">
        <v>1080</v>
      </c>
      <c r="F2" s="1300" t="s">
        <v>1081</v>
      </c>
      <c r="G2" s="1300" t="s">
        <v>1082</v>
      </c>
      <c r="H2" s="1300" t="s">
        <v>1083</v>
      </c>
      <c r="I2" s="1301" t="s">
        <v>1084</v>
      </c>
    </row>
    <row r="3" spans="1:9">
      <c r="A3" s="3321"/>
      <c r="B3" s="3322" t="s">
        <v>1085</v>
      </c>
      <c r="C3" s="3322"/>
      <c r="D3" s="1302"/>
      <c r="E3" s="1300"/>
      <c r="F3" s="1303"/>
      <c r="G3" s="1303"/>
      <c r="H3" s="1304"/>
      <c r="I3" s="1305">
        <f>ROUND(D3*E3*F3*G3*H3/10000,0)</f>
        <v>0</v>
      </c>
    </row>
    <row r="4" spans="1:9">
      <c r="A4" s="3321"/>
      <c r="B4" s="3322" t="s">
        <v>1086</v>
      </c>
      <c r="C4" s="3322"/>
      <c r="D4" s="1302"/>
      <c r="E4" s="1300"/>
      <c r="F4" s="1303"/>
      <c r="G4" s="1303"/>
      <c r="H4" s="1304"/>
      <c r="I4" s="1305">
        <f t="shared" ref="I4:I9" si="0">ROUND(D4*E4*F4*G4*H4/10000,0)</f>
        <v>0</v>
      </c>
    </row>
    <row r="5" spans="1:9">
      <c r="A5" s="3321"/>
      <c r="B5" s="3322" t="s">
        <v>1087</v>
      </c>
      <c r="C5" s="3322"/>
      <c r="D5" s="1302"/>
      <c r="E5" s="1300"/>
      <c r="F5" s="1303"/>
      <c r="G5" s="1303"/>
      <c r="H5" s="1304"/>
      <c r="I5" s="1305">
        <f t="shared" si="0"/>
        <v>0</v>
      </c>
    </row>
    <row r="6" spans="1:9">
      <c r="A6" s="3321"/>
      <c r="B6" s="3322" t="s">
        <v>1088</v>
      </c>
      <c r="C6" s="3322"/>
      <c r="D6" s="1302"/>
      <c r="E6" s="1300"/>
      <c r="F6" s="1303"/>
      <c r="G6" s="1303"/>
      <c r="H6" s="1304"/>
      <c r="I6" s="1305">
        <f t="shared" si="0"/>
        <v>0</v>
      </c>
    </row>
    <row r="7" spans="1:9">
      <c r="A7" s="3321"/>
      <c r="B7" s="3322" t="s">
        <v>1089</v>
      </c>
      <c r="C7" s="3322"/>
      <c r="D7" s="1302"/>
      <c r="E7" s="1300"/>
      <c r="F7" s="1303"/>
      <c r="G7" s="1303"/>
      <c r="H7" s="1304"/>
      <c r="I7" s="1305">
        <f t="shared" si="0"/>
        <v>0</v>
      </c>
    </row>
    <row r="8" spans="1:9">
      <c r="A8" s="3321"/>
      <c r="B8" s="3322" t="s">
        <v>1090</v>
      </c>
      <c r="C8" s="3322"/>
      <c r="D8" s="1302"/>
      <c r="E8" s="1300"/>
      <c r="F8" s="1303"/>
      <c r="G8" s="1303"/>
      <c r="H8" s="1304"/>
      <c r="I8" s="1305">
        <f t="shared" si="0"/>
        <v>0</v>
      </c>
    </row>
    <row r="9" spans="1:9">
      <c r="A9" s="3321"/>
      <c r="B9" s="3322" t="s">
        <v>1091</v>
      </c>
      <c r="C9" s="3322"/>
      <c r="D9" s="1302"/>
      <c r="E9" s="1300"/>
      <c r="F9" s="1303"/>
      <c r="G9" s="1303"/>
      <c r="H9" s="1304"/>
      <c r="I9" s="1305">
        <f t="shared" si="0"/>
        <v>0</v>
      </c>
    </row>
    <row r="10" spans="1:9">
      <c r="A10" s="3321"/>
      <c r="B10" s="3323" t="s">
        <v>1092</v>
      </c>
      <c r="C10" s="3323"/>
      <c r="D10" s="1306"/>
      <c r="E10" s="1306" t="e">
        <f>ROUND(D1*10000/D10/H9,0)</f>
        <v>#DIV/0!</v>
      </c>
      <c r="F10" s="1307"/>
      <c r="G10" s="1307"/>
      <c r="H10" s="1308"/>
      <c r="I10" s="1309">
        <f>SUM(I3:I9)</f>
        <v>0</v>
      </c>
    </row>
    <row r="11" spans="1:9" ht="14.25">
      <c r="A11" s="3321" t="s">
        <v>1093</v>
      </c>
      <c r="B11" s="3322" t="s">
        <v>1094</v>
      </c>
      <c r="C11" s="3322"/>
      <c r="D11" s="1302" t="s">
        <v>1095</v>
      </c>
      <c r="E11" s="1302" t="s">
        <v>1096</v>
      </c>
      <c r="F11" s="1303" t="s">
        <v>1097</v>
      </c>
      <c r="G11" s="1303" t="s">
        <v>1083</v>
      </c>
      <c r="H11" s="1310" t="s">
        <v>1098</v>
      </c>
      <c r="I11" s="1301" t="s">
        <v>1084</v>
      </c>
    </row>
    <row r="12" spans="1:9">
      <c r="A12" s="3321"/>
      <c r="B12" s="3322" t="s">
        <v>1099</v>
      </c>
      <c r="C12" s="3322"/>
      <c r="D12" s="1302"/>
      <c r="E12" s="1302"/>
      <c r="F12" s="1303"/>
      <c r="G12" s="1304"/>
      <c r="H12" s="1311"/>
      <c r="I12" s="1301">
        <f>ROUND(D12*E12*F12*G12/10000,0)</f>
        <v>0</v>
      </c>
    </row>
    <row r="13" spans="1:9">
      <c r="A13" s="3321"/>
      <c r="B13" s="3322" t="s">
        <v>1100</v>
      </c>
      <c r="C13" s="3322"/>
      <c r="D13" s="1302"/>
      <c r="E13" s="1302"/>
      <c r="F13" s="1303"/>
      <c r="G13" s="1304"/>
      <c r="H13" s="1311"/>
      <c r="I13" s="1301">
        <f>ROUND(D13*E13*F13*G13/10000,0)</f>
        <v>0</v>
      </c>
    </row>
    <row r="14" spans="1:9">
      <c r="A14" s="3321"/>
      <c r="B14" s="3322" t="s">
        <v>1101</v>
      </c>
      <c r="C14" s="3322"/>
      <c r="D14" s="1302"/>
      <c r="E14" s="1302"/>
      <c r="F14" s="1303"/>
      <c r="G14" s="1304"/>
      <c r="H14" s="1311"/>
      <c r="I14" s="1301">
        <f>ROUND(D14*E14*F14*G14/10000,0)</f>
        <v>0</v>
      </c>
    </row>
    <row r="15" spans="1:9">
      <c r="A15" s="3321"/>
      <c r="B15" s="3323" t="s">
        <v>1092</v>
      </c>
      <c r="C15" s="3323"/>
      <c r="D15" s="1306"/>
      <c r="E15" s="1306">
        <f>SUM(E12:E14)</f>
        <v>0</v>
      </c>
      <c r="F15" s="1307"/>
      <c r="G15" s="1304"/>
      <c r="H15" s="1311"/>
      <c r="I15" s="1312">
        <f>SUM(I12:I14)</f>
        <v>0</v>
      </c>
    </row>
    <row r="16" spans="1:9" ht="24">
      <c r="A16" s="3321" t="s">
        <v>1102</v>
      </c>
      <c r="B16" s="3322" t="s">
        <v>1103</v>
      </c>
      <c r="C16" s="3322"/>
      <c r="D16" s="1302" t="s">
        <v>1079</v>
      </c>
      <c r="E16" s="1313" t="s">
        <v>1104</v>
      </c>
      <c r="F16" s="1303" t="s">
        <v>1105</v>
      </c>
      <c r="G16" s="1304" t="s">
        <v>1083</v>
      </c>
      <c r="H16" s="1310" t="s">
        <v>1098</v>
      </c>
      <c r="I16" s="1301" t="s">
        <v>1084</v>
      </c>
    </row>
    <row r="17" spans="1:9" ht="14.25">
      <c r="A17" s="3321"/>
      <c r="B17" s="3322" t="s">
        <v>1106</v>
      </c>
      <c r="C17" s="3322"/>
      <c r="D17" s="1302"/>
      <c r="E17" s="1302"/>
      <c r="F17" s="1303"/>
      <c r="G17" s="1304"/>
      <c r="H17" s="1314"/>
      <c r="I17" s="1315">
        <f>ROUND(D17*E17*F17*G17/10000,0)</f>
        <v>0</v>
      </c>
    </row>
    <row r="18" spans="1:9" ht="14.25">
      <c r="A18" s="3321"/>
      <c r="B18" s="3322" t="s">
        <v>1107</v>
      </c>
      <c r="C18" s="3322"/>
      <c r="D18" s="1302"/>
      <c r="E18" s="1302"/>
      <c r="F18" s="1303"/>
      <c r="G18" s="1304"/>
      <c r="H18" s="1314"/>
      <c r="I18" s="1315">
        <f>ROUND(D18*E18*F18*G18/10000,0)</f>
        <v>0</v>
      </c>
    </row>
    <row r="19" spans="1:9" ht="14.25">
      <c r="A19" s="3321"/>
      <c r="B19" s="3322" t="s">
        <v>1108</v>
      </c>
      <c r="C19" s="3322"/>
      <c r="D19" s="1302"/>
      <c r="E19" s="1302"/>
      <c r="F19" s="1303"/>
      <c r="G19" s="1304"/>
      <c r="H19" s="1314"/>
      <c r="I19" s="1315">
        <f>ROUND(D19*E19*F19*G19/10000,0)</f>
        <v>0</v>
      </c>
    </row>
    <row r="20" spans="1:9">
      <c r="A20" s="3321"/>
      <c r="B20" s="3323" t="s">
        <v>1092</v>
      </c>
      <c r="C20" s="3323"/>
      <c r="D20" s="1306">
        <f>SUM(D17:D19)</f>
        <v>0</v>
      </c>
      <c r="E20" s="1306"/>
      <c r="F20" s="1307"/>
      <c r="G20" s="1304"/>
      <c r="H20" s="1311"/>
      <c r="I20" s="1312">
        <f>SUM(I17:I19)</f>
        <v>0</v>
      </c>
    </row>
    <row r="21" spans="1:9">
      <c r="A21" s="3321" t="s">
        <v>1109</v>
      </c>
      <c r="B21" s="3325"/>
      <c r="C21" s="3325"/>
      <c r="D21" s="3325"/>
      <c r="E21" s="3325"/>
      <c r="F21" s="3325"/>
      <c r="G21" s="3325"/>
      <c r="H21" s="1763">
        <v>0.1</v>
      </c>
      <c r="I21" s="1309">
        <f>ROUND(I10*H21,0)</f>
        <v>0</v>
      </c>
    </row>
    <row r="22" spans="1:9" ht="14.25">
      <c r="A22" s="3326" t="s">
        <v>1110</v>
      </c>
      <c r="B22" s="3327"/>
      <c r="C22" s="3328"/>
      <c r="D22" s="1316" t="s">
        <v>1111</v>
      </c>
      <c r="E22" s="1316" t="s">
        <v>1112</v>
      </c>
      <c r="F22" s="1317" t="s">
        <v>1113</v>
      </c>
      <c r="G22" s="1317" t="s">
        <v>1114</v>
      </c>
      <c r="H22" s="1310" t="s">
        <v>1115</v>
      </c>
      <c r="I22" s="1301" t="s">
        <v>1116</v>
      </c>
    </row>
    <row r="23" spans="1:9" ht="14.25" thickBot="1">
      <c r="A23" s="3329"/>
      <c r="B23" s="3330"/>
      <c r="C23" s="3331"/>
      <c r="D23" s="1318"/>
      <c r="E23" s="1318"/>
      <c r="F23" s="1318"/>
      <c r="G23" s="1319"/>
      <c r="H23" s="1320"/>
      <c r="I23" s="1321">
        <f>ROUND(E23*D23*F23*(1-G23)/10000,0)</f>
        <v>0</v>
      </c>
    </row>
    <row r="26" spans="1:9">
      <c r="A26" s="1322" t="s">
        <v>1117</v>
      </c>
      <c r="B26" s="1322"/>
      <c r="C26" s="1322"/>
      <c r="D26" s="1322"/>
      <c r="E26" s="3332">
        <f>C27-C30-C31-C32</f>
        <v>0</v>
      </c>
      <c r="F26" s="3332"/>
      <c r="G26" s="3332"/>
      <c r="H26" s="1735" t="s">
        <v>1340</v>
      </c>
    </row>
    <row r="27" spans="1:9">
      <c r="A27" s="1323">
        <v>1</v>
      </c>
      <c r="B27" s="1324" t="s">
        <v>1118</v>
      </c>
      <c r="C27" s="1324">
        <f>C28+C29</f>
        <v>0</v>
      </c>
      <c r="D27" s="1324"/>
      <c r="E27" s="3333"/>
      <c r="F27" s="3333"/>
      <c r="G27" s="3333"/>
    </row>
    <row r="28" spans="1:9">
      <c r="A28" s="1325" t="s">
        <v>1119</v>
      </c>
      <c r="B28" s="1324" t="s">
        <v>1120</v>
      </c>
      <c r="C28" s="1324"/>
      <c r="D28" s="1324"/>
      <c r="E28" s="3333"/>
      <c r="F28" s="3333"/>
      <c r="G28" s="333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324"/>
      <c r="F32" s="3324"/>
      <c r="G32" s="3324"/>
    </row>
    <row r="33" spans="1:7" hidden="1">
      <c r="A33" s="3334" t="s">
        <v>1129</v>
      </c>
      <c r="B33" s="3335"/>
      <c r="C33" s="3335"/>
      <c r="D33" s="3336"/>
      <c r="E33" s="3332"/>
      <c r="F33" s="3332"/>
      <c r="G33" s="3332"/>
    </row>
    <row r="34" spans="1:7" hidden="1">
      <c r="A34" s="1327">
        <v>1</v>
      </c>
      <c r="B34" s="1324" t="s">
        <v>1130</v>
      </c>
      <c r="C34" s="1324"/>
      <c r="D34" s="1324"/>
      <c r="E34" s="3333"/>
      <c r="F34" s="3333"/>
      <c r="G34" s="3333"/>
    </row>
    <row r="35" spans="1:7" hidden="1">
      <c r="A35" s="1327">
        <v>2</v>
      </c>
      <c r="B35" s="1324" t="s">
        <v>1131</v>
      </c>
      <c r="C35" s="1324"/>
      <c r="D35" s="1324"/>
      <c r="E35" s="3333"/>
      <c r="F35" s="3333"/>
      <c r="G35" s="3333"/>
    </row>
    <row r="36" spans="1:7" hidden="1">
      <c r="A36" s="1327">
        <v>3</v>
      </c>
      <c r="B36" s="1324" t="s">
        <v>1132</v>
      </c>
      <c r="C36" s="1324"/>
      <c r="D36" s="1324"/>
      <c r="E36" s="3333"/>
      <c r="F36" s="3333"/>
      <c r="G36" s="3333"/>
    </row>
    <row r="37" spans="1:7" hidden="1">
      <c r="A37" s="1327">
        <v>4</v>
      </c>
      <c r="B37" s="1324" t="s">
        <v>1133</v>
      </c>
      <c r="C37" s="1324"/>
      <c r="D37" s="1324"/>
      <c r="E37" s="3333"/>
      <c r="F37" s="3333"/>
      <c r="G37" s="3333"/>
    </row>
    <row r="38" spans="1:7" hidden="1">
      <c r="A38" s="3334" t="s">
        <v>1134</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79" t="s">
        <v>2531</v>
      </c>
      <c r="C1" s="1632" t="s">
        <v>2532</v>
      </c>
      <c r="D1" s="1619"/>
      <c r="E1" s="2580"/>
      <c r="F1" s="2581" t="s">
        <v>2533</v>
      </c>
      <c r="G1" s="1629" t="s">
        <v>2534</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1394</v>
      </c>
      <c r="B2" s="1417" t="e">
        <f ca="1">IF(C2="——",ROUND(C49*D3/10000,0),ROUND(C49*D3/10000,0)-D2)</f>
        <v>#DIV/0!</v>
      </c>
      <c r="C2" s="2583"/>
      <c r="D2" s="1364" t="e">
        <f ca="1">SUMIF(INDIRECT("'"&amp;F2&amp;"'"&amp;"!A:A"),"承租人权益价值",INDIRECT("'"&amp;F2&amp;"'"&amp;"!c:c"))</f>
        <v>#REF!</v>
      </c>
      <c r="E2" s="2584" t="s">
        <v>2535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42325.20999999997</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2537</v>
      </c>
      <c r="B4" s="402"/>
      <c r="C4" s="3236" t="s">
        <v>2538</v>
      </c>
      <c r="D4" s="3237"/>
      <c r="E4" s="3238" t="s">
        <v>2539</v>
      </c>
      <c r="F4" s="3239"/>
      <c r="G4" s="3236" t="s">
        <v>2540</v>
      </c>
      <c r="H4" s="3237"/>
      <c r="I4" s="3236" t="s">
        <v>2541</v>
      </c>
      <c r="J4" s="3237"/>
      <c r="K4" s="2593" t="s">
        <v>2542</v>
      </c>
      <c r="L4" s="1129"/>
      <c r="M4" s="1130"/>
      <c r="N4" s="1130"/>
      <c r="O4" s="1130"/>
      <c r="P4" s="3240" t="s">
        <v>2543</v>
      </c>
      <c r="Q4" s="3241"/>
      <c r="R4" s="3223" t="s">
        <v>2539</v>
      </c>
      <c r="S4" s="3224"/>
      <c r="T4" s="3223" t="s">
        <v>2540</v>
      </c>
      <c r="U4" s="3224"/>
      <c r="V4" s="3248" t="s">
        <v>2541</v>
      </c>
      <c r="W4" s="3248"/>
      <c r="X4" s="1811"/>
      <c r="Y4" s="3223" t="s">
        <v>2543</v>
      </c>
      <c r="Z4" s="3224"/>
      <c r="AA4" s="3218" t="s">
        <v>2539</v>
      </c>
      <c r="AB4" s="3218" t="s">
        <v>2540</v>
      </c>
      <c r="AC4" s="3218" t="s">
        <v>2541</v>
      </c>
    </row>
    <row r="5" spans="1:29" ht="15">
      <c r="A5" s="404"/>
      <c r="B5" s="405"/>
      <c r="C5" s="3229" t="s">
        <v>2544</v>
      </c>
      <c r="D5" s="3230"/>
      <c r="E5" s="3227" t="s">
        <v>2545</v>
      </c>
      <c r="F5" s="3228"/>
      <c r="G5" s="3229" t="s">
        <v>2546</v>
      </c>
      <c r="H5" s="3230"/>
      <c r="I5" s="3229" t="s">
        <v>2547</v>
      </c>
      <c r="J5" s="3230"/>
      <c r="K5" s="2594"/>
      <c r="L5" s="1129"/>
      <c r="M5" s="1130"/>
      <c r="N5" s="1130"/>
      <c r="O5" s="1130"/>
      <c r="P5" s="3242"/>
      <c r="Q5" s="3243"/>
      <c r="R5" s="3225"/>
      <c r="S5" s="3226"/>
      <c r="T5" s="3225"/>
      <c r="U5" s="3226"/>
      <c r="V5" s="3248"/>
      <c r="W5" s="3248"/>
      <c r="X5" s="1811"/>
      <c r="Y5" s="3225"/>
      <c r="Z5" s="3226"/>
      <c r="AA5" s="3219"/>
      <c r="AB5" s="3219"/>
      <c r="AC5" s="3219"/>
    </row>
    <row r="6" spans="1:29" ht="15.75" thickBot="1">
      <c r="A6" s="406"/>
      <c r="B6" s="407"/>
      <c r="C6" s="3231" t="s">
        <v>2548</v>
      </c>
      <c r="D6" s="3232"/>
      <c r="E6" s="3233" t="s">
        <v>2548</v>
      </c>
      <c r="F6" s="3234"/>
      <c r="G6" s="3231" t="s">
        <v>2548</v>
      </c>
      <c r="H6" s="3232"/>
      <c r="I6" s="3231" t="s">
        <v>2548</v>
      </c>
      <c r="J6" s="3232"/>
      <c r="K6" s="2594" t="s">
        <v>2549</v>
      </c>
      <c r="L6" s="1129"/>
      <c r="M6" s="1130"/>
      <c r="N6" s="1130"/>
      <c r="O6" s="1130"/>
      <c r="P6" s="3244"/>
      <c r="Q6" s="3245"/>
      <c r="R6" s="3225"/>
      <c r="S6" s="3226"/>
      <c r="T6" s="3246"/>
      <c r="U6" s="3247"/>
      <c r="V6" s="3248"/>
      <c r="W6" s="3248"/>
      <c r="X6" s="1811"/>
      <c r="Y6" s="3246"/>
      <c r="Z6" s="3247"/>
      <c r="AA6" s="3220"/>
      <c r="AB6" s="3220"/>
      <c r="AC6" s="3220"/>
    </row>
    <row r="7" spans="1:29" s="117" customFormat="1" ht="15.75" thickBot="1">
      <c r="A7" s="408" t="s">
        <v>2550</v>
      </c>
      <c r="B7" s="409"/>
      <c r="C7" s="410">
        <f>'数据-取费表'!B2</f>
        <v>43228</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21" t="s">
        <v>2551</v>
      </c>
      <c r="Q7" s="3249"/>
      <c r="R7" s="769" t="s">
        <v>23</v>
      </c>
      <c r="S7" s="770">
        <f t="shared" ref="S7:S15" si="0">F7</f>
        <v>0</v>
      </c>
      <c r="T7" s="769" t="s">
        <v>23</v>
      </c>
      <c r="U7" s="770">
        <f t="shared" ref="U7:U15" si="1">H7</f>
        <v>0</v>
      </c>
      <c r="V7" s="769" t="s">
        <v>23</v>
      </c>
      <c r="W7" s="770">
        <f t="shared" ref="W7:W15" si="2">J7</f>
        <v>0</v>
      </c>
      <c r="X7" s="771"/>
      <c r="Y7" s="3221" t="s">
        <v>2551</v>
      </c>
      <c r="Z7" s="3222"/>
      <c r="AA7" s="772" t="e">
        <f>D7/F7</f>
        <v>#DIV/0!</v>
      </c>
      <c r="AB7" s="772" t="e">
        <f>D7/H7</f>
        <v>#DIV/0!</v>
      </c>
      <c r="AC7" s="772"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21" t="s">
        <v>2554</v>
      </c>
      <c r="Q8" s="3222"/>
      <c r="R8" s="769" t="s">
        <v>23</v>
      </c>
      <c r="S8" s="770">
        <f t="shared" si="0"/>
        <v>0</v>
      </c>
      <c r="T8" s="769" t="s">
        <v>23</v>
      </c>
      <c r="U8" s="770">
        <f t="shared" si="1"/>
        <v>0</v>
      </c>
      <c r="V8" s="769" t="s">
        <v>23</v>
      </c>
      <c r="W8" s="770">
        <f t="shared" si="2"/>
        <v>0</v>
      </c>
      <c r="X8" s="771"/>
      <c r="Y8" s="3221" t="s">
        <v>2554</v>
      </c>
      <c r="Z8" s="3222"/>
      <c r="AA8" s="772" t="e">
        <f t="shared" ref="AA8:AA19" si="3">D8/F8</f>
        <v>#DIV/0!</v>
      </c>
      <c r="AB8" s="772" t="e">
        <f t="shared" ref="AB8:AB19" si="4">D8/H8</f>
        <v>#DIV/0!</v>
      </c>
      <c r="AC8" s="772"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59"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772">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59"/>
      <c r="Q10" s="1793"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59"/>
      <c r="Q11" s="1793" t="str">
        <f t="shared" si="6"/>
        <v>容积率</v>
      </c>
      <c r="R11" s="769" t="s">
        <v>21</v>
      </c>
      <c r="S11" s="770" t="e">
        <f t="shared" si="0"/>
        <v>#N/A</v>
      </c>
      <c r="T11" s="769" t="s">
        <v>21</v>
      </c>
      <c r="U11" s="770" t="e">
        <f t="shared" si="1"/>
        <v>#N/A</v>
      </c>
      <c r="V11" s="769" t="s">
        <v>21</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259"/>
      <c r="Q12" s="1793">
        <f t="shared" si="6"/>
        <v>111</v>
      </c>
      <c r="R12" s="769" t="s">
        <v>21</v>
      </c>
      <c r="S12" s="770">
        <f t="shared" si="0"/>
        <v>100</v>
      </c>
      <c r="T12" s="769" t="s">
        <v>21</v>
      </c>
      <c r="U12" s="770">
        <f t="shared" si="1"/>
        <v>100</v>
      </c>
      <c r="V12" s="769" t="s">
        <v>21</v>
      </c>
      <c r="W12" s="770">
        <f t="shared" si="2"/>
        <v>100</v>
      </c>
      <c r="X12" s="771"/>
      <c r="Y12" s="3095"/>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259"/>
      <c r="Q13" s="1793">
        <f t="shared" si="6"/>
        <v>111</v>
      </c>
      <c r="R13" s="769" t="s">
        <v>21</v>
      </c>
      <c r="S13" s="770">
        <f t="shared" si="0"/>
        <v>100</v>
      </c>
      <c r="T13" s="769" t="s">
        <v>21</v>
      </c>
      <c r="U13" s="770">
        <f t="shared" si="1"/>
        <v>100</v>
      </c>
      <c r="V13" s="769" t="s">
        <v>21</v>
      </c>
      <c r="W13" s="770">
        <f t="shared" si="2"/>
        <v>100</v>
      </c>
      <c r="X13" s="771"/>
      <c r="Y13" s="3095"/>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259"/>
      <c r="Q14" s="1793">
        <f t="shared" si="6"/>
        <v>111</v>
      </c>
      <c r="R14" s="769" t="s">
        <v>21</v>
      </c>
      <c r="S14" s="770">
        <f t="shared" si="0"/>
        <v>100</v>
      </c>
      <c r="T14" s="769" t="s">
        <v>21</v>
      </c>
      <c r="U14" s="770">
        <f t="shared" si="1"/>
        <v>100</v>
      </c>
      <c r="V14" s="769" t="s">
        <v>21</v>
      </c>
      <c r="W14" s="770">
        <f t="shared" si="2"/>
        <v>100</v>
      </c>
      <c r="X14" s="771"/>
      <c r="Y14" s="3095"/>
      <c r="Z14" s="55">
        <f t="shared" si="7"/>
        <v>111</v>
      </c>
      <c r="AA14" s="772">
        <f t="shared" si="3"/>
        <v>1</v>
      </c>
      <c r="AB14" s="772">
        <f t="shared" si="4"/>
        <v>1</v>
      </c>
      <c r="AC14" s="772">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83" t="s">
        <v>2562</v>
      </c>
      <c r="Q15" s="1808" t="str">
        <f t="shared" si="6"/>
        <v>居住社区成熟度</v>
      </c>
      <c r="R15" s="773" t="s">
        <v>21</v>
      </c>
      <c r="S15" s="774">
        <f t="shared" si="0"/>
        <v>100</v>
      </c>
      <c r="T15" s="773" t="s">
        <v>21</v>
      </c>
      <c r="U15" s="774">
        <f t="shared" si="1"/>
        <v>100</v>
      </c>
      <c r="V15" s="773" t="s">
        <v>21</v>
      </c>
      <c r="W15" s="774">
        <f t="shared" si="2"/>
        <v>100</v>
      </c>
      <c r="X15" s="1811"/>
      <c r="Y15" s="3250" t="s">
        <v>2562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284"/>
      <c r="Q16" s="1808"/>
      <c r="R16" s="773"/>
      <c r="S16" s="774"/>
      <c r="T16" s="773"/>
      <c r="U16" s="774"/>
      <c r="V16" s="773"/>
      <c r="W16" s="774"/>
      <c r="X16" s="1811"/>
      <c r="Y16" s="3251"/>
      <c r="Z16" s="1812"/>
      <c r="AA16" s="1809">
        <v>1</v>
      </c>
      <c r="AB16" s="1809">
        <v>1</v>
      </c>
      <c r="AC16" s="1809">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84"/>
      <c r="Q17" s="1808" t="str">
        <f>B17</f>
        <v>交通便捷度</v>
      </c>
      <c r="R17" s="773" t="s">
        <v>21</v>
      </c>
      <c r="S17" s="774">
        <f>F17</f>
        <v>100</v>
      </c>
      <c r="T17" s="773" t="s">
        <v>21</v>
      </c>
      <c r="U17" s="774">
        <f>H17</f>
        <v>100</v>
      </c>
      <c r="V17" s="773" t="s">
        <v>21</v>
      </c>
      <c r="W17" s="774">
        <f>J17</f>
        <v>100</v>
      </c>
      <c r="X17" s="1811"/>
      <c r="Y17" s="325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284"/>
      <c r="Q18" s="1808"/>
      <c r="R18" s="773"/>
      <c r="S18" s="774"/>
      <c r="T18" s="773"/>
      <c r="U18" s="774"/>
      <c r="V18" s="773"/>
      <c r="W18" s="774"/>
      <c r="X18" s="1811"/>
      <c r="Y18" s="3251"/>
      <c r="Z18" s="1812"/>
      <c r="AA18" s="1809">
        <v>1</v>
      </c>
      <c r="AB18" s="1809">
        <v>1</v>
      </c>
      <c r="AC18" s="1809">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84"/>
      <c r="Q19" s="1808" t="str">
        <f>B19</f>
        <v>公共配套设施</v>
      </c>
      <c r="R19" s="773" t="s">
        <v>21</v>
      </c>
      <c r="S19" s="774">
        <f>F19</f>
        <v>100</v>
      </c>
      <c r="T19" s="773" t="s">
        <v>21</v>
      </c>
      <c r="U19" s="774">
        <f>H19</f>
        <v>100</v>
      </c>
      <c r="V19" s="773" t="s">
        <v>21</v>
      </c>
      <c r="W19" s="774">
        <f>J19</f>
        <v>100</v>
      </c>
      <c r="X19" s="1811"/>
      <c r="Y19" s="325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284"/>
      <c r="Q20" s="1808"/>
      <c r="R20" s="773"/>
      <c r="S20" s="774"/>
      <c r="T20" s="773"/>
      <c r="U20" s="774"/>
      <c r="V20" s="773"/>
      <c r="W20" s="774"/>
      <c r="X20" s="1811"/>
      <c r="Y20" s="3251"/>
      <c r="Z20" s="1812"/>
      <c r="AA20" s="1809">
        <v>1</v>
      </c>
      <c r="AB20" s="1809">
        <v>1</v>
      </c>
      <c r="AC20" s="1809">
        <v>1</v>
      </c>
    </row>
    <row r="21" spans="1:29" ht="28.5">
      <c r="A21" s="428"/>
      <c r="B21" s="1383"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284"/>
      <c r="Q22" s="1808"/>
      <c r="R22" s="773"/>
      <c r="S22" s="774"/>
      <c r="T22" s="773"/>
      <c r="U22" s="774"/>
      <c r="V22" s="773"/>
      <c r="W22" s="774"/>
      <c r="X22" s="1811"/>
      <c r="Y22" s="3251"/>
      <c r="Z22" s="1812"/>
      <c r="AA22" s="1809">
        <v>1</v>
      </c>
      <c r="AB22" s="1809">
        <v>1</v>
      </c>
      <c r="AC22" s="1809">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84"/>
      <c r="Q23" s="1808" t="str">
        <f>B23</f>
        <v>自然及人文环境</v>
      </c>
      <c r="R23" s="773" t="s">
        <v>21</v>
      </c>
      <c r="S23" s="774">
        <f>F23</f>
        <v>100</v>
      </c>
      <c r="T23" s="773" t="s">
        <v>21</v>
      </c>
      <c r="U23" s="774">
        <f>H23</f>
        <v>100</v>
      </c>
      <c r="V23" s="773" t="s">
        <v>21</v>
      </c>
      <c r="W23" s="774">
        <f>J23</f>
        <v>100</v>
      </c>
      <c r="X23" s="1811"/>
      <c r="Y23" s="325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284"/>
      <c r="Q24" s="1808"/>
      <c r="R24" s="773"/>
      <c r="S24" s="774"/>
      <c r="T24" s="773"/>
      <c r="U24" s="774"/>
      <c r="V24" s="773"/>
      <c r="W24" s="774"/>
      <c r="X24" s="1811"/>
      <c r="Y24" s="3251"/>
      <c r="Z24" s="1812"/>
      <c r="AA24" s="1809">
        <v>1</v>
      </c>
      <c r="AB24" s="1809">
        <v>1</v>
      </c>
      <c r="AC24" s="1809">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8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1"/>
      <c r="Z25" s="1812" t="str">
        <f>Q25</f>
        <v>楼层-1</v>
      </c>
      <c r="AA25" s="1809">
        <f t="shared" ref="AA25:AA46" si="15">D25/F25</f>
        <v>1</v>
      </c>
      <c r="AB25" s="1809">
        <f t="shared" ref="AB25:AB46" si="16">D25/H25</f>
        <v>1</v>
      </c>
      <c r="AC25" s="1809">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84"/>
      <c r="Q26" s="1808" t="str">
        <f t="shared" si="11"/>
        <v>朝向</v>
      </c>
      <c r="R26" s="773" t="s">
        <v>21</v>
      </c>
      <c r="S26" s="774">
        <f t="shared" si="12"/>
        <v>100</v>
      </c>
      <c r="T26" s="773" t="s">
        <v>21</v>
      </c>
      <c r="U26" s="774">
        <f t="shared" si="13"/>
        <v>100</v>
      </c>
      <c r="V26" s="773" t="s">
        <v>21</v>
      </c>
      <c r="W26" s="774">
        <f t="shared" si="14"/>
        <v>100</v>
      </c>
      <c r="X26" s="1811"/>
      <c r="Y26" s="325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84"/>
      <c r="Q27" s="1793">
        <f t="shared" si="11"/>
        <v>111</v>
      </c>
      <c r="R27" s="769" t="s">
        <v>21</v>
      </c>
      <c r="S27" s="770">
        <f t="shared" si="12"/>
        <v>100</v>
      </c>
      <c r="T27" s="769" t="s">
        <v>21</v>
      </c>
      <c r="U27" s="770">
        <f t="shared" si="13"/>
        <v>100</v>
      </c>
      <c r="V27" s="769" t="s">
        <v>21</v>
      </c>
      <c r="W27" s="770">
        <f t="shared" si="14"/>
        <v>100</v>
      </c>
      <c r="X27" s="771"/>
      <c r="Y27" s="325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84"/>
      <c r="Q28" s="1808">
        <f t="shared" si="11"/>
        <v>111</v>
      </c>
      <c r="R28" s="773" t="s">
        <v>21</v>
      </c>
      <c r="S28" s="774">
        <f t="shared" si="12"/>
        <v>100</v>
      </c>
      <c r="T28" s="773" t="s">
        <v>21</v>
      </c>
      <c r="U28" s="774">
        <f t="shared" si="13"/>
        <v>100</v>
      </c>
      <c r="V28" s="773" t="s">
        <v>21</v>
      </c>
      <c r="W28" s="774">
        <f t="shared" si="14"/>
        <v>100</v>
      </c>
      <c r="X28" s="1811"/>
      <c r="Y28" s="325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84"/>
      <c r="Q29" s="1808">
        <f t="shared" si="11"/>
        <v>111</v>
      </c>
      <c r="R29" s="773" t="s">
        <v>21</v>
      </c>
      <c r="S29" s="774">
        <f t="shared" si="12"/>
        <v>100</v>
      </c>
      <c r="T29" s="773" t="s">
        <v>21</v>
      </c>
      <c r="U29" s="774">
        <f t="shared" si="13"/>
        <v>100</v>
      </c>
      <c r="V29" s="773" t="s">
        <v>21</v>
      </c>
      <c r="W29" s="774">
        <f t="shared" si="14"/>
        <v>100</v>
      </c>
      <c r="X29" s="1811"/>
      <c r="Y29" s="325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84"/>
      <c r="Q30" s="1808">
        <f t="shared" si="11"/>
        <v>111</v>
      </c>
      <c r="R30" s="773" t="s">
        <v>21</v>
      </c>
      <c r="S30" s="774">
        <f t="shared" si="12"/>
        <v>100</v>
      </c>
      <c r="T30" s="773" t="s">
        <v>21</v>
      </c>
      <c r="U30" s="774">
        <f t="shared" si="13"/>
        <v>100</v>
      </c>
      <c r="V30" s="773" t="s">
        <v>21</v>
      </c>
      <c r="W30" s="774">
        <f t="shared" si="14"/>
        <v>100</v>
      </c>
      <c r="X30" s="1811"/>
      <c r="Y30" s="325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84"/>
      <c r="Q31" s="1808">
        <f t="shared" si="11"/>
        <v>111</v>
      </c>
      <c r="R31" s="773" t="s">
        <v>21</v>
      </c>
      <c r="S31" s="774">
        <f t="shared" si="12"/>
        <v>100</v>
      </c>
      <c r="T31" s="773" t="s">
        <v>21</v>
      </c>
      <c r="U31" s="774">
        <f t="shared" si="13"/>
        <v>100</v>
      </c>
      <c r="V31" s="773" t="s">
        <v>21</v>
      </c>
      <c r="W31" s="774">
        <f t="shared" si="14"/>
        <v>100</v>
      </c>
      <c r="X31" s="1811"/>
      <c r="Y31" s="3251"/>
      <c r="Z31" s="1812">
        <f t="shared" si="18"/>
        <v>111</v>
      </c>
      <c r="AA31" s="1809">
        <f t="shared" si="15"/>
        <v>1</v>
      </c>
      <c r="AB31" s="1809">
        <f t="shared" si="16"/>
        <v>1</v>
      </c>
      <c r="AC31" s="1809">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85" t="s">
        <v>2567</v>
      </c>
      <c r="Q32" s="1808" t="str">
        <f t="shared" si="11"/>
        <v>建筑类型</v>
      </c>
      <c r="R32" s="773" t="s">
        <v>21</v>
      </c>
      <c r="S32" s="774">
        <f t="shared" si="12"/>
        <v>100</v>
      </c>
      <c r="T32" s="773" t="s">
        <v>21</v>
      </c>
      <c r="U32" s="774">
        <f t="shared" si="13"/>
        <v>100</v>
      </c>
      <c r="V32" s="773" t="s">
        <v>21</v>
      </c>
      <c r="W32" s="774">
        <f t="shared" si="14"/>
        <v>100</v>
      </c>
      <c r="X32" s="1811"/>
      <c r="Y32" s="3253" t="s">
        <v>2567</v>
      </c>
      <c r="Z32" s="1812" t="str">
        <f t="shared" si="18"/>
        <v>建筑类型</v>
      </c>
      <c r="AA32" s="1809">
        <f t="shared" si="15"/>
        <v>1</v>
      </c>
      <c r="AB32" s="1809">
        <f t="shared" si="16"/>
        <v>1</v>
      </c>
      <c r="AC32" s="1809">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286"/>
      <c r="Q33" s="775" t="str">
        <f t="shared" si="11"/>
        <v>项目建筑规模</v>
      </c>
      <c r="R33" s="776" t="s">
        <v>21</v>
      </c>
      <c r="S33" s="777" t="e">
        <f t="shared" si="12"/>
        <v>#N/A</v>
      </c>
      <c r="T33" s="776" t="s">
        <v>21</v>
      </c>
      <c r="U33" s="777" t="e">
        <f t="shared" si="13"/>
        <v>#N/A</v>
      </c>
      <c r="V33" s="776" t="s">
        <v>21</v>
      </c>
      <c r="W33" s="777" t="e">
        <f t="shared" si="14"/>
        <v>#N/A</v>
      </c>
      <c r="X33" s="778"/>
      <c r="Y33" s="3253"/>
      <c r="Z33" s="779" t="str">
        <f t="shared" si="18"/>
        <v>项目建筑规模</v>
      </c>
      <c r="AA33" s="1809" t="e">
        <f t="shared" si="15"/>
        <v>#N/A</v>
      </c>
      <c r="AB33" s="1809" t="e">
        <f t="shared" si="16"/>
        <v>#N/A</v>
      </c>
      <c r="AC33" s="1809"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86"/>
      <c r="Q34" s="1808" t="str">
        <f t="shared" si="11"/>
        <v>建筑结构</v>
      </c>
      <c r="R34" s="773" t="s">
        <v>21</v>
      </c>
      <c r="S34" s="774">
        <f t="shared" si="12"/>
        <v>100</v>
      </c>
      <c r="T34" s="773" t="s">
        <v>21</v>
      </c>
      <c r="U34" s="774">
        <f t="shared" si="13"/>
        <v>100</v>
      </c>
      <c r="V34" s="773" t="s">
        <v>21</v>
      </c>
      <c r="W34" s="774">
        <f t="shared" si="14"/>
        <v>100</v>
      </c>
      <c r="X34" s="1811"/>
      <c r="Y34" s="3253"/>
      <c r="Z34" s="1812" t="str">
        <f t="shared" si="18"/>
        <v>建筑结构</v>
      </c>
      <c r="AA34" s="1809">
        <f t="shared" si="15"/>
        <v>1</v>
      </c>
      <c r="AB34" s="1809">
        <f t="shared" si="16"/>
        <v>1</v>
      </c>
      <c r="AC34" s="1809">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86"/>
      <c r="Q35" s="1808" t="str">
        <f t="shared" si="11"/>
        <v>建筑品质</v>
      </c>
      <c r="R35" s="773" t="s">
        <v>21</v>
      </c>
      <c r="S35" s="774">
        <f t="shared" si="12"/>
        <v>100</v>
      </c>
      <c r="T35" s="773" t="s">
        <v>21</v>
      </c>
      <c r="U35" s="774">
        <f t="shared" si="13"/>
        <v>100</v>
      </c>
      <c r="V35" s="773" t="s">
        <v>21</v>
      </c>
      <c r="W35" s="774">
        <f t="shared" si="14"/>
        <v>100</v>
      </c>
      <c r="X35" s="1811"/>
      <c r="Y35" s="3253"/>
      <c r="Z35" s="1812" t="str">
        <f t="shared" si="18"/>
        <v>建筑品质</v>
      </c>
      <c r="AA35" s="1809">
        <f t="shared" si="15"/>
        <v>1</v>
      </c>
      <c r="AB35" s="1809">
        <f t="shared" si="16"/>
        <v>1</v>
      </c>
      <c r="AC35" s="1809">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86"/>
      <c r="Q36" s="1808" t="str">
        <f t="shared" si="11"/>
        <v>公共部分装修</v>
      </c>
      <c r="R36" s="773" t="s">
        <v>21</v>
      </c>
      <c r="S36" s="774">
        <f t="shared" si="12"/>
        <v>100</v>
      </c>
      <c r="T36" s="773" t="s">
        <v>21</v>
      </c>
      <c r="U36" s="774">
        <f t="shared" si="13"/>
        <v>100</v>
      </c>
      <c r="V36" s="773" t="s">
        <v>21</v>
      </c>
      <c r="W36" s="774">
        <f t="shared" si="14"/>
        <v>100</v>
      </c>
      <c r="X36" s="1811"/>
      <c r="Y36" s="3253"/>
      <c r="Z36" s="1812" t="str">
        <f t="shared" si="18"/>
        <v>公共部分装修</v>
      </c>
      <c r="AA36" s="1809">
        <f t="shared" si="15"/>
        <v>1</v>
      </c>
      <c r="AB36" s="1809">
        <f t="shared" si="16"/>
        <v>1</v>
      </c>
      <c r="AC36" s="1809">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86"/>
      <c r="Q37" s="1793" t="str">
        <f t="shared" si="11"/>
        <v>成新度</v>
      </c>
      <c r="R37" s="769" t="s">
        <v>21</v>
      </c>
      <c r="S37" s="770" t="e">
        <f t="shared" si="12"/>
        <v>#N/A</v>
      </c>
      <c r="T37" s="769" t="s">
        <v>21</v>
      </c>
      <c r="U37" s="770" t="e">
        <f t="shared" si="13"/>
        <v>#N/A</v>
      </c>
      <c r="V37" s="769" t="s">
        <v>21</v>
      </c>
      <c r="W37" s="770" t="e">
        <f t="shared" si="14"/>
        <v>#N/A</v>
      </c>
      <c r="X37" s="771"/>
      <c r="Y37" s="3253"/>
      <c r="Z37" s="55" t="str">
        <f t="shared" si="18"/>
        <v>成新度</v>
      </c>
      <c r="AA37" s="772" t="e">
        <f t="shared" si="15"/>
        <v>#N/A</v>
      </c>
      <c r="AB37" s="772" t="e">
        <f t="shared" si="16"/>
        <v>#N/A</v>
      </c>
      <c r="AC37" s="772"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86" t="s">
        <v>2567</v>
      </c>
      <c r="Q38" s="1808" t="str">
        <f t="shared" si="11"/>
        <v>物业管理</v>
      </c>
      <c r="R38" s="773" t="s">
        <v>21</v>
      </c>
      <c r="S38" s="774">
        <f t="shared" si="12"/>
        <v>100</v>
      </c>
      <c r="T38" s="773" t="s">
        <v>21</v>
      </c>
      <c r="U38" s="774">
        <f t="shared" si="13"/>
        <v>100</v>
      </c>
      <c r="V38" s="773" t="s">
        <v>21</v>
      </c>
      <c r="W38" s="774">
        <f t="shared" si="14"/>
        <v>100</v>
      </c>
      <c r="X38" s="1811"/>
      <c r="Y38" s="3253" t="s">
        <v>2567</v>
      </c>
      <c r="Z38" s="1812" t="str">
        <f t="shared" si="18"/>
        <v>物业管理</v>
      </c>
      <c r="AA38" s="1809">
        <f t="shared" si="15"/>
        <v>1</v>
      </c>
      <c r="AB38" s="1809">
        <f t="shared" si="16"/>
        <v>1</v>
      </c>
      <c r="AC38" s="1809">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86"/>
      <c r="Q39" s="1808" t="str">
        <f t="shared" si="11"/>
        <v>市政基础设施</v>
      </c>
      <c r="R39" s="773" t="s">
        <v>21</v>
      </c>
      <c r="S39" s="774">
        <f t="shared" si="12"/>
        <v>100</v>
      </c>
      <c r="T39" s="773" t="s">
        <v>21</v>
      </c>
      <c r="U39" s="774">
        <f t="shared" si="13"/>
        <v>100</v>
      </c>
      <c r="V39" s="773" t="s">
        <v>21</v>
      </c>
      <c r="W39" s="774">
        <f t="shared" si="14"/>
        <v>100</v>
      </c>
      <c r="X39" s="1811"/>
      <c r="Y39" s="3253"/>
      <c r="Z39" s="1812" t="str">
        <f t="shared" si="18"/>
        <v>市政基础设施</v>
      </c>
      <c r="AA39" s="1809">
        <f t="shared" si="15"/>
        <v>1</v>
      </c>
      <c r="AB39" s="1809">
        <f t="shared" si="16"/>
        <v>1</v>
      </c>
      <c r="AC39" s="1809">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86"/>
      <c r="Q40" s="1808" t="str">
        <f t="shared" si="11"/>
        <v>房型</v>
      </c>
      <c r="R40" s="773" t="s">
        <v>21</v>
      </c>
      <c r="S40" s="774">
        <f t="shared" si="12"/>
        <v>100</v>
      </c>
      <c r="T40" s="773" t="s">
        <v>21</v>
      </c>
      <c r="U40" s="774">
        <f t="shared" si="13"/>
        <v>100</v>
      </c>
      <c r="V40" s="773" t="s">
        <v>21</v>
      </c>
      <c r="W40" s="774">
        <f t="shared" si="14"/>
        <v>100</v>
      </c>
      <c r="X40" s="1811"/>
      <c r="Y40" s="3253"/>
      <c r="Z40" s="1812" t="str">
        <f t="shared" si="18"/>
        <v>房型</v>
      </c>
      <c r="AA40" s="1809">
        <f t="shared" si="15"/>
        <v>1</v>
      </c>
      <c r="AB40" s="1809">
        <f t="shared" si="16"/>
        <v>1</v>
      </c>
      <c r="AC40" s="1809">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86"/>
      <c r="Q41" s="775" t="str">
        <f t="shared" si="11"/>
        <v>单套/主力户型建筑面积</v>
      </c>
      <c r="R41" s="776" t="s">
        <v>21</v>
      </c>
      <c r="S41" s="777">
        <f t="shared" si="12"/>
        <v>100</v>
      </c>
      <c r="T41" s="776" t="s">
        <v>21</v>
      </c>
      <c r="U41" s="777">
        <f t="shared" si="13"/>
        <v>100</v>
      </c>
      <c r="V41" s="776" t="s">
        <v>21</v>
      </c>
      <c r="W41" s="777">
        <f t="shared" si="14"/>
        <v>100</v>
      </c>
      <c r="X41" s="778"/>
      <c r="Y41" s="3253"/>
      <c r="Z41" s="779" t="str">
        <f t="shared" si="18"/>
        <v>单套/主力户型建筑面积</v>
      </c>
      <c r="AA41" s="1809">
        <f t="shared" si="15"/>
        <v>1</v>
      </c>
      <c r="AB41" s="1809">
        <f t="shared" si="16"/>
        <v>1</v>
      </c>
      <c r="AC41" s="1809">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86"/>
      <c r="Q42" s="1808" t="str">
        <f t="shared" si="11"/>
        <v>内部装修</v>
      </c>
      <c r="R42" s="773" t="s">
        <v>21</v>
      </c>
      <c r="S42" s="774">
        <f t="shared" si="12"/>
        <v>100</v>
      </c>
      <c r="T42" s="773" t="s">
        <v>21</v>
      </c>
      <c r="U42" s="774">
        <f t="shared" si="13"/>
        <v>100</v>
      </c>
      <c r="V42" s="773" t="s">
        <v>21</v>
      </c>
      <c r="W42" s="774">
        <f t="shared" si="14"/>
        <v>100</v>
      </c>
      <c r="X42" s="1811"/>
      <c r="Y42" s="3253"/>
      <c r="Z42" s="1812" t="str">
        <f t="shared" si="18"/>
        <v>内部装修</v>
      </c>
      <c r="AA42" s="1809">
        <f t="shared" si="15"/>
        <v>1</v>
      </c>
      <c r="AB42" s="1809">
        <f t="shared" si="16"/>
        <v>1</v>
      </c>
      <c r="AC42" s="1809">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86"/>
      <c r="Q43" s="1808" t="str">
        <f t="shared" si="11"/>
        <v>内部装修维护情况</v>
      </c>
      <c r="R43" s="773" t="s">
        <v>21</v>
      </c>
      <c r="S43" s="774">
        <f t="shared" si="12"/>
        <v>100</v>
      </c>
      <c r="T43" s="773" t="s">
        <v>21</v>
      </c>
      <c r="U43" s="774">
        <f t="shared" si="13"/>
        <v>100</v>
      </c>
      <c r="V43" s="773" t="s">
        <v>21</v>
      </c>
      <c r="W43" s="774">
        <f t="shared" si="14"/>
        <v>100</v>
      </c>
      <c r="X43" s="1811"/>
      <c r="Y43" s="325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86"/>
      <c r="Q44" s="1793">
        <f t="shared" si="11"/>
        <v>111</v>
      </c>
      <c r="R44" s="769" t="s">
        <v>21</v>
      </c>
      <c r="S44" s="770">
        <f t="shared" si="12"/>
        <v>100</v>
      </c>
      <c r="T44" s="769" t="s">
        <v>21</v>
      </c>
      <c r="U44" s="770">
        <f t="shared" si="13"/>
        <v>100</v>
      </c>
      <c r="V44" s="769" t="s">
        <v>21</v>
      </c>
      <c r="W44" s="770">
        <f t="shared" si="14"/>
        <v>100</v>
      </c>
      <c r="X44" s="771"/>
      <c r="Y44" s="325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86"/>
      <c r="Q45" s="1808">
        <f t="shared" si="11"/>
        <v>111</v>
      </c>
      <c r="R45" s="773" t="s">
        <v>21</v>
      </c>
      <c r="S45" s="774">
        <f t="shared" si="12"/>
        <v>100</v>
      </c>
      <c r="T45" s="773" t="s">
        <v>21</v>
      </c>
      <c r="U45" s="774">
        <f t="shared" si="13"/>
        <v>100</v>
      </c>
      <c r="V45" s="773" t="s">
        <v>21</v>
      </c>
      <c r="W45" s="774">
        <f t="shared" si="14"/>
        <v>100</v>
      </c>
      <c r="X45" s="1811"/>
      <c r="Y45" s="325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87"/>
      <c r="Q46" s="1808">
        <f t="shared" si="11"/>
        <v>111</v>
      </c>
      <c r="R46" s="773" t="s">
        <v>20</v>
      </c>
      <c r="S46" s="774">
        <f t="shared" si="12"/>
        <v>100</v>
      </c>
      <c r="T46" s="773" t="s">
        <v>20</v>
      </c>
      <c r="U46" s="774">
        <f t="shared" si="13"/>
        <v>100</v>
      </c>
      <c r="V46" s="773" t="s">
        <v>20</v>
      </c>
      <c r="W46" s="774">
        <f t="shared" si="14"/>
        <v>100</v>
      </c>
      <c r="X46" s="1811"/>
      <c r="Y46" s="3288"/>
      <c r="Z46" s="1812">
        <f t="shared" si="18"/>
        <v>111</v>
      </c>
      <c r="AA46" s="1809">
        <f t="shared" si="15"/>
        <v>1</v>
      </c>
      <c r="AB46" s="1809">
        <f t="shared" si="16"/>
        <v>1</v>
      </c>
      <c r="AC46" s="1809">
        <f t="shared" si="17"/>
        <v>1</v>
      </c>
    </row>
    <row r="47" spans="1:29" ht="15">
      <c r="A47" s="479" t="s">
        <v>2579</v>
      </c>
      <c r="B47" s="480"/>
      <c r="C47" s="1406" t="s">
        <v>19</v>
      </c>
      <c r="D47" s="1407"/>
      <c r="E47" s="1408"/>
      <c r="F47" s="1409"/>
      <c r="G47" s="1410"/>
      <c r="H47" s="1411"/>
      <c r="I47" s="1408"/>
      <c r="J47" s="1411"/>
      <c r="K47" s="2618"/>
      <c r="L47" s="1142"/>
      <c r="M47" s="1143"/>
      <c r="N47" s="1130"/>
      <c r="O47" s="1143"/>
      <c r="P47" s="3235" t="str">
        <f>A47</f>
        <v>成交单价（元/平方米）</v>
      </c>
      <c r="Q47" s="3235"/>
      <c r="R47" s="3289">
        <f>E47</f>
        <v>0</v>
      </c>
      <c r="S47" s="3289"/>
      <c r="T47" s="3289">
        <f>G47</f>
        <v>0</v>
      </c>
      <c r="U47" s="3289"/>
      <c r="V47" s="3289">
        <f>I47</f>
        <v>0</v>
      </c>
      <c r="W47" s="3289"/>
      <c r="X47" s="758"/>
      <c r="Y47" s="780"/>
      <c r="Z47" s="758"/>
      <c r="AA47" s="758"/>
      <c r="AB47" s="758"/>
      <c r="AC47" s="758"/>
    </row>
    <row r="48" spans="1:29" ht="15.75" thickBot="1">
      <c r="A48" s="486" t="s">
        <v>2580</v>
      </c>
      <c r="B48" s="487"/>
      <c r="C48" s="1412" t="e">
        <f>R49</f>
        <v>#DIV/0!</v>
      </c>
      <c r="D48" s="1413"/>
      <c r="E48" s="1414" t="e">
        <f>R48</f>
        <v>#DIV/0!</v>
      </c>
      <c r="F48" s="1414"/>
      <c r="G48" s="1412" t="e">
        <f>T48</f>
        <v>#DIV/0!</v>
      </c>
      <c r="H48" s="1413"/>
      <c r="I48" s="1414" t="e">
        <f>V48</f>
        <v>#DIV/0!</v>
      </c>
      <c r="J48" s="1413"/>
      <c r="K48" s="2619"/>
      <c r="L48" s="1142"/>
      <c r="M48" s="1143"/>
      <c r="N48" s="1143"/>
      <c r="O48" s="1143"/>
      <c r="P48" s="3235" t="str">
        <f>A48</f>
        <v>比较价值（元/平方米）</v>
      </c>
      <c r="Q48" s="323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8"/>
      <c r="Y48" s="758"/>
      <c r="Z48" s="758"/>
      <c r="AA48" s="758"/>
      <c r="AB48" s="758"/>
      <c r="AC48" s="758"/>
    </row>
    <row r="49" spans="1:29" ht="15.75" thickBot="1">
      <c r="A49" s="492" t="s">
        <v>2581</v>
      </c>
      <c r="B49" s="493"/>
      <c r="C49" s="1415" t="e">
        <f>R49</f>
        <v>#DIV/0!</v>
      </c>
      <c r="D49" s="1416"/>
      <c r="E49" s="1416"/>
      <c r="F49" s="1416"/>
      <c r="G49" s="1416"/>
      <c r="H49" s="1416"/>
      <c r="I49" s="1416"/>
      <c r="J49" s="1416"/>
      <c r="K49" s="2620"/>
      <c r="L49" s="1142"/>
      <c r="M49" s="1143"/>
      <c r="N49" s="1143"/>
      <c r="O49" s="1143"/>
      <c r="P49" s="3255" t="str">
        <f>A49</f>
        <v>估价对象XX用房的比较价值（楼面单价，元/平方米）</v>
      </c>
      <c r="Q49" s="3256"/>
      <c r="R49" s="3290" t="e">
        <f>IF(F1="售价",ROUND(AVERAGE(R48:V48),0),ROUND(AVERAGE(R48:V48),1))</f>
        <v>#DIV/0!</v>
      </c>
      <c r="S49" s="3290"/>
      <c r="T49" s="3290"/>
      <c r="U49" s="3290"/>
      <c r="V49" s="3290"/>
      <c r="W49" s="329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2585</v>
      </c>
      <c r="B57" s="758"/>
      <c r="C57" s="763"/>
      <c r="D57" s="763"/>
      <c r="E57" s="763"/>
      <c r="F57" s="764"/>
      <c r="G57" s="764"/>
      <c r="H57" s="763"/>
      <c r="I57" s="763"/>
      <c r="J57" s="763"/>
      <c r="K57" s="1159"/>
      <c r="L57" s="1160"/>
      <c r="M57" s="1158"/>
      <c r="N57" s="1158"/>
      <c r="O57" s="1158"/>
      <c r="P57" s="2623"/>
      <c r="Q57" s="504"/>
    </row>
    <row r="58" spans="1:29" s="508" customFormat="1" ht="15">
      <c r="A58" s="505" t="s">
        <v>2586</v>
      </c>
      <c r="B58" s="506"/>
      <c r="C58" s="1574" t="str">
        <f>YEAR(C7)&amp;"-"&amp;MONTH(C7)</f>
        <v>2018-5</v>
      </c>
      <c r="D58" s="1573">
        <f>EDATE(C58,-1)</f>
        <v>43191</v>
      </c>
      <c r="E58" s="1573">
        <f>EDATE(D58,-1)</f>
        <v>43160</v>
      </c>
      <c r="F58" s="1573">
        <f t="shared" ref="F58:O58" si="19">EDATE(E58,-1)</f>
        <v>43132</v>
      </c>
      <c r="G58" s="1573">
        <f t="shared" si="19"/>
        <v>43101</v>
      </c>
      <c r="H58" s="1573">
        <f t="shared" si="19"/>
        <v>43070</v>
      </c>
      <c r="I58" s="1573">
        <f t="shared" si="19"/>
        <v>43040</v>
      </c>
      <c r="J58" s="1573">
        <f t="shared" si="19"/>
        <v>43009</v>
      </c>
      <c r="K58" s="1573">
        <f t="shared" si="19"/>
        <v>42979</v>
      </c>
      <c r="L58" s="1573">
        <f t="shared" si="19"/>
        <v>42948</v>
      </c>
      <c r="M58" s="1573">
        <f t="shared" si="19"/>
        <v>42917</v>
      </c>
      <c r="N58" s="1573">
        <f t="shared" si="19"/>
        <v>42887</v>
      </c>
      <c r="O58" s="1573">
        <f t="shared" si="19"/>
        <v>42856</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2590</v>
      </c>
      <c r="B63" s="528" t="s">
        <v>2556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81"/>
      <c r="N82" s="1152"/>
      <c r="O82" s="1152"/>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2"/>
      <c r="O83" s="1152"/>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2612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2613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2565</v>
      </c>
      <c r="B100" s="528" t="s">
        <v>2614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2616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2617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2618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2620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2621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2576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2622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3">
        <v>6</v>
      </c>
      <c r="C139" s="1084">
        <v>96</v>
      </c>
      <c r="D139" s="2645" t="s">
        <v>2633</v>
      </c>
      <c r="E139" s="1085">
        <v>100</v>
      </c>
      <c r="F139" s="1086">
        <v>102.5</v>
      </c>
      <c r="G139" s="2645" t="s">
        <v>2633</v>
      </c>
      <c r="H139" s="1087">
        <v>105</v>
      </c>
      <c r="I139" s="2646" t="s">
        <v>2634</v>
      </c>
      <c r="J139" s="1084">
        <v>20</v>
      </c>
      <c r="K139" s="1088">
        <f>C145/(J139-2)</f>
        <v>4.0555555555555553E-3</v>
      </c>
    </row>
    <row r="140" spans="1:17" ht="15">
      <c r="B140" s="1089">
        <v>5</v>
      </c>
      <c r="C140" s="1090">
        <v>100</v>
      </c>
      <c r="D140" s="1090"/>
      <c r="E140" s="1091"/>
      <c r="F140" s="1092">
        <v>102</v>
      </c>
      <c r="G140" s="1090"/>
      <c r="H140" s="1093"/>
      <c r="I140" s="2647" t="s">
        <v>2635</v>
      </c>
      <c r="J140" s="315">
        <f>ROUNDUP((J139-1)/2,0)</f>
        <v>10</v>
      </c>
      <c r="K140" s="1094">
        <v>100</v>
      </c>
    </row>
    <row r="141" spans="1:17" ht="15">
      <c r="B141" s="1089">
        <v>4</v>
      </c>
      <c r="C141" s="1090">
        <v>102</v>
      </c>
      <c r="D141" s="1090"/>
      <c r="E141" s="1091"/>
      <c r="F141" s="1092">
        <v>101.5</v>
      </c>
      <c r="G141" s="1090"/>
      <c r="H141" s="1093"/>
      <c r="I141" s="2647" t="s">
        <v>2636</v>
      </c>
      <c r="J141" s="315">
        <v>1</v>
      </c>
      <c r="K141" s="1095">
        <f>ROUND(100+(J141-J140)*K139*100,1)</f>
        <v>96.4</v>
      </c>
    </row>
    <row r="142" spans="1:17" ht="15">
      <c r="B142" s="1089">
        <v>3</v>
      </c>
      <c r="C142" s="1090">
        <v>103</v>
      </c>
      <c r="D142" s="1090"/>
      <c r="E142" s="1091"/>
      <c r="F142" s="1092">
        <v>101</v>
      </c>
      <c r="G142" s="1090"/>
      <c r="H142" s="1093"/>
      <c r="I142" s="2647" t="s">
        <v>2637</v>
      </c>
      <c r="J142" s="315">
        <f>J139</f>
        <v>20</v>
      </c>
      <c r="K142" s="1096">
        <v>95</v>
      </c>
    </row>
    <row r="143" spans="1:17" ht="15">
      <c r="B143" s="1089">
        <v>2</v>
      </c>
      <c r="C143" s="1090">
        <v>100</v>
      </c>
      <c r="D143" s="1090"/>
      <c r="E143" s="1091"/>
      <c r="F143" s="1092">
        <v>100.5</v>
      </c>
      <c r="G143" s="1090"/>
      <c r="H143" s="1093"/>
      <c r="I143" s="2647" t="s">
        <v>2638</v>
      </c>
      <c r="J143" s="1090">
        <v>15</v>
      </c>
      <c r="K143" s="1095">
        <f>ROUND(100+(J143-J140)*K139*100,1)</f>
        <v>102</v>
      </c>
    </row>
    <row r="144" spans="1:17" ht="15">
      <c r="B144" s="1089">
        <v>1</v>
      </c>
      <c r="C144" s="1090">
        <v>98</v>
      </c>
      <c r="D144" s="2648" t="s">
        <v>2639</v>
      </c>
      <c r="E144" s="1091">
        <v>102</v>
      </c>
      <c r="F144" s="1097">
        <v>100</v>
      </c>
      <c r="G144" s="2648" t="s">
        <v>2639</v>
      </c>
      <c r="H144" s="1093">
        <v>105</v>
      </c>
      <c r="I144" s="2647" t="s">
        <v>2638</v>
      </c>
      <c r="J144" s="1090">
        <v>18</v>
      </c>
      <c r="K144" s="1095">
        <f>ROUND(100+(J144-J140)*K139*100,1)</f>
        <v>103.2</v>
      </c>
    </row>
    <row r="145" spans="2:11" ht="15.75" thickBot="1">
      <c r="B145" s="2649" t="s">
        <v>2640</v>
      </c>
      <c r="C145" s="1098">
        <f>ROUND(MAX(C139:C144)/MIN(C139:C144)-1,3)</f>
        <v>7.2999999999999995E-2</v>
      </c>
      <c r="D145" s="1099"/>
      <c r="E145" s="1099"/>
      <c r="F145" s="2650" t="s">
        <v>2641</v>
      </c>
      <c r="G145" s="2651"/>
      <c r="H145" s="2652"/>
      <c r="I145" s="2653" t="s">
        <v>2638</v>
      </c>
      <c r="J145" s="1100">
        <v>8</v>
      </c>
      <c r="K145" s="1101">
        <f>ROUND(100+(J145-J140)*K139*100,1)</f>
        <v>99.2</v>
      </c>
    </row>
    <row r="147" spans="2:11">
      <c r="B147" s="2634" t="s">
        <v>2642</v>
      </c>
    </row>
    <row r="148" spans="2:11">
      <c r="B148" s="2634"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66" t="s">
        <v>2703</v>
      </c>
      <c r="C1" s="1618" t="s">
        <v>2532</v>
      </c>
      <c r="D1" s="1619"/>
      <c r="E1" s="1628"/>
      <c r="F1" s="2581"/>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17" t="e">
        <f ca="1">IF(C2="——",ROUND(C43*D3/10000,0),ROUND(C43*D3/10000,0)-D2)</f>
        <v>#DIV/0!</v>
      </c>
      <c r="C2" s="2583"/>
      <c r="D2" s="1123" t="e">
        <f ca="1">SUMIF(INDIRECT("'"&amp;F2&amp;"'"&amp;"!A:A"),"承租人权益价值",INDIRECT("'"&amp;F2&amp;"'"&amp;"!c:c"))</f>
        <v>#REF!</v>
      </c>
      <c r="E2" s="2584" t="s">
        <v>2330</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2331</v>
      </c>
      <c r="B3" s="609" t="e">
        <f ca="1">IF(C2="——",C43,ROUND(B2*10000/D3,0))</f>
        <v>#DIV/0!</v>
      </c>
      <c r="C3" s="400" t="s">
        <v>2646</v>
      </c>
      <c r="D3" s="399">
        <f>IF(D1="",'数据-汇总表'!E3,SUMIF('数据-汇总表'!$C19:$C33,D1,'数据-汇总表'!$E19:$E33))</f>
        <v>42325.20999999997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19" t="s">
        <v>2650</v>
      </c>
      <c r="AC4" s="3218" t="s">
        <v>2651</v>
      </c>
    </row>
    <row r="5" spans="1:29" ht="15">
      <c r="A5" s="404"/>
      <c r="B5" s="405"/>
      <c r="C5" s="3229" t="s">
        <v>2544</v>
      </c>
      <c r="D5" s="3230"/>
      <c r="E5" s="3227" t="s">
        <v>2545</v>
      </c>
      <c r="F5" s="3228"/>
      <c r="G5" s="3229" t="s">
        <v>2546</v>
      </c>
      <c r="H5" s="3230"/>
      <c r="I5" s="3229" t="s">
        <v>2547</v>
      </c>
      <c r="J5" s="3230"/>
      <c r="K5" s="610"/>
      <c r="L5" s="1129"/>
      <c r="M5" s="1130"/>
      <c r="N5" s="1130"/>
      <c r="O5" s="1130"/>
      <c r="P5" s="3242"/>
      <c r="Q5" s="3243"/>
      <c r="R5" s="3225"/>
      <c r="S5" s="3226"/>
      <c r="T5" s="3225"/>
      <c r="U5" s="3226"/>
      <c r="V5" s="3248"/>
      <c r="W5" s="3248"/>
      <c r="X5" s="1811"/>
      <c r="Y5" s="3225"/>
      <c r="Z5" s="3226"/>
      <c r="AA5" s="3219"/>
      <c r="AB5" s="3219"/>
      <c r="AC5" s="3219"/>
    </row>
    <row r="6" spans="1:29" ht="15.75" thickBot="1">
      <c r="A6" s="406"/>
      <c r="B6" s="407"/>
      <c r="C6" s="3231" t="s">
        <v>2548</v>
      </c>
      <c r="D6" s="3232"/>
      <c r="E6" s="3233" t="s">
        <v>2548</v>
      </c>
      <c r="F6" s="3234"/>
      <c r="G6" s="3231" t="s">
        <v>2548</v>
      </c>
      <c r="H6" s="3232"/>
      <c r="I6" s="3231" t="s">
        <v>2548</v>
      </c>
      <c r="J6" s="3232"/>
      <c r="K6" s="610" t="s">
        <v>2549</v>
      </c>
      <c r="L6" s="1129"/>
      <c r="M6" s="1130"/>
      <c r="N6" s="1130"/>
      <c r="O6" s="1130"/>
      <c r="P6" s="3244"/>
      <c r="Q6" s="3245"/>
      <c r="R6" s="3225"/>
      <c r="S6" s="3226"/>
      <c r="T6" s="3246"/>
      <c r="U6" s="3247"/>
      <c r="V6" s="3248"/>
      <c r="W6" s="3248"/>
      <c r="X6" s="1811"/>
      <c r="Y6" s="3246"/>
      <c r="Z6" s="3247"/>
      <c r="AA6" s="3220"/>
      <c r="AB6" s="3220"/>
      <c r="AC6" s="3220"/>
    </row>
    <row r="7" spans="1:29" s="117" customFormat="1" ht="15.75" thickBot="1">
      <c r="A7" s="408" t="s">
        <v>2550</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1" t="s">
        <v>2551</v>
      </c>
      <c r="Q7" s="3249"/>
      <c r="R7" s="769" t="s">
        <v>17</v>
      </c>
      <c r="S7" s="770">
        <f t="shared" ref="S7:S15" si="0">F7</f>
        <v>0</v>
      </c>
      <c r="T7" s="769" t="s">
        <v>17</v>
      </c>
      <c r="U7" s="770">
        <f t="shared" ref="U7:U15" si="1">H7</f>
        <v>0</v>
      </c>
      <c r="V7" s="769" t="s">
        <v>17</v>
      </c>
      <c r="W7" s="770">
        <f t="shared" ref="W7:W15" si="2">J7</f>
        <v>0</v>
      </c>
      <c r="X7" s="771"/>
      <c r="Y7" s="3221" t="s">
        <v>2551</v>
      </c>
      <c r="Z7" s="3222"/>
      <c r="AA7" s="772" t="e">
        <f>D7/F7</f>
        <v>#DIV/0!</v>
      </c>
      <c r="AB7" s="772" t="e">
        <f>D7/H7</f>
        <v>#DIV/0!</v>
      </c>
      <c r="AC7" s="772"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1" t="s">
        <v>2554</v>
      </c>
      <c r="Q8" s="3222"/>
      <c r="R8" s="769" t="s">
        <v>17</v>
      </c>
      <c r="S8" s="770">
        <f t="shared" si="0"/>
        <v>0</v>
      </c>
      <c r="T8" s="769" t="s">
        <v>17</v>
      </c>
      <c r="U8" s="770">
        <f t="shared" si="1"/>
        <v>0</v>
      </c>
      <c r="V8" s="769" t="s">
        <v>17</v>
      </c>
      <c r="W8" s="770">
        <f t="shared" si="2"/>
        <v>0</v>
      </c>
      <c r="X8" s="771"/>
      <c r="Y8" s="3221" t="s">
        <v>2554</v>
      </c>
      <c r="Z8" s="3222"/>
      <c r="AA8" s="772" t="e">
        <f t="shared" ref="AA8:AA40" si="3">D8/F8</f>
        <v>#DIV/0!</v>
      </c>
      <c r="AB8" s="772" t="e">
        <f t="shared" ref="AB8:AB40" si="4">D8/H8</f>
        <v>#DIV/0!</v>
      </c>
      <c r="AC8" s="772"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5"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772">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5"/>
      <c r="Q10" s="1793"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5"/>
      <c r="Q11" s="1793"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235"/>
      <c r="Q12" s="1793">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235"/>
      <c r="Q13" s="1793">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235"/>
      <c r="Q14" s="1793">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2561</v>
      </c>
      <c r="B15" s="69" t="s">
        <v>2704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0" t="s">
        <v>2562</v>
      </c>
      <c r="Q15" s="1808" t="str">
        <f t="shared" si="6"/>
        <v>产业集聚程度</v>
      </c>
      <c r="R15" s="773" t="s">
        <v>17</v>
      </c>
      <c r="S15" s="774">
        <f t="shared" si="0"/>
        <v>100</v>
      </c>
      <c r="T15" s="773" t="s">
        <v>17</v>
      </c>
      <c r="U15" s="774">
        <f t="shared" si="1"/>
        <v>100</v>
      </c>
      <c r="V15" s="773" t="s">
        <v>17</v>
      </c>
      <c r="W15" s="774">
        <f t="shared" si="2"/>
        <v>100</v>
      </c>
      <c r="X15" s="1811"/>
      <c r="Y15" s="3250"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51"/>
      <c r="Q16" s="1808"/>
      <c r="R16" s="773"/>
      <c r="S16" s="774"/>
      <c r="T16" s="773"/>
      <c r="U16" s="774"/>
      <c r="V16" s="773"/>
      <c r="W16" s="774"/>
      <c r="X16" s="1811"/>
      <c r="Y16" s="3251"/>
      <c r="Z16" s="1812"/>
      <c r="AA16" s="1809">
        <v>1</v>
      </c>
      <c r="AB16" s="1809">
        <v>1</v>
      </c>
      <c r="AC16" s="1809">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251"/>
      <c r="Q18" s="1808"/>
      <c r="R18" s="773"/>
      <c r="S18" s="774"/>
      <c r="T18" s="773"/>
      <c r="U18" s="774"/>
      <c r="V18" s="773"/>
      <c r="W18" s="774"/>
      <c r="X18" s="1811"/>
      <c r="Y18" s="3251"/>
      <c r="Z18" s="1812"/>
      <c r="AA18" s="1809">
        <v>1</v>
      </c>
      <c r="AB18" s="1809">
        <v>1</v>
      </c>
      <c r="AC18" s="1809">
        <v>1</v>
      </c>
    </row>
    <row r="19" spans="1:29" ht="42.75">
      <c r="A19" s="428"/>
      <c r="B19" s="451" t="s">
        <v>2689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1"/>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251"/>
      <c r="Q20" s="1808"/>
      <c r="R20" s="773"/>
      <c r="S20" s="774"/>
      <c r="T20" s="773"/>
      <c r="U20" s="774"/>
      <c r="V20" s="773"/>
      <c r="W20" s="774"/>
      <c r="X20" s="1811"/>
      <c r="Y20" s="3251"/>
      <c r="Z20" s="1812"/>
      <c r="AA20" s="1809">
        <v>1</v>
      </c>
      <c r="AB20" s="1809">
        <v>1</v>
      </c>
      <c r="AC20" s="1809">
        <v>1</v>
      </c>
    </row>
    <row r="21" spans="1:29" ht="28.5">
      <c r="A21" s="428"/>
      <c r="B21" s="1383" t="s">
        <v>2690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1"/>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251"/>
      <c r="Q22" s="1808"/>
      <c r="R22" s="773"/>
      <c r="S22" s="774"/>
      <c r="T22" s="773"/>
      <c r="U22" s="774"/>
      <c r="V22" s="773"/>
      <c r="W22" s="774"/>
      <c r="X22" s="1811"/>
      <c r="Y22" s="3251"/>
      <c r="Z22" s="1812"/>
      <c r="AA22" s="1809">
        <v>1</v>
      </c>
      <c r="AB22" s="1809">
        <v>1</v>
      </c>
      <c r="AC22" s="1809">
        <v>1</v>
      </c>
    </row>
    <row r="23" spans="1:29" ht="71.25">
      <c r="A23" s="428"/>
      <c r="B23" s="451" t="s">
        <v>2691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1"/>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251"/>
      <c r="Q24" s="1808"/>
      <c r="R24" s="773"/>
      <c r="S24" s="774"/>
      <c r="T24" s="773"/>
      <c r="U24" s="774"/>
      <c r="V24" s="773"/>
      <c r="W24" s="774"/>
      <c r="X24" s="1811"/>
      <c r="Y24" s="325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1"/>
      <c r="Q25" s="1808">
        <f>B25</f>
        <v>111</v>
      </c>
      <c r="R25" s="773" t="s">
        <v>17</v>
      </c>
      <c r="S25" s="774">
        <f>F25</f>
        <v>100</v>
      </c>
      <c r="T25" s="773" t="s">
        <v>17</v>
      </c>
      <c r="U25" s="774">
        <f>H25</f>
        <v>100</v>
      </c>
      <c r="V25" s="773" t="s">
        <v>17</v>
      </c>
      <c r="W25" s="774">
        <f>J25</f>
        <v>100</v>
      </c>
      <c r="X25" s="1811"/>
      <c r="Y25" s="325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1"/>
      <c r="Q26" s="1808">
        <f t="shared" ref="Q26:Q40" si="11">B26</f>
        <v>111</v>
      </c>
      <c r="R26" s="773" t="s">
        <v>17</v>
      </c>
      <c r="S26" s="774">
        <f>F26</f>
        <v>100</v>
      </c>
      <c r="T26" s="773" t="s">
        <v>17</v>
      </c>
      <c r="U26" s="774">
        <f>H26</f>
        <v>100</v>
      </c>
      <c r="V26" s="773" t="s">
        <v>17</v>
      </c>
      <c r="W26" s="774">
        <f>J26</f>
        <v>100</v>
      </c>
      <c r="X26" s="1811"/>
      <c r="Y26" s="325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1"/>
      <c r="Q27" s="1793">
        <f t="shared" si="11"/>
        <v>111</v>
      </c>
      <c r="R27" s="769" t="s">
        <v>17</v>
      </c>
      <c r="S27" s="770">
        <f>F27</f>
        <v>100</v>
      </c>
      <c r="T27" s="769" t="s">
        <v>17</v>
      </c>
      <c r="U27" s="770">
        <f>H27</f>
        <v>100</v>
      </c>
      <c r="V27" s="769" t="s">
        <v>17</v>
      </c>
      <c r="W27" s="770">
        <f>J27</f>
        <v>100</v>
      </c>
      <c r="X27" s="771"/>
      <c r="Y27" s="325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1"/>
      <c r="Q28" s="1808">
        <f t="shared" si="11"/>
        <v>111</v>
      </c>
      <c r="R28" s="773" t="s">
        <v>17</v>
      </c>
      <c r="S28" s="774">
        <f t="shared" ref="S28:S40" si="12">F28</f>
        <v>100</v>
      </c>
      <c r="T28" s="773" t="s">
        <v>17</v>
      </c>
      <c r="U28" s="774">
        <f t="shared" ref="U28:U40" si="13">H28</f>
        <v>100</v>
      </c>
      <c r="V28" s="773" t="s">
        <v>17</v>
      </c>
      <c r="W28" s="774">
        <f t="shared" ref="W28:W40" si="14">J28</f>
        <v>100</v>
      </c>
      <c r="X28" s="1811"/>
      <c r="Y28" s="3251"/>
      <c r="Z28" s="1812">
        <f t="shared" ref="Z28:Z40" si="15">Q28</f>
        <v>111</v>
      </c>
      <c r="AA28" s="1809">
        <f t="shared" si="3"/>
        <v>1</v>
      </c>
      <c r="AB28" s="1809">
        <f t="shared" si="4"/>
        <v>1</v>
      </c>
      <c r="AC28" s="1809">
        <f t="shared" si="5"/>
        <v>1</v>
      </c>
    </row>
    <row r="29" spans="1:29" ht="15">
      <c r="A29" s="466" t="s">
        <v>2565</v>
      </c>
      <c r="B29" s="71" t="s">
        <v>2694</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52" t="s">
        <v>2567</v>
      </c>
      <c r="Q29" s="1808" t="str">
        <f t="shared" si="11"/>
        <v>建筑类型</v>
      </c>
      <c r="R29" s="773" t="s">
        <v>17</v>
      </c>
      <c r="S29" s="774">
        <f t="shared" si="12"/>
        <v>100</v>
      </c>
      <c r="T29" s="773" t="s">
        <v>17</v>
      </c>
      <c r="U29" s="774">
        <f t="shared" si="13"/>
        <v>100</v>
      </c>
      <c r="V29" s="773" t="s">
        <v>17</v>
      </c>
      <c r="W29" s="774">
        <f t="shared" si="14"/>
        <v>100</v>
      </c>
      <c r="X29" s="1811"/>
      <c r="Y29" s="3253" t="s">
        <v>2567</v>
      </c>
      <c r="Z29" s="1812" t="str">
        <f t="shared" si="15"/>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3"/>
      <c r="Q30" s="775" t="str">
        <f t="shared" si="11"/>
        <v>项目建筑规模</v>
      </c>
      <c r="R30" s="776" t="s">
        <v>17</v>
      </c>
      <c r="S30" s="777" t="e">
        <f t="shared" si="12"/>
        <v>#N/A</v>
      </c>
      <c r="T30" s="776" t="s">
        <v>17</v>
      </c>
      <c r="U30" s="777" t="e">
        <f t="shared" si="13"/>
        <v>#N/A</v>
      </c>
      <c r="V30" s="776" t="s">
        <v>17</v>
      </c>
      <c r="W30" s="777" t="e">
        <f t="shared" si="14"/>
        <v>#N/A</v>
      </c>
      <c r="X30" s="778"/>
      <c r="Y30" s="3253"/>
      <c r="Z30" s="779" t="str">
        <f t="shared" si="15"/>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3"/>
      <c r="Q31" s="1808" t="str">
        <f t="shared" si="11"/>
        <v>建筑结构</v>
      </c>
      <c r="R31" s="773" t="s">
        <v>17</v>
      </c>
      <c r="S31" s="774">
        <f t="shared" si="12"/>
        <v>100</v>
      </c>
      <c r="T31" s="773" t="s">
        <v>17</v>
      </c>
      <c r="U31" s="774">
        <f t="shared" si="13"/>
        <v>100</v>
      </c>
      <c r="V31" s="773" t="s">
        <v>17</v>
      </c>
      <c r="W31" s="774">
        <f t="shared" si="14"/>
        <v>100</v>
      </c>
      <c r="X31" s="1811"/>
      <c r="Y31" s="325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3"/>
      <c r="Q32" s="1808" t="str">
        <f t="shared" si="11"/>
        <v>公共部分装修</v>
      </c>
      <c r="R32" s="773" t="s">
        <v>17</v>
      </c>
      <c r="S32" s="774">
        <f t="shared" si="12"/>
        <v>100</v>
      </c>
      <c r="T32" s="773" t="s">
        <v>17</v>
      </c>
      <c r="U32" s="774">
        <f t="shared" si="13"/>
        <v>100</v>
      </c>
      <c r="V32" s="773" t="s">
        <v>17</v>
      </c>
      <c r="W32" s="774">
        <f t="shared" si="14"/>
        <v>100</v>
      </c>
      <c r="X32" s="1811"/>
      <c r="Y32" s="325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3"/>
      <c r="Q33" s="1808" t="str">
        <f t="shared" si="11"/>
        <v>成新度</v>
      </c>
      <c r="R33" s="773" t="s">
        <v>17</v>
      </c>
      <c r="S33" s="774" t="e">
        <f t="shared" si="12"/>
        <v>#N/A</v>
      </c>
      <c r="T33" s="773" t="s">
        <v>17</v>
      </c>
      <c r="U33" s="774" t="e">
        <f t="shared" si="13"/>
        <v>#N/A</v>
      </c>
      <c r="V33" s="773" t="s">
        <v>17</v>
      </c>
      <c r="W33" s="774" t="e">
        <f t="shared" si="14"/>
        <v>#N/A</v>
      </c>
      <c r="X33" s="1811"/>
      <c r="Y33" s="325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3"/>
      <c r="Q34" s="1793" t="str">
        <f t="shared" si="11"/>
        <v>物业管理</v>
      </c>
      <c r="R34" s="769" t="s">
        <v>17</v>
      </c>
      <c r="S34" s="770">
        <f t="shared" si="12"/>
        <v>100</v>
      </c>
      <c r="T34" s="769" t="s">
        <v>17</v>
      </c>
      <c r="U34" s="770">
        <f t="shared" si="13"/>
        <v>100</v>
      </c>
      <c r="V34" s="769" t="s">
        <v>17</v>
      </c>
      <c r="W34" s="770">
        <f t="shared" si="14"/>
        <v>100</v>
      </c>
      <c r="X34" s="771"/>
      <c r="Y34" s="3253"/>
      <c r="Z34" s="55" t="str">
        <f t="shared" si="15"/>
        <v>物业管理</v>
      </c>
      <c r="AA34" s="772">
        <f t="shared" si="3"/>
        <v>1</v>
      </c>
      <c r="AB34" s="772">
        <f t="shared" si="4"/>
        <v>1</v>
      </c>
      <c r="AC34" s="772">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3" t="s">
        <v>2567</v>
      </c>
      <c r="Q35" s="1808" t="str">
        <f t="shared" si="11"/>
        <v>市政基础设施</v>
      </c>
      <c r="R35" s="773" t="s">
        <v>17</v>
      </c>
      <c r="S35" s="774">
        <f t="shared" si="12"/>
        <v>100</v>
      </c>
      <c r="T35" s="773" t="s">
        <v>17</v>
      </c>
      <c r="U35" s="774">
        <f t="shared" si="13"/>
        <v>100</v>
      </c>
      <c r="V35" s="773" t="s">
        <v>17</v>
      </c>
      <c r="W35" s="774">
        <f t="shared" si="14"/>
        <v>100</v>
      </c>
      <c r="X35" s="1811"/>
      <c r="Y35" s="3253" t="s">
        <v>2567</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3"/>
      <c r="Q36" s="1808" t="str">
        <f t="shared" si="11"/>
        <v>内部装修</v>
      </c>
      <c r="R36" s="773" t="s">
        <v>17</v>
      </c>
      <c r="S36" s="774">
        <f t="shared" si="12"/>
        <v>100</v>
      </c>
      <c r="T36" s="773" t="s">
        <v>17</v>
      </c>
      <c r="U36" s="774">
        <f t="shared" si="13"/>
        <v>100</v>
      </c>
      <c r="V36" s="773" t="s">
        <v>17</v>
      </c>
      <c r="W36" s="774">
        <f t="shared" si="14"/>
        <v>100</v>
      </c>
      <c r="X36" s="1811"/>
      <c r="Y36" s="325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3"/>
      <c r="Q37" s="1808" t="str">
        <f t="shared" si="11"/>
        <v>内部装修状况</v>
      </c>
      <c r="R37" s="773" t="s">
        <v>17</v>
      </c>
      <c r="S37" s="774">
        <f t="shared" si="12"/>
        <v>100</v>
      </c>
      <c r="T37" s="773" t="s">
        <v>17</v>
      </c>
      <c r="U37" s="774">
        <f t="shared" si="13"/>
        <v>100</v>
      </c>
      <c r="V37" s="773" t="s">
        <v>17</v>
      </c>
      <c r="W37" s="774">
        <f t="shared" si="14"/>
        <v>100</v>
      </c>
      <c r="X37" s="1811"/>
      <c r="Y37" s="325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3"/>
      <c r="Q38" s="775">
        <f t="shared" si="11"/>
        <v>111</v>
      </c>
      <c r="R38" s="776" t="s">
        <v>17</v>
      </c>
      <c r="S38" s="777">
        <f t="shared" si="12"/>
        <v>100</v>
      </c>
      <c r="T38" s="776" t="s">
        <v>17</v>
      </c>
      <c r="U38" s="777">
        <f t="shared" si="13"/>
        <v>100</v>
      </c>
      <c r="V38" s="776" t="s">
        <v>17</v>
      </c>
      <c r="W38" s="777">
        <f t="shared" si="14"/>
        <v>100</v>
      </c>
      <c r="X38" s="778"/>
      <c r="Y38" s="3253"/>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3"/>
      <c r="Q39" s="1808">
        <f t="shared" si="11"/>
        <v>111</v>
      </c>
      <c r="R39" s="773" t="s">
        <v>17</v>
      </c>
      <c r="S39" s="774">
        <f t="shared" si="12"/>
        <v>100</v>
      </c>
      <c r="T39" s="773" t="s">
        <v>17</v>
      </c>
      <c r="U39" s="774">
        <f t="shared" si="13"/>
        <v>100</v>
      </c>
      <c r="V39" s="773" t="s">
        <v>17</v>
      </c>
      <c r="W39" s="774">
        <f t="shared" si="14"/>
        <v>100</v>
      </c>
      <c r="X39" s="1811"/>
      <c r="Y39" s="325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88"/>
      <c r="Q40" s="1808">
        <f t="shared" si="11"/>
        <v>111</v>
      </c>
      <c r="R40" s="773" t="s">
        <v>17</v>
      </c>
      <c r="S40" s="774">
        <f t="shared" si="12"/>
        <v>100</v>
      </c>
      <c r="T40" s="773" t="s">
        <v>17</v>
      </c>
      <c r="U40" s="774">
        <f t="shared" si="13"/>
        <v>100</v>
      </c>
      <c r="V40" s="773" t="s">
        <v>17</v>
      </c>
      <c r="W40" s="774">
        <f t="shared" si="14"/>
        <v>100</v>
      </c>
      <c r="X40" s="1811"/>
      <c r="Y40" s="3288"/>
      <c r="Z40" s="1812">
        <f t="shared" si="15"/>
        <v>111</v>
      </c>
      <c r="AA40" s="1809">
        <f t="shared" si="3"/>
        <v>1</v>
      </c>
      <c r="AB40" s="1809">
        <f t="shared" si="4"/>
        <v>1</v>
      </c>
      <c r="AC40" s="1809">
        <f t="shared" si="5"/>
        <v>1</v>
      </c>
    </row>
    <row r="41" spans="1:29" ht="15">
      <c r="A41" s="479" t="s">
        <v>2579</v>
      </c>
      <c r="B41" s="480"/>
      <c r="C41" s="1406" t="s">
        <v>1</v>
      </c>
      <c r="D41" s="1407"/>
      <c r="E41" s="1408"/>
      <c r="F41" s="1409"/>
      <c r="G41" s="1410"/>
      <c r="H41" s="1411"/>
      <c r="I41" s="1408"/>
      <c r="J41" s="1411"/>
      <c r="K41" s="782"/>
      <c r="L41" s="1142"/>
      <c r="M41" s="1143"/>
      <c r="N41" s="1130"/>
      <c r="O41" s="1143"/>
      <c r="P41" s="3235" t="str">
        <f>A41</f>
        <v>成交单价（元/平方米）</v>
      </c>
      <c r="Q41" s="3235"/>
      <c r="R41" s="3289">
        <f>E41</f>
        <v>0</v>
      </c>
      <c r="S41" s="3289"/>
      <c r="T41" s="3289">
        <f>G41</f>
        <v>0</v>
      </c>
      <c r="U41" s="3289"/>
      <c r="V41" s="3289">
        <f>I41</f>
        <v>0</v>
      </c>
      <c r="W41" s="3289"/>
      <c r="X41" s="758"/>
      <c r="Y41" s="780"/>
      <c r="Z41" s="758"/>
      <c r="AA41" s="758"/>
      <c r="AB41" s="758"/>
      <c r="AC41" s="758"/>
    </row>
    <row r="42" spans="1:29" ht="15.75" thickBot="1">
      <c r="A42" s="486" t="s">
        <v>2670</v>
      </c>
      <c r="B42" s="487"/>
      <c r="C42" s="1412" t="e">
        <f>R43</f>
        <v>#DIV/0!</v>
      </c>
      <c r="D42" s="1413"/>
      <c r="E42" s="1414" t="e">
        <f>R42</f>
        <v>#DIV/0!</v>
      </c>
      <c r="F42" s="1414"/>
      <c r="G42" s="1412" t="e">
        <f>T42</f>
        <v>#DIV/0!</v>
      </c>
      <c r="H42" s="1413"/>
      <c r="I42" s="1414" t="e">
        <f>V42</f>
        <v>#DIV/0!</v>
      </c>
      <c r="J42" s="1413"/>
      <c r="K42" s="783"/>
      <c r="L42" s="1142"/>
      <c r="M42" s="1143"/>
      <c r="N42" s="1130"/>
      <c r="O42" s="1143"/>
      <c r="P42" s="3235" t="str">
        <f>A42</f>
        <v>比较价值（元/平方米）</v>
      </c>
      <c r="Q42" s="3235"/>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8"/>
      <c r="Y42" s="758"/>
      <c r="Z42" s="758"/>
      <c r="AA42" s="758"/>
      <c r="AB42" s="758"/>
      <c r="AC42" s="758"/>
    </row>
    <row r="43" spans="1:29" ht="15.75" thickBot="1">
      <c r="A43" s="492" t="s">
        <v>2671</v>
      </c>
      <c r="B43" s="493"/>
      <c r="C43" s="1416" t="e">
        <f>R43</f>
        <v>#DIV/0!</v>
      </c>
      <c r="D43" s="1416"/>
      <c r="E43" s="1416"/>
      <c r="F43" s="1416"/>
      <c r="G43" s="1416"/>
      <c r="H43" s="1416"/>
      <c r="I43" s="1416"/>
      <c r="J43" s="1416"/>
      <c r="K43" s="784"/>
      <c r="L43" s="1142"/>
      <c r="M43" s="1143"/>
      <c r="N43" s="1143"/>
      <c r="O43" s="1143"/>
      <c r="P43" s="3255" t="str">
        <f>A43</f>
        <v>估价对象XX用房的比较价值（楼面单价，元/平方米）</v>
      </c>
      <c r="Q43" s="3256"/>
      <c r="R43" s="3290" t="e">
        <f>IF(F1="售价",ROUND(AVERAGE(R42:V42),0),ROUND(AVERAGE(R42:V42),1))</f>
        <v>#DIV/0!</v>
      </c>
      <c r="S43" s="3290"/>
      <c r="T43" s="3290"/>
      <c r="U43" s="3290"/>
      <c r="V43" s="3290"/>
      <c r="W43" s="329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3"/>
      <c r="Q51" s="504"/>
    </row>
    <row r="52" spans="1:17" s="508" customFormat="1" ht="15">
      <c r="A52" s="505" t="s">
        <v>2550</v>
      </c>
      <c r="B52" s="506"/>
      <c r="C52" s="1572" t="str">
        <f>YEAR(C7)&amp;"-"&amp;MONTH(C7)</f>
        <v>2018-5</v>
      </c>
      <c r="D52" s="1573">
        <f>EDATE(C52,-1)</f>
        <v>43191</v>
      </c>
      <c r="E52" s="1573">
        <f t="shared" ref="E52:O52" si="16">EDATE(D52,-1)</f>
        <v>43160</v>
      </c>
      <c r="F52" s="1573">
        <f t="shared" si="16"/>
        <v>43132</v>
      </c>
      <c r="G52" s="1573">
        <f t="shared" si="16"/>
        <v>43101</v>
      </c>
      <c r="H52" s="1573">
        <f t="shared" si="16"/>
        <v>43070</v>
      </c>
      <c r="I52" s="1573">
        <f t="shared" si="16"/>
        <v>43040</v>
      </c>
      <c r="J52" s="1573">
        <f t="shared" si="16"/>
        <v>43009</v>
      </c>
      <c r="K52" s="1573">
        <f t="shared" si="16"/>
        <v>42979</v>
      </c>
      <c r="L52" s="1573">
        <f t="shared" si="16"/>
        <v>42948</v>
      </c>
      <c r="M52" s="1573">
        <f t="shared" si="16"/>
        <v>42917</v>
      </c>
      <c r="N52" s="1573">
        <f t="shared" si="16"/>
        <v>42887</v>
      </c>
      <c r="O52" s="1573">
        <f t="shared" si="16"/>
        <v>42856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2590</v>
      </c>
      <c r="B57" s="528" t="s">
        <v>2556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2561</v>
      </c>
      <c r="B70" s="528" t="s">
        <v>2706</v>
      </c>
      <c r="C70" s="573" t="s">
        <v>2599</v>
      </c>
      <c r="D70" s="573" t="s">
        <v>2600</v>
      </c>
      <c r="E70" s="573" t="s">
        <v>2601</v>
      </c>
      <c r="F70" s="573" t="s">
        <v>2602</v>
      </c>
      <c r="G70" s="573" t="s">
        <v>2603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59" t="s">
        <v>2676</v>
      </c>
      <c r="D76" s="659" t="s">
        <v>2677</v>
      </c>
      <c r="E76" s="659" t="s">
        <v>2678</v>
      </c>
      <c r="F76" s="659" t="s">
        <v>2679</v>
      </c>
      <c r="G76" s="659"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2699</v>
      </c>
      <c r="C78" s="578" t="s">
        <v>2599</v>
      </c>
      <c r="D78" s="578" t="s">
        <v>2600</v>
      </c>
      <c r="E78" s="578" t="s">
        <v>2601</v>
      </c>
      <c r="F78" s="578" t="s">
        <v>2602</v>
      </c>
      <c r="G78" s="578" t="s">
        <v>2603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2565</v>
      </c>
      <c r="B88" s="528" t="s">
        <v>2614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2707</v>
      </c>
      <c r="C106" s="578" t="s">
        <v>2599</v>
      </c>
      <c r="D106" s="578" t="s">
        <v>2600</v>
      </c>
      <c r="E106" s="578" t="s">
        <v>2601</v>
      </c>
      <c r="F106" s="578" t="s">
        <v>2602</v>
      </c>
      <c r="G106" s="578" t="s">
        <v>2603</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2532</v>
      </c>
      <c r="D1" s="1619"/>
      <c r="E1" s="1620"/>
      <c r="F1" s="2581"/>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2329</v>
      </c>
      <c r="B2" s="1417" t="e">
        <f ca="1">IF(C2="——",IF(B37="元/平方米",ROUND(C39*D3/10000,0),ROUND(F3*C39/10000,0)),IF(B37="元/平方米",ROUND(C39*D3/10000,0),ROUND(F3*C39/10000,0))-D2)</f>
        <v>#DIV/0!</v>
      </c>
      <c r="C2" s="2583"/>
      <c r="D2" s="1123" t="e">
        <f ca="1">SUMIF(INDIRECT("'"&amp;F2&amp;"'"&amp;"!A:A"),"承租人权益价值",INDIRECT("'"&amp;F2&amp;"'"&amp;"!c:c"))</f>
        <v>#REF!</v>
      </c>
      <c r="E2" s="2584" t="s">
        <v>2330</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2331</v>
      </c>
      <c r="B3" s="609" t="e">
        <f ca="1">IF(AND(C2="——",B37="元/平方米"),C39,ROUND(B2*10000/D3,0))</f>
        <v>#DIV/0!</v>
      </c>
      <c r="C3" s="400" t="s">
        <v>2646</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19" t="s">
        <v>2650</v>
      </c>
      <c r="AC4" s="3218" t="s">
        <v>2651</v>
      </c>
    </row>
    <row r="5" spans="1:29" ht="15">
      <c r="A5" s="404"/>
      <c r="B5" s="405"/>
      <c r="C5" s="3229" t="s">
        <v>2544</v>
      </c>
      <c r="D5" s="3230"/>
      <c r="E5" s="3227" t="s">
        <v>2545</v>
      </c>
      <c r="F5" s="3228"/>
      <c r="G5" s="3229" t="s">
        <v>2546</v>
      </c>
      <c r="H5" s="3230"/>
      <c r="I5" s="3229" t="s">
        <v>2547</v>
      </c>
      <c r="J5" s="3230"/>
      <c r="K5" s="610"/>
      <c r="L5" s="1129"/>
      <c r="M5" s="1130"/>
      <c r="N5" s="1130"/>
      <c r="O5" s="1130"/>
      <c r="P5" s="3242"/>
      <c r="Q5" s="3243"/>
      <c r="R5" s="3225"/>
      <c r="S5" s="3226"/>
      <c r="T5" s="3225"/>
      <c r="U5" s="3226"/>
      <c r="V5" s="3248"/>
      <c r="W5" s="3248"/>
      <c r="X5" s="1811"/>
      <c r="Y5" s="3225"/>
      <c r="Z5" s="3226"/>
      <c r="AA5" s="3219"/>
      <c r="AB5" s="3219"/>
      <c r="AC5" s="3219"/>
    </row>
    <row r="6" spans="1:29" ht="15.75" thickBot="1">
      <c r="A6" s="406"/>
      <c r="B6" s="407"/>
      <c r="C6" s="3231" t="s">
        <v>2548</v>
      </c>
      <c r="D6" s="3232"/>
      <c r="E6" s="3233" t="s">
        <v>2548</v>
      </c>
      <c r="F6" s="3234"/>
      <c r="G6" s="3231" t="s">
        <v>2548</v>
      </c>
      <c r="H6" s="3232"/>
      <c r="I6" s="3231" t="s">
        <v>2548</v>
      </c>
      <c r="J6" s="3232"/>
      <c r="K6" s="610" t="s">
        <v>2549</v>
      </c>
      <c r="L6" s="1129"/>
      <c r="M6" s="1130"/>
      <c r="N6" s="1130"/>
      <c r="O6" s="1130"/>
      <c r="P6" s="3244"/>
      <c r="Q6" s="3245"/>
      <c r="R6" s="3225"/>
      <c r="S6" s="3226"/>
      <c r="T6" s="3246"/>
      <c r="U6" s="3247"/>
      <c r="V6" s="3248"/>
      <c r="W6" s="3248"/>
      <c r="X6" s="1811"/>
      <c r="Y6" s="3246"/>
      <c r="Z6" s="3247"/>
      <c r="AA6" s="3220"/>
      <c r="AB6" s="3220"/>
      <c r="AC6" s="3220"/>
    </row>
    <row r="7" spans="1:29" s="117" customFormat="1" ht="15.75" thickBot="1">
      <c r="A7" s="408" t="s">
        <v>2550</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1" t="s">
        <v>2551</v>
      </c>
      <c r="Q7" s="3249"/>
      <c r="R7" s="769" t="s">
        <v>17</v>
      </c>
      <c r="S7" s="770">
        <f t="shared" ref="S7:S14" si="0">F7</f>
        <v>0</v>
      </c>
      <c r="T7" s="769" t="s">
        <v>17</v>
      </c>
      <c r="U7" s="770">
        <f t="shared" ref="U7:U14" si="1">H7</f>
        <v>0</v>
      </c>
      <c r="V7" s="769" t="s">
        <v>17</v>
      </c>
      <c r="W7" s="770">
        <f t="shared" ref="W7:W14" si="2">J7</f>
        <v>0</v>
      </c>
      <c r="X7" s="771"/>
      <c r="Y7" s="3221" t="s">
        <v>2551</v>
      </c>
      <c r="Z7" s="3222"/>
      <c r="AA7" s="772" t="e">
        <f>D7/F7</f>
        <v>#DIV/0!</v>
      </c>
      <c r="AB7" s="772" t="e">
        <f>D7/H7</f>
        <v>#DIV/0!</v>
      </c>
      <c r="AC7" s="772"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1" t="s">
        <v>2554</v>
      </c>
      <c r="Q8" s="3222"/>
      <c r="R8" s="769" t="s">
        <v>17</v>
      </c>
      <c r="S8" s="770">
        <f t="shared" si="0"/>
        <v>0</v>
      </c>
      <c r="T8" s="769" t="s">
        <v>17</v>
      </c>
      <c r="U8" s="770">
        <f t="shared" si="1"/>
        <v>0</v>
      </c>
      <c r="V8" s="769" t="s">
        <v>17</v>
      </c>
      <c r="W8" s="770">
        <f t="shared" si="2"/>
        <v>0</v>
      </c>
      <c r="X8" s="771"/>
      <c r="Y8" s="3221" t="s">
        <v>2554</v>
      </c>
      <c r="Z8" s="3222"/>
      <c r="AA8" s="772" t="e">
        <f t="shared" ref="AA8:AA36" si="3">D8/F8</f>
        <v>#DIV/0!</v>
      </c>
      <c r="AB8" s="772" t="e">
        <f t="shared" ref="AB8:AB36" si="4">D8/H8</f>
        <v>#DIV/0!</v>
      </c>
      <c r="AC8" s="772" t="e">
        <f t="shared" ref="AC8:AC36" si="5">D8/J8</f>
        <v>#DIV/0!</v>
      </c>
    </row>
    <row r="9" spans="1:29" s="117" customFormat="1">
      <c r="A9" s="68" t="s">
        <v>2555</v>
      </c>
      <c r="B9" s="639" t="s">
        <v>2556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5" t="s">
        <v>2557</v>
      </c>
      <c r="Q9" s="1793" t="str">
        <f t="shared" ref="Q9:Q14" si="6">B9</f>
        <v>用途</v>
      </c>
      <c r="R9" s="769" t="s">
        <v>17</v>
      </c>
      <c r="S9" s="770">
        <f t="shared" si="0"/>
        <v>100</v>
      </c>
      <c r="T9" s="769" t="s">
        <v>17</v>
      </c>
      <c r="U9" s="770">
        <f t="shared" si="1"/>
        <v>100</v>
      </c>
      <c r="V9" s="769" t="s">
        <v>17</v>
      </c>
      <c r="W9" s="770">
        <f t="shared" si="2"/>
        <v>100</v>
      </c>
      <c r="X9" s="771"/>
      <c r="Y9" s="3095" t="s">
        <v>2558</v>
      </c>
      <c r="Z9" s="55" t="str">
        <f t="shared" ref="Z9:Z14" si="7">Q9</f>
        <v>用途</v>
      </c>
      <c r="AA9" s="772">
        <f t="shared" si="3"/>
        <v>1</v>
      </c>
      <c r="AB9" s="772">
        <f t="shared" si="4"/>
        <v>1</v>
      </c>
      <c r="AC9" s="772">
        <f t="shared" si="5"/>
        <v>1</v>
      </c>
    </row>
    <row r="10" spans="1:29" s="427" customFormat="1" ht="27">
      <c r="A10" s="640"/>
      <c r="B10" s="641" t="s">
        <v>2559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5"/>
      <c r="Q10" s="1793"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5"/>
      <c r="Q11" s="1793">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5"/>
      <c r="Q12" s="1793">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5"/>
      <c r="Q13" s="1793">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01" t="s">
        <v>2561</v>
      </c>
      <c r="B14" s="628" t="s">
        <v>2710</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0" t="s">
        <v>2562</v>
      </c>
      <c r="Q14" s="1808" t="str">
        <f t="shared" si="6"/>
        <v>交通便捷度</v>
      </c>
      <c r="R14" s="773" t="s">
        <v>17</v>
      </c>
      <c r="S14" s="774">
        <f t="shared" si="0"/>
        <v>100</v>
      </c>
      <c r="T14" s="773" t="s">
        <v>17</v>
      </c>
      <c r="U14" s="774">
        <f t="shared" si="1"/>
        <v>100</v>
      </c>
      <c r="V14" s="773" t="s">
        <v>17</v>
      </c>
      <c r="W14" s="774">
        <f t="shared" si="2"/>
        <v>100</v>
      </c>
      <c r="X14" s="1811"/>
      <c r="Y14" s="3250" t="s">
        <v>2562</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39"/>
      <c r="M15" s="1130"/>
      <c r="N15" s="1130"/>
      <c r="O15" s="1130"/>
      <c r="P15" s="3251"/>
      <c r="Q15" s="1808"/>
      <c r="R15" s="773"/>
      <c r="S15" s="774"/>
      <c r="T15" s="773"/>
      <c r="U15" s="774"/>
      <c r="V15" s="773"/>
      <c r="W15" s="774"/>
      <c r="X15" s="1811"/>
      <c r="Y15" s="3251"/>
      <c r="Z15" s="1812"/>
      <c r="AA15" s="1809">
        <v>1</v>
      </c>
      <c r="AB15" s="1809">
        <v>1</v>
      </c>
      <c r="AC15" s="1809">
        <v>1</v>
      </c>
    </row>
    <row r="16" spans="1:29" ht="42.75">
      <c r="A16" s="404"/>
      <c r="B16" s="630" t="s">
        <v>2689</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04"/>
      <c r="B17" s="631"/>
      <c r="C17" s="2605"/>
      <c r="D17" s="448"/>
      <c r="E17" s="447"/>
      <c r="F17" s="449"/>
      <c r="G17" s="447"/>
      <c r="H17" s="448"/>
      <c r="I17" s="447"/>
      <c r="J17" s="448"/>
      <c r="K17" s="615"/>
      <c r="L17" s="1139"/>
      <c r="M17" s="1130"/>
      <c r="N17" s="1130"/>
      <c r="O17" s="1130"/>
      <c r="P17" s="3251"/>
      <c r="Q17" s="1808"/>
      <c r="R17" s="773"/>
      <c r="S17" s="774"/>
      <c r="T17" s="773"/>
      <c r="U17" s="774"/>
      <c r="V17" s="773"/>
      <c r="W17" s="774"/>
      <c r="X17" s="1811"/>
      <c r="Y17" s="3251"/>
      <c r="Z17" s="1812"/>
      <c r="AA17" s="1809">
        <v>1</v>
      </c>
      <c r="AB17" s="1809">
        <v>1</v>
      </c>
      <c r="AC17" s="1809">
        <v>1</v>
      </c>
    </row>
    <row r="18" spans="1:29" ht="28.5">
      <c r="A18" s="404"/>
      <c r="B18" s="632" t="s">
        <v>2690</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04"/>
      <c r="B19" s="632"/>
      <c r="C19" s="2605"/>
      <c r="D19" s="450"/>
      <c r="E19" s="2605"/>
      <c r="F19" s="453"/>
      <c r="G19" s="2605"/>
      <c r="H19" s="448"/>
      <c r="I19" s="447"/>
      <c r="J19" s="448"/>
      <c r="K19" s="1382"/>
      <c r="L19" s="1139"/>
      <c r="M19" s="1130"/>
      <c r="N19" s="1130"/>
      <c r="O19" s="1130"/>
      <c r="P19" s="3251"/>
      <c r="Q19" s="1808"/>
      <c r="R19" s="773"/>
      <c r="S19" s="774"/>
      <c r="T19" s="773"/>
      <c r="U19" s="774"/>
      <c r="V19" s="773"/>
      <c r="W19" s="774"/>
      <c r="X19" s="1811"/>
      <c r="Y19" s="3251"/>
      <c r="Z19" s="1812"/>
      <c r="AA19" s="1809">
        <v>1</v>
      </c>
      <c r="AB19" s="1809">
        <v>1</v>
      </c>
      <c r="AC19" s="1809">
        <v>1</v>
      </c>
    </row>
    <row r="20" spans="1:29" ht="57">
      <c r="A20" s="404"/>
      <c r="B20" s="630" t="s">
        <v>2711</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39"/>
      <c r="M21" s="1130"/>
      <c r="N21" s="1130"/>
      <c r="O21" s="1130"/>
      <c r="P21" s="3251"/>
      <c r="Q21" s="1808"/>
      <c r="R21" s="773"/>
      <c r="S21" s="774"/>
      <c r="T21" s="773"/>
      <c r="U21" s="774"/>
      <c r="V21" s="773"/>
      <c r="W21" s="774"/>
      <c r="X21" s="1811"/>
      <c r="Y21" s="3251"/>
      <c r="Z21" s="1812"/>
      <c r="AA21" s="1809">
        <v>1</v>
      </c>
      <c r="AB21" s="1809">
        <v>1</v>
      </c>
      <c r="AC21" s="1809">
        <v>1</v>
      </c>
    </row>
    <row r="22" spans="1:29" ht="15">
      <c r="A22" s="404"/>
      <c r="B22" s="630"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1"/>
      <c r="Q24" s="1808">
        <f t="shared" ref="Q24:Q36"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15">
      <c r="A26" s="651" t="s">
        <v>2565</v>
      </c>
      <c r="B26" s="70" t="s">
        <v>2713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2" t="s">
        <v>2567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3" t="s">
        <v>2567</v>
      </c>
      <c r="Z26" s="1812" t="str">
        <f t="shared" ref="Z26:Z36" si="15">Q26</f>
        <v>配套类型</v>
      </c>
      <c r="AA26" s="1809">
        <f t="shared" si="3"/>
        <v>1</v>
      </c>
      <c r="AB26" s="1809">
        <f t="shared" si="4"/>
        <v>1</v>
      </c>
      <c r="AC26" s="1809">
        <f t="shared" si="5"/>
        <v>1</v>
      </c>
    </row>
    <row r="27" spans="1:29" s="471" customFormat="1" ht="15">
      <c r="A27" s="652"/>
      <c r="B27" s="653" t="s">
        <v>2714</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53"/>
      <c r="Q27" s="775" t="str">
        <f t="shared" si="11"/>
        <v>项目停车位配比</v>
      </c>
      <c r="R27" s="776" t="s">
        <v>17</v>
      </c>
      <c r="S27" s="777">
        <f t="shared" si="12"/>
        <v>100</v>
      </c>
      <c r="T27" s="776" t="s">
        <v>17</v>
      </c>
      <c r="U27" s="777">
        <f t="shared" si="13"/>
        <v>100</v>
      </c>
      <c r="V27" s="776" t="s">
        <v>17</v>
      </c>
      <c r="W27" s="777">
        <f t="shared" si="14"/>
        <v>100</v>
      </c>
      <c r="X27" s="778"/>
      <c r="Y27" s="3253"/>
      <c r="Z27" s="779" t="str">
        <f t="shared" si="15"/>
        <v>项目停车位配比</v>
      </c>
      <c r="AA27" s="1809">
        <f t="shared" si="3"/>
        <v>1</v>
      </c>
      <c r="AB27" s="1809">
        <f t="shared" si="4"/>
        <v>1</v>
      </c>
      <c r="AC27" s="1809">
        <f t="shared" si="5"/>
        <v>1</v>
      </c>
    </row>
    <row r="28" spans="1:29" ht="15">
      <c r="A28" s="655"/>
      <c r="B28" s="653"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3"/>
      <c r="Q28" s="1808" t="str">
        <f t="shared" si="11"/>
        <v>公共部分装修</v>
      </c>
      <c r="R28" s="773" t="s">
        <v>17</v>
      </c>
      <c r="S28" s="774">
        <f t="shared" si="12"/>
        <v>100</v>
      </c>
      <c r="T28" s="773" t="s">
        <v>17</v>
      </c>
      <c r="U28" s="774">
        <f t="shared" si="13"/>
        <v>100</v>
      </c>
      <c r="V28" s="773" t="s">
        <v>17</v>
      </c>
      <c r="W28" s="774">
        <f t="shared" si="14"/>
        <v>100</v>
      </c>
      <c r="X28" s="1811"/>
      <c r="Y28" s="3253"/>
      <c r="Z28" s="1812" t="str">
        <f t="shared" si="15"/>
        <v>公共部分装修</v>
      </c>
      <c r="AA28" s="1809">
        <f t="shared" si="3"/>
        <v>1</v>
      </c>
      <c r="AB28" s="1809">
        <f t="shared" si="4"/>
        <v>1</v>
      </c>
      <c r="AC28" s="1809">
        <f t="shared" si="5"/>
        <v>1</v>
      </c>
    </row>
    <row r="29" spans="1:29" ht="15">
      <c r="A29" s="655"/>
      <c r="B29" s="653"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3"/>
      <c r="Q29" s="1808" t="str">
        <f t="shared" si="11"/>
        <v>成新率</v>
      </c>
      <c r="R29" s="773" t="s">
        <v>17</v>
      </c>
      <c r="S29" s="774" t="e">
        <f t="shared" si="12"/>
        <v>#N/A</v>
      </c>
      <c r="T29" s="773" t="s">
        <v>17</v>
      </c>
      <c r="U29" s="774" t="e">
        <f t="shared" si="13"/>
        <v>#N/A</v>
      </c>
      <c r="V29" s="773" t="s">
        <v>17</v>
      </c>
      <c r="W29" s="774" t="e">
        <f t="shared" si="14"/>
        <v>#N/A</v>
      </c>
      <c r="X29" s="1811"/>
      <c r="Y29" s="3253"/>
      <c r="Z29" s="1812" t="str">
        <f t="shared" si="15"/>
        <v>成新率</v>
      </c>
      <c r="AA29" s="1809" t="e">
        <f t="shared" si="3"/>
        <v>#N/A</v>
      </c>
      <c r="AB29" s="1809" t="e">
        <f t="shared" si="4"/>
        <v>#N/A</v>
      </c>
      <c r="AC29" s="1809" t="e">
        <f t="shared" si="5"/>
        <v>#N/A</v>
      </c>
    </row>
    <row r="30" spans="1:29" ht="15">
      <c r="A30" s="655"/>
      <c r="B30" s="653" t="s">
        <v>2717</v>
      </c>
      <c r="C30" s="656"/>
      <c r="D30" s="435">
        <v>100</v>
      </c>
      <c r="E30" s="656"/>
      <c r="F30" s="461">
        <f>SUMIF(88:88,E30,89:89)-SUMIF(88:88,C30,89:89)+100</f>
        <v>100</v>
      </c>
      <c r="G30" s="656"/>
      <c r="H30" s="435">
        <f>SUMIF(88:88,E30,89:89)-SUMIF(88:88,C30,89:89)+100</f>
        <v>100</v>
      </c>
      <c r="I30" s="656"/>
      <c r="J30" s="435">
        <f>SUMIF(88:88,E30,89:89)-SUMIF(88:88,C30,89:89)+100</f>
        <v>100</v>
      </c>
      <c r="K30" s="612"/>
      <c r="L30" s="1139"/>
      <c r="M30" s="1130"/>
      <c r="N30" s="1130"/>
      <c r="O30" s="1130"/>
      <c r="P30" s="3253"/>
      <c r="Q30" s="1808" t="str">
        <f t="shared" si="11"/>
        <v>物业等级</v>
      </c>
      <c r="R30" s="773" t="s">
        <v>17</v>
      </c>
      <c r="S30" s="774">
        <f t="shared" si="12"/>
        <v>100</v>
      </c>
      <c r="T30" s="773" t="s">
        <v>17</v>
      </c>
      <c r="U30" s="774">
        <f t="shared" si="13"/>
        <v>100</v>
      </c>
      <c r="V30" s="773" t="s">
        <v>17</v>
      </c>
      <c r="W30" s="774">
        <f t="shared" si="14"/>
        <v>100</v>
      </c>
      <c r="X30" s="1811"/>
      <c r="Y30" s="3253"/>
      <c r="Z30" s="1812" t="str">
        <f t="shared" si="15"/>
        <v>物业等级</v>
      </c>
      <c r="AA30" s="1809">
        <f t="shared" si="3"/>
        <v>1</v>
      </c>
      <c r="AB30" s="1809">
        <f t="shared" si="4"/>
        <v>1</v>
      </c>
      <c r="AC30" s="1809">
        <f t="shared" si="5"/>
        <v>1</v>
      </c>
    </row>
    <row r="31" spans="1:29" s="117" customFormat="1" ht="15">
      <c r="A31" s="657"/>
      <c r="B31" s="653"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3"/>
      <c r="Q31" s="1793" t="str">
        <f t="shared" si="11"/>
        <v>停车位面积</v>
      </c>
      <c r="R31" s="769" t="s">
        <v>17</v>
      </c>
      <c r="S31" s="770" t="e">
        <f t="shared" si="12"/>
        <v>#N/A</v>
      </c>
      <c r="T31" s="769" t="s">
        <v>17</v>
      </c>
      <c r="U31" s="770" t="e">
        <f t="shared" si="13"/>
        <v>#N/A</v>
      </c>
      <c r="V31" s="769" t="s">
        <v>17</v>
      </c>
      <c r="W31" s="770" t="e">
        <f t="shared" si="14"/>
        <v>#N/A</v>
      </c>
      <c r="X31" s="771"/>
      <c r="Y31" s="3253"/>
      <c r="Z31" s="55" t="str">
        <f t="shared" si="15"/>
        <v>停车位面积</v>
      </c>
      <c r="AA31" s="772" t="e">
        <f t="shared" si="3"/>
        <v>#N/A</v>
      </c>
      <c r="AB31" s="772" t="e">
        <f t="shared" si="4"/>
        <v>#N/A</v>
      </c>
      <c r="AC31" s="772" t="e">
        <f t="shared" si="5"/>
        <v>#N/A</v>
      </c>
    </row>
    <row r="32" spans="1:29" ht="15">
      <c r="A32" s="655"/>
      <c r="B32" s="653"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3" t="s">
        <v>2567</v>
      </c>
      <c r="Q32" s="1808" t="str">
        <f t="shared" si="11"/>
        <v>车位类型</v>
      </c>
      <c r="R32" s="773" t="s">
        <v>17</v>
      </c>
      <c r="S32" s="774">
        <f t="shared" si="12"/>
        <v>100</v>
      </c>
      <c r="T32" s="773" t="s">
        <v>17</v>
      </c>
      <c r="U32" s="774">
        <f t="shared" si="13"/>
        <v>100</v>
      </c>
      <c r="V32" s="773" t="s">
        <v>17</v>
      </c>
      <c r="W32" s="774">
        <f t="shared" si="14"/>
        <v>100</v>
      </c>
      <c r="X32" s="1811"/>
      <c r="Y32" s="3253" t="s">
        <v>2567</v>
      </c>
      <c r="Z32" s="1812" t="str">
        <f t="shared" si="15"/>
        <v>车位类型</v>
      </c>
      <c r="AA32" s="1809">
        <f t="shared" si="3"/>
        <v>1</v>
      </c>
      <c r="AB32" s="1809">
        <f t="shared" si="4"/>
        <v>1</v>
      </c>
      <c r="AC32" s="1809">
        <f t="shared" si="5"/>
        <v>1</v>
      </c>
    </row>
    <row r="33" spans="1:29" ht="15">
      <c r="A33" s="655"/>
      <c r="B33" s="653"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3"/>
      <c r="Q33" s="1808" t="str">
        <f t="shared" si="11"/>
        <v>是否直接入户</v>
      </c>
      <c r="R33" s="773" t="s">
        <v>17</v>
      </c>
      <c r="S33" s="774">
        <f t="shared" si="12"/>
        <v>100</v>
      </c>
      <c r="T33" s="773" t="s">
        <v>17</v>
      </c>
      <c r="U33" s="774">
        <f t="shared" si="13"/>
        <v>100</v>
      </c>
      <c r="V33" s="773" t="s">
        <v>17</v>
      </c>
      <c r="W33" s="774">
        <f t="shared" si="14"/>
        <v>100</v>
      </c>
      <c r="X33" s="1811"/>
      <c r="Y33" s="3253"/>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3"/>
      <c r="Q34" s="1808">
        <f t="shared" si="11"/>
        <v>111</v>
      </c>
      <c r="R34" s="773" t="s">
        <v>17</v>
      </c>
      <c r="S34" s="774">
        <f t="shared" si="12"/>
        <v>100</v>
      </c>
      <c r="T34" s="773" t="s">
        <v>17</v>
      </c>
      <c r="U34" s="774">
        <f t="shared" si="13"/>
        <v>100</v>
      </c>
      <c r="V34" s="773" t="s">
        <v>17</v>
      </c>
      <c r="W34" s="774">
        <f t="shared" si="14"/>
        <v>100</v>
      </c>
      <c r="X34" s="1811"/>
      <c r="Y34" s="3253"/>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3"/>
      <c r="Q35" s="775">
        <f t="shared" si="11"/>
        <v>111</v>
      </c>
      <c r="R35" s="776" t="s">
        <v>17</v>
      </c>
      <c r="S35" s="777">
        <f t="shared" si="12"/>
        <v>100</v>
      </c>
      <c r="T35" s="776" t="s">
        <v>17</v>
      </c>
      <c r="U35" s="777">
        <f t="shared" si="13"/>
        <v>100</v>
      </c>
      <c r="V35" s="776" t="s">
        <v>17</v>
      </c>
      <c r="W35" s="777">
        <f t="shared" si="14"/>
        <v>100</v>
      </c>
      <c r="X35" s="778"/>
      <c r="Y35" s="3253"/>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3"/>
      <c r="Q36" s="1808">
        <f t="shared" si="11"/>
        <v>111</v>
      </c>
      <c r="R36" s="773" t="s">
        <v>17</v>
      </c>
      <c r="S36" s="774">
        <f t="shared" si="12"/>
        <v>100</v>
      </c>
      <c r="T36" s="773" t="s">
        <v>17</v>
      </c>
      <c r="U36" s="774">
        <f t="shared" si="13"/>
        <v>100</v>
      </c>
      <c r="V36" s="773" t="s">
        <v>17</v>
      </c>
      <c r="W36" s="774">
        <f t="shared" si="14"/>
        <v>100</v>
      </c>
      <c r="X36" s="1811"/>
      <c r="Y36" s="3253"/>
      <c r="Z36" s="1812">
        <f t="shared" si="15"/>
        <v>111</v>
      </c>
      <c r="AA36" s="1809">
        <f t="shared" si="3"/>
        <v>1</v>
      </c>
      <c r="AB36" s="1809">
        <f t="shared" si="4"/>
        <v>1</v>
      </c>
      <c r="AC36" s="1809">
        <f t="shared" si="5"/>
        <v>1</v>
      </c>
    </row>
    <row r="37" spans="1:29" ht="15">
      <c r="A37" s="479" t="s">
        <v>2721</v>
      </c>
      <c r="B37" s="2692" t="s">
        <v>2722</v>
      </c>
      <c r="C37" s="1406" t="s">
        <v>1</v>
      </c>
      <c r="D37" s="1407"/>
      <c r="E37" s="1408"/>
      <c r="F37" s="1409"/>
      <c r="G37" s="1410"/>
      <c r="H37" s="1411"/>
      <c r="I37" s="1408"/>
      <c r="J37" s="1411"/>
      <c r="K37" s="618"/>
      <c r="L37" s="1142"/>
      <c r="M37" s="1143"/>
      <c r="N37" s="1130"/>
      <c r="O37" s="1143"/>
      <c r="P37" s="3235" t="str">
        <f>A37</f>
        <v>成交单价</v>
      </c>
      <c r="Q37" s="3235"/>
      <c r="R37" s="3289">
        <f>E37</f>
        <v>0</v>
      </c>
      <c r="S37" s="3289"/>
      <c r="T37" s="3289">
        <f>G37</f>
        <v>0</v>
      </c>
      <c r="U37" s="3289"/>
      <c r="V37" s="3289">
        <f>I37</f>
        <v>0</v>
      </c>
      <c r="W37" s="3289"/>
      <c r="X37" s="758"/>
      <c r="Y37" s="780"/>
      <c r="Z37" s="758"/>
      <c r="AA37" s="758"/>
      <c r="AB37" s="758"/>
      <c r="AC37" s="758"/>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19"/>
      <c r="L38" s="1142"/>
      <c r="M38" s="1143"/>
      <c r="N38" s="1143"/>
      <c r="O38" s="1143"/>
      <c r="P38" s="3235" t="str">
        <f>A38</f>
        <v>比较价值（元/平方米）</v>
      </c>
      <c r="Q38" s="3235"/>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8"/>
      <c r="Y38" s="758"/>
      <c r="Z38" s="758"/>
      <c r="AA38" s="758"/>
      <c r="AB38" s="758"/>
      <c r="AC38" s="758"/>
    </row>
    <row r="39" spans="1:29" ht="15.75" thickBot="1">
      <c r="A39" s="492" t="s">
        <v>2724</v>
      </c>
      <c r="B39" s="493"/>
      <c r="C39" s="1416" t="e">
        <f>R39</f>
        <v>#DIV/0!</v>
      </c>
      <c r="D39" s="1416"/>
      <c r="E39" s="1416"/>
      <c r="F39" s="1416"/>
      <c r="G39" s="1416"/>
      <c r="H39" s="1416"/>
      <c r="I39" s="1416"/>
      <c r="J39" s="1416"/>
      <c r="K39" s="620"/>
      <c r="L39" s="1142"/>
      <c r="M39" s="1143"/>
      <c r="N39" s="1143"/>
      <c r="O39" s="1143"/>
      <c r="P39" s="3255" t="str">
        <f>A39</f>
        <v>估价对象XX用房的比较价值（楼面单价，元/平方米）</v>
      </c>
      <c r="Q39" s="3256"/>
      <c r="R39" s="3290" t="e">
        <f>IF(F1="售价",ROUND(AVERAGE(R38:V38),0),ROUND(AVERAGE(R38:V38),1))</f>
        <v>#DIV/0!</v>
      </c>
      <c r="S39" s="3290"/>
      <c r="T39" s="3290"/>
      <c r="U39" s="3290"/>
      <c r="V39" s="3290"/>
      <c r="W39" s="329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2" t="str">
        <f>YEAR(C7)&amp;"-"&amp;MONTH(C7)</f>
        <v>2018-5</v>
      </c>
      <c r="D48" s="1573">
        <f>EDATE(C48,-1)</f>
        <v>43191</v>
      </c>
      <c r="E48" s="1573">
        <f t="shared" ref="E48:O48" si="16">EDATE(D48,-1)</f>
        <v>43160</v>
      </c>
      <c r="F48" s="1573">
        <f t="shared" si="16"/>
        <v>43132</v>
      </c>
      <c r="G48" s="1573">
        <f t="shared" si="16"/>
        <v>43101</v>
      </c>
      <c r="H48" s="1573">
        <f t="shared" si="16"/>
        <v>43070</v>
      </c>
      <c r="I48" s="1573">
        <f t="shared" si="16"/>
        <v>43040</v>
      </c>
      <c r="J48" s="1573">
        <f t="shared" si="16"/>
        <v>43009</v>
      </c>
      <c r="K48" s="1573">
        <f t="shared" si="16"/>
        <v>42979</v>
      </c>
      <c r="L48" s="1573">
        <f t="shared" si="16"/>
        <v>42948</v>
      </c>
      <c r="M48" s="1573">
        <f t="shared" si="16"/>
        <v>42917</v>
      </c>
      <c r="N48" s="1573">
        <f t="shared" si="16"/>
        <v>42887</v>
      </c>
      <c r="O48" s="1573">
        <f t="shared" si="16"/>
        <v>42856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2552</v>
      </c>
      <c r="B51" s="510"/>
      <c r="C51" s="522" t="s">
        <v>2654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2590</v>
      </c>
      <c r="B53" s="528" t="s">
        <v>2556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2605</v>
      </c>
      <c r="C65" s="578" t="s">
        <v>2599</v>
      </c>
      <c r="D65" s="578" t="s">
        <v>2600</v>
      </c>
      <c r="E65" s="578" t="s">
        <v>2601</v>
      </c>
      <c r="F65" s="578" t="s">
        <v>2602</v>
      </c>
      <c r="G65" s="578" t="s">
        <v>2603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59" t="s">
        <v>2676</v>
      </c>
      <c r="D67" s="659" t="s">
        <v>2677</v>
      </c>
      <c r="E67" s="659" t="s">
        <v>2678</v>
      </c>
      <c r="F67" s="659" t="s">
        <v>2679</v>
      </c>
      <c r="G67" s="659"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2611</v>
      </c>
      <c r="C69" s="578" t="s">
        <v>2599</v>
      </c>
      <c r="D69" s="578" t="s">
        <v>2600</v>
      </c>
      <c r="E69" s="578" t="s">
        <v>2601</v>
      </c>
      <c r="F69" s="578" t="s">
        <v>2602</v>
      </c>
      <c r="G69" s="578" t="s">
        <v>2603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2565</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2532</v>
      </c>
      <c r="D1" s="1619"/>
      <c r="E1" s="1628"/>
      <c r="F1" s="2581"/>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17" t="e">
        <f ca="1">IF(C2="——",ROUND(C37*D3/10000,0),ROUND(C37*D3/10000,0)-D2)</f>
        <v>#DIV/0!</v>
      </c>
      <c r="C2" s="2583"/>
      <c r="D2" s="1123" t="e">
        <f ca="1">SUMIF(INDIRECT("'"&amp;F2&amp;"'"&amp;"!A:A"),"承租人权益价值",INDIRECT("'"&amp;F2&amp;"'"&amp;"!c:c"))</f>
        <v>#REF!</v>
      </c>
      <c r="E2" s="2584" t="s">
        <v>2330</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2331</v>
      </c>
      <c r="B3" s="609" t="e">
        <f ca="1">IF(C2="——",C37,ROUND(B2*10000/D3,0))</f>
        <v>#DIV/0!</v>
      </c>
      <c r="C3" s="400" t="s">
        <v>2646</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19" t="s">
        <v>2650</v>
      </c>
      <c r="AC4" s="3218" t="s">
        <v>2651</v>
      </c>
    </row>
    <row r="5" spans="1:29" ht="15">
      <c r="A5" s="404"/>
      <c r="B5" s="405"/>
      <c r="C5" s="3229" t="s">
        <v>2544</v>
      </c>
      <c r="D5" s="3230"/>
      <c r="E5" s="3227" t="s">
        <v>2545</v>
      </c>
      <c r="F5" s="3228"/>
      <c r="G5" s="3229" t="s">
        <v>2546</v>
      </c>
      <c r="H5" s="3230"/>
      <c r="I5" s="3229" t="s">
        <v>2547</v>
      </c>
      <c r="J5" s="3230"/>
      <c r="K5" s="610"/>
      <c r="L5" s="1129"/>
      <c r="M5" s="1130"/>
      <c r="N5" s="1130"/>
      <c r="O5" s="1130"/>
      <c r="P5" s="3242"/>
      <c r="Q5" s="3243"/>
      <c r="R5" s="3225"/>
      <c r="S5" s="3226"/>
      <c r="T5" s="3225"/>
      <c r="U5" s="3226"/>
      <c r="V5" s="3248"/>
      <c r="W5" s="3248"/>
      <c r="X5" s="1811"/>
      <c r="Y5" s="3225"/>
      <c r="Z5" s="3226"/>
      <c r="AA5" s="3219"/>
      <c r="AB5" s="3219"/>
      <c r="AC5" s="3219"/>
    </row>
    <row r="6" spans="1:29" ht="15.75" thickBot="1">
      <c r="A6" s="406"/>
      <c r="B6" s="407"/>
      <c r="C6" s="3231" t="s">
        <v>2548</v>
      </c>
      <c r="D6" s="3232"/>
      <c r="E6" s="3233" t="s">
        <v>2548</v>
      </c>
      <c r="F6" s="3234"/>
      <c r="G6" s="3231" t="s">
        <v>2548</v>
      </c>
      <c r="H6" s="3232"/>
      <c r="I6" s="3231" t="s">
        <v>2548</v>
      </c>
      <c r="J6" s="3232"/>
      <c r="K6" s="610" t="s">
        <v>2549</v>
      </c>
      <c r="L6" s="1129"/>
      <c r="M6" s="1130"/>
      <c r="N6" s="1130"/>
      <c r="O6" s="1130"/>
      <c r="P6" s="3244"/>
      <c r="Q6" s="3245"/>
      <c r="R6" s="3225"/>
      <c r="S6" s="3226"/>
      <c r="T6" s="3246"/>
      <c r="U6" s="3247"/>
      <c r="V6" s="3248"/>
      <c r="W6" s="3248"/>
      <c r="X6" s="1811"/>
      <c r="Y6" s="3246"/>
      <c r="Z6" s="3247"/>
      <c r="AA6" s="3220"/>
      <c r="AB6" s="3220"/>
      <c r="AC6" s="3220"/>
    </row>
    <row r="7" spans="1:29" s="117" customFormat="1" ht="15.75" thickBot="1">
      <c r="A7" s="408" t="s">
        <v>2550</v>
      </c>
      <c r="B7" s="409"/>
      <c r="C7" s="410">
        <f>'数据-取费表'!B2</f>
        <v>43228</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21" t="s">
        <v>2551</v>
      </c>
      <c r="Q7" s="3249"/>
      <c r="R7" s="769" t="s">
        <v>17</v>
      </c>
      <c r="S7" s="770">
        <f t="shared" ref="S7:S14" si="0">F7</f>
        <v>0</v>
      </c>
      <c r="T7" s="769" t="s">
        <v>17</v>
      </c>
      <c r="U7" s="770">
        <f t="shared" ref="U7:U14" si="1">H7</f>
        <v>0</v>
      </c>
      <c r="V7" s="769" t="s">
        <v>17</v>
      </c>
      <c r="W7" s="770">
        <f t="shared" ref="W7:W14" si="2">J7</f>
        <v>0</v>
      </c>
      <c r="X7" s="771"/>
      <c r="Y7" s="3221" t="s">
        <v>2551</v>
      </c>
      <c r="Z7" s="3222"/>
      <c r="AA7" s="772" t="e">
        <f>D7/F7</f>
        <v>#DIV/0!</v>
      </c>
      <c r="AB7" s="772" t="e">
        <f>D7/H7</f>
        <v>#DIV/0!</v>
      </c>
      <c r="AC7" s="772"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1" t="s">
        <v>2554</v>
      </c>
      <c r="Q8" s="3222"/>
      <c r="R8" s="769" t="s">
        <v>17</v>
      </c>
      <c r="S8" s="770">
        <f t="shared" si="0"/>
        <v>0</v>
      </c>
      <c r="T8" s="769" t="s">
        <v>17</v>
      </c>
      <c r="U8" s="770">
        <f t="shared" si="1"/>
        <v>0</v>
      </c>
      <c r="V8" s="769" t="s">
        <v>17</v>
      </c>
      <c r="W8" s="770">
        <f t="shared" si="2"/>
        <v>0</v>
      </c>
      <c r="X8" s="771"/>
      <c r="Y8" s="3221" t="s">
        <v>2554</v>
      </c>
      <c r="Z8" s="3222"/>
      <c r="AA8" s="772" t="e">
        <f t="shared" ref="AA8:AA34" si="3">D8/F8</f>
        <v>#DIV/0!</v>
      </c>
      <c r="AB8" s="772" t="e">
        <f t="shared" ref="AB8:AB34" si="4">D8/H8</f>
        <v>#DIV/0!</v>
      </c>
      <c r="AC8" s="772"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5" t="s">
        <v>2557</v>
      </c>
      <c r="Q9" s="1793" t="str">
        <f t="shared" ref="Q9:Q14" si="6">B9</f>
        <v>用途</v>
      </c>
      <c r="R9" s="769" t="s">
        <v>17</v>
      </c>
      <c r="S9" s="770">
        <f t="shared" si="0"/>
        <v>100</v>
      </c>
      <c r="T9" s="769" t="s">
        <v>17</v>
      </c>
      <c r="U9" s="770">
        <f t="shared" si="1"/>
        <v>100</v>
      </c>
      <c r="V9" s="769" t="s">
        <v>17</v>
      </c>
      <c r="W9" s="770">
        <f t="shared" si="2"/>
        <v>100</v>
      </c>
      <c r="X9" s="771"/>
      <c r="Y9" s="3095" t="s">
        <v>2558</v>
      </c>
      <c r="Z9" s="55" t="str">
        <f t="shared" ref="Z9:Z14" si="7">Q9</f>
        <v>用途</v>
      </c>
      <c r="AA9" s="772">
        <f t="shared" si="3"/>
        <v>1</v>
      </c>
      <c r="AB9" s="772">
        <f t="shared" si="4"/>
        <v>1</v>
      </c>
      <c r="AC9" s="772">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5"/>
      <c r="Q10" s="1793"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5"/>
      <c r="Q11" s="1793">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5"/>
      <c r="Q12" s="1793">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235"/>
      <c r="Q13" s="1793">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40" t="s">
        <v>2561</v>
      </c>
      <c r="B14" s="69" t="s">
        <v>2710</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0" t="s">
        <v>2562</v>
      </c>
      <c r="Q14" s="1808" t="str">
        <f t="shared" si="6"/>
        <v>交通便捷度</v>
      </c>
      <c r="R14" s="773" t="s">
        <v>17</v>
      </c>
      <c r="S14" s="774">
        <f t="shared" si="0"/>
        <v>100</v>
      </c>
      <c r="T14" s="773" t="s">
        <v>17</v>
      </c>
      <c r="U14" s="774">
        <f t="shared" si="1"/>
        <v>100</v>
      </c>
      <c r="V14" s="773" t="s">
        <v>17</v>
      </c>
      <c r="W14" s="774">
        <f t="shared" si="2"/>
        <v>100</v>
      </c>
      <c r="X14" s="1811"/>
      <c r="Y14" s="3250"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51"/>
      <c r="Q15" s="1808"/>
      <c r="R15" s="773"/>
      <c r="S15" s="774"/>
      <c r="T15" s="773"/>
      <c r="U15" s="774"/>
      <c r="V15" s="773"/>
      <c r="W15" s="774"/>
      <c r="X15" s="1811"/>
      <c r="Y15" s="3251"/>
      <c r="Z15" s="1812"/>
      <c r="AA15" s="1809">
        <v>1</v>
      </c>
      <c r="AB15" s="1809">
        <v>1</v>
      </c>
      <c r="AC15" s="1809">
        <v>1</v>
      </c>
    </row>
    <row r="16" spans="1:29" ht="42.75">
      <c r="A16" s="428"/>
      <c r="B16" s="451" t="s">
        <v>2689</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251"/>
      <c r="Q17" s="1808"/>
      <c r="R17" s="773"/>
      <c r="S17" s="774"/>
      <c r="T17" s="773"/>
      <c r="U17" s="774"/>
      <c r="V17" s="773"/>
      <c r="W17" s="774"/>
      <c r="X17" s="1811"/>
      <c r="Y17" s="3251"/>
      <c r="Z17" s="1812"/>
      <c r="AA17" s="1809">
        <v>1</v>
      </c>
      <c r="AB17" s="1809">
        <v>1</v>
      </c>
      <c r="AC17" s="1809">
        <v>1</v>
      </c>
    </row>
    <row r="18" spans="1:29" ht="28.5">
      <c r="A18" s="428"/>
      <c r="B18" s="1383" t="s">
        <v>2690</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251"/>
      <c r="Q19" s="1808"/>
      <c r="R19" s="773"/>
      <c r="S19" s="774"/>
      <c r="T19" s="773"/>
      <c r="U19" s="774"/>
      <c r="V19" s="773"/>
      <c r="W19" s="774"/>
      <c r="X19" s="1811"/>
      <c r="Y19" s="3251"/>
      <c r="Z19" s="1812"/>
      <c r="AA19" s="1809">
        <v>1</v>
      </c>
      <c r="AB19" s="1809">
        <v>1</v>
      </c>
      <c r="AC19" s="1809">
        <v>1</v>
      </c>
    </row>
    <row r="20" spans="1:29" ht="57">
      <c r="A20" s="428"/>
      <c r="B20" s="451" t="s">
        <v>2711</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51"/>
      <c r="Q21" s="1808"/>
      <c r="R21" s="773"/>
      <c r="S21" s="774"/>
      <c r="T21" s="773"/>
      <c r="U21" s="774"/>
      <c r="V21" s="773"/>
      <c r="W21" s="774"/>
      <c r="X21" s="1811"/>
      <c r="Y21" s="3251"/>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1"/>
      <c r="Q24" s="1808">
        <f t="shared" ref="Q24:Q34"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1"/>
      <c r="M25" s="1132"/>
      <c r="N25" s="1132"/>
      <c r="O25" s="1133"/>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15">
      <c r="A26" s="466" t="s">
        <v>2565</v>
      </c>
      <c r="B26" s="71" t="s">
        <v>2715</v>
      </c>
      <c r="C26" s="2676"/>
      <c r="D26" s="467">
        <v>100</v>
      </c>
      <c r="E26" s="2676"/>
      <c r="F26" s="666">
        <f>SUMIF(77:77,E26,78:78)-SUMIF(77:77,C26,78:78)+100</f>
        <v>100</v>
      </c>
      <c r="G26" s="2676"/>
      <c r="H26" s="467">
        <f>SUMIF(77:77,G26,78:78)-SUMIF(77:77,C26,78:78)+100</f>
        <v>100</v>
      </c>
      <c r="I26" s="2676"/>
      <c r="J26" s="467">
        <f>SUMIF(77:77,I26,78:78)-SUMIF(77:77,C26,78:78)+100</f>
        <v>100</v>
      </c>
      <c r="K26" s="612"/>
      <c r="L26" s="1139"/>
      <c r="M26" s="1130"/>
      <c r="N26" s="1130"/>
      <c r="O26" s="1138"/>
      <c r="P26" s="3252" t="s">
        <v>2567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3" t="s">
        <v>2567</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3"/>
      <c r="Q27" s="775" t="str">
        <f t="shared" si="11"/>
        <v>成新率</v>
      </c>
      <c r="R27" s="776" t="s">
        <v>17</v>
      </c>
      <c r="S27" s="777" t="e">
        <f t="shared" si="12"/>
        <v>#N/A</v>
      </c>
      <c r="T27" s="776" t="s">
        <v>17</v>
      </c>
      <c r="U27" s="777" t="e">
        <f t="shared" si="13"/>
        <v>#N/A</v>
      </c>
      <c r="V27" s="776" t="s">
        <v>17</v>
      </c>
      <c r="W27" s="777" t="e">
        <f t="shared" si="14"/>
        <v>#N/A</v>
      </c>
      <c r="X27" s="778"/>
      <c r="Y27" s="3253"/>
      <c r="Z27" s="779"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3"/>
      <c r="Q28" s="1808" t="str">
        <f t="shared" si="11"/>
        <v>物业等级</v>
      </c>
      <c r="R28" s="773" t="s">
        <v>17</v>
      </c>
      <c r="S28" s="774">
        <f t="shared" si="12"/>
        <v>100</v>
      </c>
      <c r="T28" s="773" t="s">
        <v>17</v>
      </c>
      <c r="U28" s="774">
        <f t="shared" si="13"/>
        <v>100</v>
      </c>
      <c r="V28" s="773" t="s">
        <v>17</v>
      </c>
      <c r="W28" s="774">
        <f t="shared" si="14"/>
        <v>100</v>
      </c>
      <c r="X28" s="1811"/>
      <c r="Y28" s="3253"/>
      <c r="Z28" s="1812" t="str">
        <f t="shared" si="15"/>
        <v>物业等级</v>
      </c>
      <c r="AA28" s="1809">
        <f t="shared" si="3"/>
        <v>1</v>
      </c>
      <c r="AB28" s="1809">
        <f t="shared" si="4"/>
        <v>1</v>
      </c>
      <c r="AC28" s="1809">
        <f t="shared" si="5"/>
        <v>1</v>
      </c>
    </row>
    <row r="29" spans="1:29" ht="15">
      <c r="A29" s="472"/>
      <c r="B29" s="422" t="s">
        <v>2738</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53"/>
      <c r="Q29" s="1808" t="str">
        <f t="shared" si="11"/>
        <v>有无电梯</v>
      </c>
      <c r="R29" s="773" t="s">
        <v>17</v>
      </c>
      <c r="S29" s="774">
        <f t="shared" si="12"/>
        <v>100</v>
      </c>
      <c r="T29" s="773" t="s">
        <v>17</v>
      </c>
      <c r="U29" s="774">
        <f t="shared" si="13"/>
        <v>100</v>
      </c>
      <c r="V29" s="773" t="s">
        <v>17</v>
      </c>
      <c r="W29" s="774">
        <f t="shared" si="14"/>
        <v>100</v>
      </c>
      <c r="X29" s="1811"/>
      <c r="Y29" s="325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3"/>
      <c r="Q30" s="1808" t="str">
        <f t="shared" si="11"/>
        <v>建筑面积</v>
      </c>
      <c r="R30" s="773" t="s">
        <v>17</v>
      </c>
      <c r="S30" s="774" t="e">
        <f t="shared" si="12"/>
        <v>#N/A</v>
      </c>
      <c r="T30" s="773" t="s">
        <v>17</v>
      </c>
      <c r="U30" s="774" t="e">
        <f t="shared" si="13"/>
        <v>#N/A</v>
      </c>
      <c r="V30" s="773" t="s">
        <v>17</v>
      </c>
      <c r="W30" s="774" t="e">
        <f t="shared" si="14"/>
        <v>#N/A</v>
      </c>
      <c r="X30" s="1811"/>
      <c r="Y30" s="3253"/>
      <c r="Z30" s="1812" t="str">
        <f t="shared" si="15"/>
        <v>建筑面积</v>
      </c>
      <c r="AA30" s="1809" t="e">
        <f t="shared" si="3"/>
        <v>#N/A</v>
      </c>
      <c r="AB30" s="1809" t="e">
        <f t="shared" si="4"/>
        <v>#N/A</v>
      </c>
      <c r="AC30" s="1809" t="e">
        <f t="shared" si="5"/>
        <v>#N/A</v>
      </c>
    </row>
    <row r="31" spans="1:29" s="117" customFormat="1" ht="15">
      <c r="A31" s="473"/>
      <c r="B31" s="422" t="s">
        <v>2740</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53"/>
      <c r="Q31" s="1793" t="str">
        <f t="shared" si="11"/>
        <v>是否封闭</v>
      </c>
      <c r="R31" s="769" t="s">
        <v>17</v>
      </c>
      <c r="S31" s="770">
        <f t="shared" si="12"/>
        <v>100</v>
      </c>
      <c r="T31" s="769" t="s">
        <v>17</v>
      </c>
      <c r="U31" s="770">
        <f t="shared" si="13"/>
        <v>100</v>
      </c>
      <c r="V31" s="769" t="s">
        <v>17</v>
      </c>
      <c r="W31" s="770">
        <f t="shared" si="14"/>
        <v>100</v>
      </c>
      <c r="X31" s="771"/>
      <c r="Y31" s="3253"/>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3" t="s">
        <v>2567</v>
      </c>
      <c r="Q32" s="1808">
        <f t="shared" si="11"/>
        <v>111</v>
      </c>
      <c r="R32" s="773" t="s">
        <v>17</v>
      </c>
      <c r="S32" s="774">
        <f t="shared" si="12"/>
        <v>100</v>
      </c>
      <c r="T32" s="773" t="s">
        <v>17</v>
      </c>
      <c r="U32" s="774">
        <f t="shared" si="13"/>
        <v>100</v>
      </c>
      <c r="V32" s="773" t="s">
        <v>17</v>
      </c>
      <c r="W32" s="774">
        <f t="shared" si="14"/>
        <v>100</v>
      </c>
      <c r="X32" s="1811"/>
      <c r="Y32" s="3253" t="s">
        <v>2567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3"/>
      <c r="Q33" s="1808">
        <f t="shared" si="11"/>
        <v>111</v>
      </c>
      <c r="R33" s="773" t="s">
        <v>17</v>
      </c>
      <c r="S33" s="774">
        <f t="shared" si="12"/>
        <v>100</v>
      </c>
      <c r="T33" s="773" t="s">
        <v>17</v>
      </c>
      <c r="U33" s="774">
        <f t="shared" si="13"/>
        <v>100</v>
      </c>
      <c r="V33" s="773" t="s">
        <v>17</v>
      </c>
      <c r="W33" s="774">
        <f t="shared" si="14"/>
        <v>100</v>
      </c>
      <c r="X33" s="1811"/>
      <c r="Y33" s="325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53"/>
      <c r="Q34" s="1808">
        <f t="shared" si="11"/>
        <v>111</v>
      </c>
      <c r="R34" s="773" t="s">
        <v>17</v>
      </c>
      <c r="S34" s="774">
        <f t="shared" si="12"/>
        <v>100</v>
      </c>
      <c r="T34" s="773" t="s">
        <v>17</v>
      </c>
      <c r="U34" s="774">
        <f t="shared" si="13"/>
        <v>100</v>
      </c>
      <c r="V34" s="773" t="s">
        <v>17</v>
      </c>
      <c r="W34" s="774">
        <f t="shared" si="14"/>
        <v>100</v>
      </c>
      <c r="X34" s="1811"/>
      <c r="Y34" s="3253"/>
      <c r="Z34" s="1812">
        <f t="shared" si="15"/>
        <v>111</v>
      </c>
      <c r="AA34" s="1809">
        <f t="shared" si="3"/>
        <v>1</v>
      </c>
      <c r="AB34" s="1809">
        <f t="shared" si="4"/>
        <v>1</v>
      </c>
      <c r="AC34" s="1809">
        <f t="shared" si="5"/>
        <v>1</v>
      </c>
    </row>
    <row r="35" spans="1:29" ht="15">
      <c r="A35" s="479" t="s">
        <v>2579</v>
      </c>
      <c r="B35" s="480"/>
      <c r="C35" s="1406" t="s">
        <v>1</v>
      </c>
      <c r="D35" s="1407"/>
      <c r="E35" s="1408"/>
      <c r="F35" s="1409"/>
      <c r="G35" s="1410"/>
      <c r="H35" s="1411"/>
      <c r="I35" s="1408"/>
      <c r="J35" s="1411"/>
      <c r="K35" s="782"/>
      <c r="L35" s="1142"/>
      <c r="M35" s="1143"/>
      <c r="N35" s="1130"/>
      <c r="O35" s="1143"/>
      <c r="P35" s="3235" t="str">
        <f>A35</f>
        <v>成交单价（元/平方米）</v>
      </c>
      <c r="Q35" s="3235"/>
      <c r="R35" s="3289">
        <f>E35</f>
        <v>0</v>
      </c>
      <c r="S35" s="3289"/>
      <c r="T35" s="3289">
        <f>G35</f>
        <v>0</v>
      </c>
      <c r="U35" s="3289"/>
      <c r="V35" s="3289">
        <f>I35</f>
        <v>0</v>
      </c>
      <c r="W35" s="3289"/>
      <c r="X35" s="758"/>
      <c r="Y35" s="780"/>
      <c r="Z35" s="758"/>
      <c r="AA35" s="758"/>
      <c r="AB35" s="758"/>
      <c r="AC35" s="758"/>
    </row>
    <row r="36" spans="1:29" ht="15.75" thickBot="1">
      <c r="A36" s="486" t="s">
        <v>2670</v>
      </c>
      <c r="B36" s="487"/>
      <c r="C36" s="1412" t="e">
        <f>R37</f>
        <v>#DIV/0!</v>
      </c>
      <c r="D36" s="1413"/>
      <c r="E36" s="1414" t="e">
        <f>R36</f>
        <v>#DIV/0!</v>
      </c>
      <c r="F36" s="1414"/>
      <c r="G36" s="1412" t="e">
        <f>T36</f>
        <v>#DIV/0!</v>
      </c>
      <c r="H36" s="1413"/>
      <c r="I36" s="1414" t="e">
        <f>V36</f>
        <v>#DIV/0!</v>
      </c>
      <c r="J36" s="1413"/>
      <c r="K36" s="783"/>
      <c r="L36" s="1142"/>
      <c r="M36" s="1143"/>
      <c r="N36" s="1130"/>
      <c r="O36" s="1143"/>
      <c r="P36" s="3235" t="str">
        <f>A36</f>
        <v>比较价值（元/平方米）</v>
      </c>
      <c r="Q36" s="3235"/>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8"/>
      <c r="Y36" s="758"/>
      <c r="Z36" s="758"/>
      <c r="AA36" s="758"/>
      <c r="AB36" s="758"/>
      <c r="AC36" s="758"/>
    </row>
    <row r="37" spans="1:29" ht="15.75" thickBot="1">
      <c r="A37" s="492" t="s">
        <v>2671</v>
      </c>
      <c r="B37" s="493"/>
      <c r="C37" s="1416" t="e">
        <f>R37</f>
        <v>#DIV/0!</v>
      </c>
      <c r="D37" s="1416"/>
      <c r="E37" s="1416"/>
      <c r="F37" s="1416"/>
      <c r="G37" s="1416"/>
      <c r="H37" s="1416"/>
      <c r="I37" s="1416"/>
      <c r="J37" s="1416"/>
      <c r="K37" s="784"/>
      <c r="L37" s="1142"/>
      <c r="M37" s="1143"/>
      <c r="N37" s="1143"/>
      <c r="O37" s="1143"/>
      <c r="P37" s="3255" t="str">
        <f>A37</f>
        <v>估价对象XX用房的比较价值（楼面单价，元/平方米）</v>
      </c>
      <c r="Q37" s="3256"/>
      <c r="R37" s="3290" t="e">
        <f>IF(F1="售价",ROUND(AVERAGE(R36:V36),0),ROUND(AVERAGE(R36:V36),1))</f>
        <v>#DIV/0!</v>
      </c>
      <c r="S37" s="3290"/>
      <c r="T37" s="3290"/>
      <c r="U37" s="3290"/>
      <c r="V37" s="3290"/>
      <c r="W37" s="329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3"/>
      <c r="Q45" s="504"/>
    </row>
    <row r="46" spans="1:29" s="508" customFormat="1" ht="15">
      <c r="A46" s="505" t="s">
        <v>2550</v>
      </c>
      <c r="B46" s="506"/>
      <c r="C46" s="1572" t="str">
        <f>YEAR(C7)&amp;"-"&amp;MONTH(C7)</f>
        <v>2018-5</v>
      </c>
      <c r="D46" s="1573">
        <f>EDATE(C46,-1)</f>
        <v>43191</v>
      </c>
      <c r="E46" s="1573">
        <f t="shared" ref="E46:O46" si="16">EDATE(D46,-1)</f>
        <v>43160</v>
      </c>
      <c r="F46" s="1573">
        <f t="shared" si="16"/>
        <v>43132</v>
      </c>
      <c r="G46" s="1573">
        <f t="shared" si="16"/>
        <v>43101</v>
      </c>
      <c r="H46" s="1573">
        <f t="shared" si="16"/>
        <v>43070</v>
      </c>
      <c r="I46" s="1573">
        <f t="shared" si="16"/>
        <v>43040</v>
      </c>
      <c r="J46" s="1573">
        <f t="shared" si="16"/>
        <v>43009</v>
      </c>
      <c r="K46" s="1573">
        <f t="shared" si="16"/>
        <v>42979</v>
      </c>
      <c r="L46" s="1573">
        <f t="shared" si="16"/>
        <v>42948</v>
      </c>
      <c r="M46" s="1573">
        <f t="shared" si="16"/>
        <v>42917</v>
      </c>
      <c r="N46" s="1573">
        <f t="shared" si="16"/>
        <v>42887</v>
      </c>
      <c r="O46" s="1573">
        <f t="shared" si="16"/>
        <v>42856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2590</v>
      </c>
      <c r="B51" s="528" t="s">
        <v>2556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59" t="s">
        <v>2676</v>
      </c>
      <c r="D65" s="659" t="s">
        <v>2677</v>
      </c>
      <c r="E65" s="659" t="s">
        <v>2678</v>
      </c>
      <c r="F65" s="659" t="s">
        <v>2679</v>
      </c>
      <c r="G65" s="659"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2565</v>
      </c>
      <c r="B77" s="528" t="s">
        <v>2618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8"/>
      <c r="B4" s="3033" t="s">
        <v>1630</v>
      </c>
      <c r="C4" s="3033"/>
      <c r="D4" s="3033"/>
      <c r="E4" s="1958"/>
    </row>
    <row r="5" spans="1:5" ht="16.5" thickTop="1">
      <c r="A5" s="1956"/>
      <c r="B5" s="3031" t="s">
        <v>1622</v>
      </c>
      <c r="C5" s="1959" t="s">
        <v>1623</v>
      </c>
      <c r="D5" s="1039">
        <f ca="1">'结果表-商业'!H101</f>
        <v>2982</v>
      </c>
      <c r="E5" s="1956"/>
    </row>
    <row r="6" spans="1:5" ht="15.75">
      <c r="A6" s="1956"/>
      <c r="B6" s="3031"/>
      <c r="C6" s="1959" t="s">
        <v>1624</v>
      </c>
      <c r="D6" s="1039" t="str">
        <f ca="1">NUMBERSTRING(INT(D5*10000),2)&amp;"元整"</f>
        <v>贰仟玖佰捌拾贰万元整</v>
      </c>
      <c r="E6" s="1956"/>
    </row>
    <row r="7" spans="1:5" ht="15.75">
      <c r="A7" s="1956"/>
      <c r="B7" s="3036"/>
      <c r="C7" s="1960" t="s">
        <v>1625</v>
      </c>
      <c r="D7" s="1040">
        <f ca="1">'结果表-商业'!H102</f>
        <v>51217</v>
      </c>
      <c r="E7" s="1956"/>
    </row>
    <row r="8" spans="1:5" ht="15.75">
      <c r="A8" s="1956"/>
      <c r="B8" s="3037" t="str">
        <f>'结果表-商业'!E103</f>
        <v>2.估价师知悉的法定优先受偿款</v>
      </c>
      <c r="C8" s="1961" t="s">
        <v>1626</v>
      </c>
      <c r="D8" s="1040">
        <f>'结果表-商业'!H103</f>
        <v>0</v>
      </c>
      <c r="E8" s="1956"/>
    </row>
    <row r="9" spans="1:5" ht="15.75">
      <c r="A9" s="1956"/>
      <c r="B9" s="3039"/>
      <c r="C9" s="1959" t="s">
        <v>1624</v>
      </c>
      <c r="D9" s="1039" t="str">
        <f>NUMBERSTRING(INT(D8*10000),2)&amp;"元整"</f>
        <v>零元整</v>
      </c>
      <c r="E9" s="1956"/>
    </row>
    <row r="10" spans="1:5" ht="15">
      <c r="A10" s="1956"/>
      <c r="B10" s="1962" t="s">
        <v>1629</v>
      </c>
      <c r="C10" s="1963" t="s">
        <v>1627</v>
      </c>
      <c r="D10" s="1041">
        <f>'结果表-商业'!H104</f>
        <v>0</v>
      </c>
      <c r="E10" s="1956"/>
    </row>
    <row r="11" spans="1:5" ht="15">
      <c r="A11" s="1956"/>
      <c r="B11" s="1962" t="s">
        <v>1631</v>
      </c>
      <c r="C11" s="1963" t="s">
        <v>1632</v>
      </c>
      <c r="D11" s="1041">
        <f>'结果表-商业'!H105</f>
        <v>0</v>
      </c>
      <c r="E11" s="1956"/>
    </row>
    <row r="12" spans="1:5" ht="15">
      <c r="A12" s="1956"/>
      <c r="B12" s="1962" t="s">
        <v>1633</v>
      </c>
      <c r="C12" s="1963" t="s">
        <v>1632</v>
      </c>
      <c r="D12" s="1041">
        <f>'结果表-商业'!H106</f>
        <v>0</v>
      </c>
      <c r="E12" s="1956"/>
    </row>
    <row r="13" spans="1:5" ht="15.75">
      <c r="A13" s="1956"/>
      <c r="B13" s="3030" t="str">
        <f>'结果表-商业'!E107</f>
        <v>——</v>
      </c>
      <c r="C13" s="1964" t="s">
        <v>1623</v>
      </c>
      <c r="D13" s="1042" t="str">
        <f>'结果表-商业'!H107</f>
        <v>——</v>
      </c>
      <c r="E13" s="1956"/>
    </row>
    <row r="14" spans="1:5" ht="15.75">
      <c r="A14" s="1956"/>
      <c r="B14" s="3031"/>
      <c r="C14" s="1959" t="s">
        <v>1624</v>
      </c>
      <c r="D14" s="1039" t="e">
        <f>NUMBERSTRING(INT(D13*10000),2)&amp;"元整"</f>
        <v>#VALUE!</v>
      </c>
      <c r="E14" s="1956"/>
    </row>
    <row r="15" spans="1:5" ht="15">
      <c r="A15" s="1956"/>
      <c r="B15" s="3036"/>
      <c r="C15" s="1960" t="s">
        <v>1634</v>
      </c>
      <c r="D15" s="1051" t="e">
        <f>'结果表-商业'!H108</f>
        <v>#VALUE!</v>
      </c>
      <c r="E15" s="1956"/>
    </row>
    <row r="16" spans="1:5" ht="15">
      <c r="A16" s="1956"/>
      <c r="B16" s="3037" t="str">
        <f>'结果表-商业'!E109</f>
        <v>3.抵押担保权已注销时的房地产抵押价值</v>
      </c>
      <c r="C16" s="1964" t="s">
        <v>1635</v>
      </c>
      <c r="D16" s="1965">
        <f ca="1">'结果表-商业'!H109</f>
        <v>2982</v>
      </c>
      <c r="E16" s="1956"/>
    </row>
    <row r="17" spans="1:5" ht="15.75">
      <c r="A17" s="1956"/>
      <c r="B17" s="3038"/>
      <c r="C17" s="1959" t="s">
        <v>1636</v>
      </c>
      <c r="D17" s="1039" t="str">
        <f ca="1">NUMBERSTRING(INT(D16*10000),2)&amp;"元整"</f>
        <v>贰仟玖佰捌拾贰万元整</v>
      </c>
      <c r="E17" s="1956"/>
    </row>
    <row r="18" spans="1:5" ht="15">
      <c r="A18" s="1956"/>
      <c r="B18" s="3039"/>
      <c r="C18" s="1960" t="s">
        <v>1625</v>
      </c>
      <c r="D18" s="1051">
        <f ca="1">'结果表-商业'!H110</f>
        <v>705</v>
      </c>
      <c r="E18" s="1956"/>
    </row>
    <row r="19" spans="1:5" ht="15.75">
      <c r="A19" s="1956"/>
      <c r="B19" s="3030" t="str">
        <f>'结果表-商业'!E111</f>
        <v>——</v>
      </c>
      <c r="C19" s="1964" t="s">
        <v>1623</v>
      </c>
      <c r="D19" s="1040" t="str">
        <f>'结果表-商业'!H111</f>
        <v>——</v>
      </c>
      <c r="E19" s="1956"/>
    </row>
    <row r="20" spans="1:5" ht="15.75">
      <c r="A20" s="1956"/>
      <c r="B20" s="3031"/>
      <c r="C20" s="1959" t="s">
        <v>1636</v>
      </c>
      <c r="D20" s="1039" t="e">
        <f>NUMBERSTRING(INT(D19*10000),2)&amp;"元整"</f>
        <v>#VALUE!</v>
      </c>
      <c r="E20" s="1956"/>
    </row>
    <row r="21" spans="1:5" ht="15.75" thickBot="1">
      <c r="A21" s="1956"/>
      <c r="B21" s="3032"/>
      <c r="C21" s="1966" t="s">
        <v>1634</v>
      </c>
      <c r="D21" s="1052" t="str">
        <f>'结果表-商业'!H112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2331</v>
      </c>
      <c r="B3" s="609" t="e">
        <f>ROUND(IF(D3="",B2*10000/'数据-汇总表'!E3,B2*10000/D3),0)</f>
        <v>#DIV/0!</v>
      </c>
      <c r="C3" s="247" t="s">
        <v>2747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2647</v>
      </c>
      <c r="B4" s="402"/>
      <c r="C4" s="3236" t="s">
        <v>2648</v>
      </c>
      <c r="D4" s="3237"/>
      <c r="E4" s="3238" t="s">
        <v>2649</v>
      </c>
      <c r="F4" s="3239"/>
      <c r="G4" s="3236" t="s">
        <v>2650</v>
      </c>
      <c r="H4" s="3237"/>
      <c r="I4" s="3236" t="s">
        <v>2651</v>
      </c>
      <c r="J4" s="3237"/>
      <c r="K4" s="610" t="s">
        <v>2652</v>
      </c>
      <c r="L4" s="1129"/>
      <c r="M4" s="1130"/>
      <c r="N4" s="1130"/>
      <c r="O4" s="1130"/>
      <c r="P4" s="3240" t="s">
        <v>2653</v>
      </c>
      <c r="Q4" s="3241"/>
      <c r="R4" s="3223" t="s">
        <v>2649</v>
      </c>
      <c r="S4" s="3224"/>
      <c r="T4" s="3223" t="s">
        <v>2650</v>
      </c>
      <c r="U4" s="3224"/>
      <c r="V4" s="3248" t="s">
        <v>2651</v>
      </c>
      <c r="W4" s="3248"/>
      <c r="X4" s="1811"/>
      <c r="Y4" s="3223" t="s">
        <v>2653</v>
      </c>
      <c r="Z4" s="3224"/>
      <c r="AA4" s="3218" t="s">
        <v>2649</v>
      </c>
      <c r="AB4" s="3219" t="s">
        <v>2650</v>
      </c>
      <c r="AC4" s="3218" t="s">
        <v>2651</v>
      </c>
    </row>
    <row r="5" spans="1:29" ht="15">
      <c r="A5" s="404"/>
      <c r="B5" s="405"/>
      <c r="C5" s="3229" t="s">
        <v>2544</v>
      </c>
      <c r="D5" s="3230"/>
      <c r="E5" s="3227" t="s">
        <v>2545</v>
      </c>
      <c r="F5" s="3228"/>
      <c r="G5" s="3229" t="s">
        <v>2546</v>
      </c>
      <c r="H5" s="3230"/>
      <c r="I5" s="3229" t="s">
        <v>2547</v>
      </c>
      <c r="J5" s="3230"/>
      <c r="K5" s="610"/>
      <c r="L5" s="1129"/>
      <c r="M5" s="1130"/>
      <c r="N5" s="1130"/>
      <c r="O5" s="1130"/>
      <c r="P5" s="3242"/>
      <c r="Q5" s="3243"/>
      <c r="R5" s="3225"/>
      <c r="S5" s="3226"/>
      <c r="T5" s="3225"/>
      <c r="U5" s="3226"/>
      <c r="V5" s="3248"/>
      <c r="W5" s="3248"/>
      <c r="X5" s="1811"/>
      <c r="Y5" s="3225"/>
      <c r="Z5" s="3226"/>
      <c r="AA5" s="3219"/>
      <c r="AB5" s="3219"/>
      <c r="AC5" s="3219"/>
    </row>
    <row r="6" spans="1:29" ht="15.75" thickBot="1">
      <c r="A6" s="406"/>
      <c r="B6" s="407"/>
      <c r="C6" s="3337" t="s">
        <v>2797</v>
      </c>
      <c r="D6" s="3338"/>
      <c r="E6" s="3339" t="s">
        <v>2797</v>
      </c>
      <c r="F6" s="3340"/>
      <c r="G6" s="3337" t="s">
        <v>2797</v>
      </c>
      <c r="H6" s="3338"/>
      <c r="I6" s="3337" t="s">
        <v>2797</v>
      </c>
      <c r="J6" s="3338"/>
      <c r="K6" s="610" t="s">
        <v>2549</v>
      </c>
      <c r="L6" s="1129"/>
      <c r="M6" s="1130"/>
      <c r="N6" s="1130"/>
      <c r="O6" s="1130"/>
      <c r="P6" s="3244"/>
      <c r="Q6" s="3245"/>
      <c r="R6" s="3225"/>
      <c r="S6" s="3226"/>
      <c r="T6" s="3246"/>
      <c r="U6" s="3247"/>
      <c r="V6" s="3248"/>
      <c r="W6" s="3248"/>
      <c r="X6" s="1811"/>
      <c r="Y6" s="3246"/>
      <c r="Z6" s="3247"/>
      <c r="AA6" s="3220"/>
      <c r="AB6" s="3220"/>
      <c r="AC6" s="3220"/>
    </row>
    <row r="7" spans="1:29" s="117" customFormat="1" ht="15.75" thickBot="1">
      <c r="A7" s="408" t="s">
        <v>2550</v>
      </c>
      <c r="B7" s="409"/>
      <c r="C7" s="410">
        <f>'数据-取费表'!B2</f>
        <v>43228</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21" t="s">
        <v>2551</v>
      </c>
      <c r="Q7" s="3249"/>
      <c r="R7" s="769" t="s">
        <v>17</v>
      </c>
      <c r="S7" s="770">
        <f t="shared" ref="S7:S15" si="0">F7</f>
        <v>0</v>
      </c>
      <c r="T7" s="769" t="s">
        <v>17</v>
      </c>
      <c r="U7" s="770">
        <f t="shared" ref="U7:U15" si="1">H7</f>
        <v>0</v>
      </c>
      <c r="V7" s="769" t="s">
        <v>17</v>
      </c>
      <c r="W7" s="770">
        <f t="shared" ref="W7:W15" si="2">J7</f>
        <v>0</v>
      </c>
      <c r="X7" s="771"/>
      <c r="Y7" s="3221" t="s">
        <v>2551</v>
      </c>
      <c r="Z7" s="3222"/>
      <c r="AA7" s="772" t="e">
        <f>D7/F7</f>
        <v>#DIV/0!</v>
      </c>
      <c r="AB7" s="772" t="e">
        <f>D7/H7</f>
        <v>#DIV/0!</v>
      </c>
      <c r="AC7" s="772"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1" t="s">
        <v>2554</v>
      </c>
      <c r="Q8" s="3222"/>
      <c r="R8" s="769" t="s">
        <v>17</v>
      </c>
      <c r="S8" s="770">
        <f t="shared" si="0"/>
        <v>0</v>
      </c>
      <c r="T8" s="769" t="s">
        <v>17</v>
      </c>
      <c r="U8" s="770">
        <f t="shared" si="1"/>
        <v>0</v>
      </c>
      <c r="V8" s="769" t="s">
        <v>17</v>
      </c>
      <c r="W8" s="770">
        <f t="shared" si="2"/>
        <v>0</v>
      </c>
      <c r="X8" s="771"/>
      <c r="Y8" s="3221" t="s">
        <v>2554</v>
      </c>
      <c r="Z8" s="3222"/>
      <c r="AA8" s="772" t="e">
        <f t="shared" ref="AA8:AA40" si="3">D8/F8</f>
        <v>#DIV/0!</v>
      </c>
      <c r="AB8" s="772" t="e">
        <f t="shared" ref="AB8:AB40" si="4">D8/H8</f>
        <v>#DIV/0!</v>
      </c>
      <c r="AC8" s="772"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235" t="s">
        <v>2557</v>
      </c>
      <c r="Q9" s="1793" t="str">
        <f t="shared" ref="Q9:Q15" si="6">B9</f>
        <v>用途</v>
      </c>
      <c r="R9" s="769" t="s">
        <v>17</v>
      </c>
      <c r="S9" s="770">
        <f t="shared" si="0"/>
        <v>100</v>
      </c>
      <c r="T9" s="769" t="s">
        <v>17</v>
      </c>
      <c r="U9" s="770">
        <f t="shared" si="1"/>
        <v>100</v>
      </c>
      <c r="V9" s="769" t="s">
        <v>17</v>
      </c>
      <c r="W9" s="770">
        <f t="shared" si="2"/>
        <v>100</v>
      </c>
      <c r="X9" s="771"/>
      <c r="Y9" s="3095" t="s">
        <v>2558</v>
      </c>
      <c r="Z9" s="55" t="str">
        <f t="shared" ref="Z9:Z15" si="7">Q9</f>
        <v>用途</v>
      </c>
      <c r="AA9" s="772">
        <f t="shared" si="3"/>
        <v>1</v>
      </c>
      <c r="AB9" s="772">
        <f t="shared" si="4"/>
        <v>1</v>
      </c>
      <c r="AC9" s="772">
        <f t="shared" si="5"/>
        <v>1</v>
      </c>
    </row>
    <row r="10" spans="1:29" s="427" customFormat="1" ht="27">
      <c r="A10" s="421"/>
      <c r="B10" s="422" t="s">
        <v>2559</v>
      </c>
      <c r="C10" s="432"/>
      <c r="D10" s="136">
        <v>100</v>
      </c>
      <c r="E10" s="432"/>
      <c r="F10" s="136">
        <f>ROUND(100/'数据-取费表'!G16,0)</f>
        <v>114</v>
      </c>
      <c r="G10" s="432"/>
      <c r="H10" s="136">
        <f>ROUND(100/'数据-取费表'!G16,0)</f>
        <v>114</v>
      </c>
      <c r="I10" s="432"/>
      <c r="J10" s="136">
        <f>ROUND(100/'数据-取费表'!G16,0)</f>
        <v>114</v>
      </c>
      <c r="K10" s="671"/>
      <c r="L10" s="1134"/>
      <c r="M10" s="1135"/>
      <c r="N10" s="1135"/>
      <c r="O10" s="1136"/>
      <c r="P10" s="3235"/>
      <c r="Q10" s="1793" t="str">
        <f t="shared" si="6"/>
        <v>土地使用年限（年）</v>
      </c>
      <c r="R10" s="769" t="s">
        <v>17</v>
      </c>
      <c r="S10" s="770">
        <f t="shared" si="0"/>
        <v>114</v>
      </c>
      <c r="T10" s="769" t="s">
        <v>17</v>
      </c>
      <c r="U10" s="770">
        <f t="shared" si="1"/>
        <v>114</v>
      </c>
      <c r="V10" s="769" t="s">
        <v>17</v>
      </c>
      <c r="W10" s="770">
        <f t="shared" si="2"/>
        <v>114</v>
      </c>
      <c r="X10" s="771"/>
      <c r="Y10" s="3095"/>
      <c r="Z10" s="55" t="str">
        <f t="shared" si="7"/>
        <v>土地使用年限（年）</v>
      </c>
      <c r="AA10" s="772">
        <f t="shared" si="3"/>
        <v>0.8771929824561403</v>
      </c>
      <c r="AB10" s="772">
        <f t="shared" si="4"/>
        <v>0.8771929824561403</v>
      </c>
      <c r="AC10" s="772">
        <f t="shared" si="5"/>
        <v>0.8771929824561403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235"/>
      <c r="Q11" s="1793"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235"/>
      <c r="Q12" s="1793">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235"/>
      <c r="Q13" s="1793">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235"/>
      <c r="Q14" s="1793">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2561</v>
      </c>
      <c r="B15" s="628" t="s">
        <v>2798</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250" t="s">
        <v>2562</v>
      </c>
      <c r="Q15" s="1808" t="str">
        <f t="shared" si="6"/>
        <v>产业集聚程度</v>
      </c>
      <c r="R15" s="773" t="s">
        <v>17</v>
      </c>
      <c r="S15" s="774">
        <f t="shared" si="0"/>
        <v>100</v>
      </c>
      <c r="T15" s="773" t="s">
        <v>17</v>
      </c>
      <c r="U15" s="774">
        <f t="shared" si="1"/>
        <v>100</v>
      </c>
      <c r="V15" s="773" t="s">
        <v>17</v>
      </c>
      <c r="W15" s="774">
        <f t="shared" si="2"/>
        <v>100</v>
      </c>
      <c r="X15" s="1811"/>
      <c r="Y15" s="3250" t="s">
        <v>2562</v>
      </c>
      <c r="Z15" s="1812" t="str">
        <f t="shared" si="7"/>
        <v>产业集聚程度</v>
      </c>
      <c r="AA15" s="1809">
        <f t="shared" si="3"/>
        <v>1</v>
      </c>
      <c r="AB15" s="1809">
        <f t="shared" si="4"/>
        <v>1</v>
      </c>
      <c r="AC15" s="1809">
        <f t="shared" si="5"/>
        <v>1</v>
      </c>
    </row>
    <row r="16" spans="1:29" ht="15">
      <c r="A16" s="428"/>
      <c r="B16" s="629"/>
      <c r="C16" s="447"/>
      <c r="D16" s="448"/>
      <c r="E16" s="2608"/>
      <c r="F16" s="448"/>
      <c r="G16" s="2608"/>
      <c r="H16" s="450"/>
      <c r="I16" s="2608"/>
      <c r="J16" s="448"/>
      <c r="K16" s="671"/>
      <c r="L16" s="1139"/>
      <c r="M16" s="1130"/>
      <c r="N16" s="1130"/>
      <c r="O16" s="1138"/>
      <c r="P16" s="3251"/>
      <c r="Q16" s="1808"/>
      <c r="R16" s="773"/>
      <c r="S16" s="774"/>
      <c r="T16" s="773"/>
      <c r="U16" s="774"/>
      <c r="V16" s="773"/>
      <c r="W16" s="774"/>
      <c r="X16" s="1811"/>
      <c r="Y16" s="3251"/>
      <c r="Z16" s="1812"/>
      <c r="AA16" s="1809">
        <v>1</v>
      </c>
      <c r="AB16" s="1809">
        <v>1</v>
      </c>
      <c r="AC16" s="1809">
        <v>1</v>
      </c>
    </row>
    <row r="17" spans="1:29" ht="85.5">
      <c r="A17" s="428"/>
      <c r="B17" s="630" t="s">
        <v>2710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631"/>
      <c r="C18" s="447"/>
      <c r="D18" s="448"/>
      <c r="E18" s="2602"/>
      <c r="F18" s="448"/>
      <c r="G18" s="2602"/>
      <c r="H18" s="448"/>
      <c r="I18" s="2601"/>
      <c r="J18" s="448"/>
      <c r="K18" s="671"/>
      <c r="L18" s="1139"/>
      <c r="M18" s="1130"/>
      <c r="N18" s="1130"/>
      <c r="O18" s="1138"/>
      <c r="P18" s="3251"/>
      <c r="Q18" s="1808"/>
      <c r="R18" s="773"/>
      <c r="S18" s="774"/>
      <c r="T18" s="773"/>
      <c r="U18" s="774"/>
      <c r="V18" s="773"/>
      <c r="W18" s="774"/>
      <c r="X18" s="1811"/>
      <c r="Y18" s="3251"/>
      <c r="Z18" s="1812"/>
      <c r="AA18" s="1809">
        <v>1</v>
      </c>
      <c r="AB18" s="1809">
        <v>1</v>
      </c>
      <c r="AC18" s="1809">
        <v>1</v>
      </c>
    </row>
    <row r="19" spans="1:29" ht="15">
      <c r="A19" s="428"/>
      <c r="B19" s="630" t="s">
        <v>2748</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251"/>
      <c r="Q19" s="1808" t="str">
        <f t="shared" ref="Q19:Q33" si="8">B19</f>
        <v>区域土地利用方向</v>
      </c>
      <c r="R19" s="773" t="s">
        <v>17</v>
      </c>
      <c r="S19" s="774">
        <f>F19</f>
        <v>100</v>
      </c>
      <c r="T19" s="773" t="s">
        <v>17</v>
      </c>
      <c r="U19" s="774">
        <f>H19</f>
        <v>100</v>
      </c>
      <c r="V19" s="773" t="s">
        <v>17</v>
      </c>
      <c r="W19" s="774">
        <f>J19</f>
        <v>100</v>
      </c>
      <c r="X19" s="1811"/>
      <c r="Y19" s="3251"/>
      <c r="Z19" s="1812" t="str">
        <f>Q19</f>
        <v>区域土地利用方向</v>
      </c>
      <c r="AA19" s="1809">
        <f t="shared" si="3"/>
        <v>1</v>
      </c>
      <c r="AB19" s="1809">
        <f t="shared" si="4"/>
        <v>1</v>
      </c>
      <c r="AC19" s="1809">
        <f t="shared" si="5"/>
        <v>1</v>
      </c>
    </row>
    <row r="20" spans="1:29" ht="15">
      <c r="A20" s="404"/>
      <c r="B20" s="631"/>
      <c r="C20" s="447"/>
      <c r="D20" s="448"/>
      <c r="E20" s="2602"/>
      <c r="F20" s="448"/>
      <c r="G20" s="2602"/>
      <c r="H20" s="448"/>
      <c r="I20" s="2602"/>
      <c r="J20" s="448"/>
      <c r="K20" s="808"/>
      <c r="L20" s="1139"/>
      <c r="M20" s="1130"/>
      <c r="N20" s="1130"/>
      <c r="O20" s="1138"/>
      <c r="P20" s="3251"/>
      <c r="Q20" s="1808"/>
      <c r="R20" s="773"/>
      <c r="S20" s="774"/>
      <c r="T20" s="773"/>
      <c r="U20" s="774"/>
      <c r="V20" s="773"/>
      <c r="W20" s="774"/>
      <c r="X20" s="1811"/>
      <c r="Y20" s="3251"/>
      <c r="Z20" s="1812"/>
      <c r="AA20" s="1809"/>
      <c r="AB20" s="1809"/>
      <c r="AC20" s="1809"/>
    </row>
    <row r="21" spans="1:29" ht="71.25">
      <c r="A21" s="404"/>
      <c r="B21" s="630" t="s">
        <v>2799</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251"/>
      <c r="Q21" s="1808" t="str">
        <f t="shared" si="8"/>
        <v>环境状况</v>
      </c>
      <c r="R21" s="773" t="s">
        <v>17</v>
      </c>
      <c r="S21" s="774">
        <f>F21</f>
        <v>100</v>
      </c>
      <c r="T21" s="773" t="s">
        <v>17</v>
      </c>
      <c r="U21" s="774">
        <f>H21</f>
        <v>100</v>
      </c>
      <c r="V21" s="773" t="s">
        <v>17</v>
      </c>
      <c r="W21" s="774">
        <f>J21</f>
        <v>100</v>
      </c>
      <c r="X21" s="1811"/>
      <c r="Y21" s="3251"/>
      <c r="Z21" s="1812" t="str">
        <f>Q21</f>
        <v>环境状况</v>
      </c>
      <c r="AA21" s="1809">
        <f t="shared" si="3"/>
        <v>1</v>
      </c>
      <c r="AB21" s="1809">
        <f t="shared" si="4"/>
        <v>1</v>
      </c>
      <c r="AC21" s="1809">
        <f t="shared" si="5"/>
        <v>1</v>
      </c>
    </row>
    <row r="22" spans="1:29" ht="15">
      <c r="A22" s="404"/>
      <c r="B22" s="631"/>
      <c r="C22" s="447"/>
      <c r="D22" s="448"/>
      <c r="E22" s="2608"/>
      <c r="F22" s="448"/>
      <c r="G22" s="2608"/>
      <c r="H22" s="448"/>
      <c r="I22" s="447"/>
      <c r="J22" s="448"/>
      <c r="K22" s="671"/>
      <c r="L22" s="1139"/>
      <c r="M22" s="1130"/>
      <c r="N22" s="1130"/>
      <c r="O22" s="1138"/>
      <c r="P22" s="3251"/>
      <c r="Q22" s="1808"/>
      <c r="R22" s="773"/>
      <c r="S22" s="774"/>
      <c r="T22" s="773"/>
      <c r="U22" s="774"/>
      <c r="V22" s="773"/>
      <c r="W22" s="774"/>
      <c r="X22" s="1811"/>
      <c r="Y22" s="3251"/>
      <c r="Z22" s="1812"/>
      <c r="AA22" s="1809">
        <v>1</v>
      </c>
      <c r="AB22" s="1809">
        <v>1</v>
      </c>
      <c r="AC22" s="1809">
        <v>1</v>
      </c>
    </row>
    <row r="23" spans="1:29" s="117" customFormat="1" ht="42.75">
      <c r="A23" s="648"/>
      <c r="B23" s="632"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251"/>
      <c r="Q23" s="1793" t="str">
        <f t="shared" si="8"/>
        <v>公共配套设施</v>
      </c>
      <c r="R23" s="769" t="s">
        <v>17</v>
      </c>
      <c r="S23" s="770">
        <f>F23</f>
        <v>100</v>
      </c>
      <c r="T23" s="769" t="s">
        <v>17</v>
      </c>
      <c r="U23" s="770">
        <f>H23</f>
        <v>100</v>
      </c>
      <c r="V23" s="769" t="s">
        <v>17</v>
      </c>
      <c r="W23" s="770">
        <f>J23</f>
        <v>100</v>
      </c>
      <c r="X23" s="771"/>
      <c r="Y23" s="3251"/>
      <c r="Z23" s="55" t="str">
        <f>Q23</f>
        <v>公共配套设施</v>
      </c>
      <c r="AA23" s="1809">
        <f>D23/F23</f>
        <v>1</v>
      </c>
      <c r="AB23" s="1809">
        <f>D23/H23</f>
        <v>1</v>
      </c>
      <c r="AC23" s="1809">
        <f>D23/J23</f>
        <v>1</v>
      </c>
    </row>
    <row r="24" spans="1:29" s="117" customFormat="1" ht="15">
      <c r="A24" s="648"/>
      <c r="B24" s="631"/>
      <c r="C24" s="2697"/>
      <c r="D24" s="448"/>
      <c r="E24" s="2608"/>
      <c r="F24" s="448"/>
      <c r="G24" s="2608"/>
      <c r="H24" s="448"/>
      <c r="I24" s="447"/>
      <c r="J24" s="448"/>
      <c r="K24" s="671"/>
      <c r="L24" s="1131"/>
      <c r="M24" s="1132"/>
      <c r="N24" s="1132"/>
      <c r="O24" s="1133"/>
      <c r="P24" s="3251"/>
      <c r="Q24" s="1793"/>
      <c r="R24" s="769"/>
      <c r="S24" s="770"/>
      <c r="T24" s="769"/>
      <c r="U24" s="770"/>
      <c r="V24" s="769"/>
      <c r="W24" s="770"/>
      <c r="X24" s="771"/>
      <c r="Y24" s="3251"/>
      <c r="Z24" s="55"/>
      <c r="AA24" s="772">
        <v>1</v>
      </c>
      <c r="AB24" s="772">
        <v>1</v>
      </c>
      <c r="AC24" s="772">
        <v>1</v>
      </c>
    </row>
    <row r="25" spans="1:29" s="117" customFormat="1" ht="28.5">
      <c r="A25" s="648"/>
      <c r="B25" s="632"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251"/>
      <c r="Q25" s="1793" t="str">
        <f t="shared" ref="Q25" si="9">B25</f>
        <v>基础设施水平</v>
      </c>
      <c r="R25" s="769" t="s">
        <v>17</v>
      </c>
      <c r="S25" s="770">
        <f>F25</f>
        <v>100</v>
      </c>
      <c r="T25" s="769" t="s">
        <v>17</v>
      </c>
      <c r="U25" s="770">
        <f>H25</f>
        <v>100</v>
      </c>
      <c r="V25" s="769" t="s">
        <v>17</v>
      </c>
      <c r="W25" s="770">
        <f>J25</f>
        <v>100</v>
      </c>
      <c r="X25" s="771"/>
      <c r="Y25" s="3251"/>
      <c r="Z25" s="55" t="str">
        <f>Q25</f>
        <v>基础设施水平</v>
      </c>
      <c r="AA25" s="1809">
        <f>D25/F25</f>
        <v>1</v>
      </c>
      <c r="AB25" s="1809">
        <f>D25/H25</f>
        <v>1</v>
      </c>
      <c r="AC25" s="1809">
        <f>D25/J25</f>
        <v>1</v>
      </c>
    </row>
    <row r="26" spans="1:29" s="117" customFormat="1" ht="15">
      <c r="A26" s="648"/>
      <c r="B26" s="631"/>
      <c r="C26" s="2697"/>
      <c r="D26" s="448"/>
      <c r="E26" s="2698"/>
      <c r="F26" s="448"/>
      <c r="G26" s="2698"/>
      <c r="H26" s="448"/>
      <c r="I26" s="2698"/>
      <c r="J26" s="448"/>
      <c r="K26" s="671"/>
      <c r="L26" s="1131"/>
      <c r="M26" s="1132"/>
      <c r="N26" s="1132"/>
      <c r="O26" s="1133"/>
      <c r="P26" s="3251"/>
      <c r="Q26" s="1793"/>
      <c r="R26" s="769"/>
      <c r="S26" s="770"/>
      <c r="T26" s="769"/>
      <c r="U26" s="770"/>
      <c r="V26" s="769"/>
      <c r="W26" s="770"/>
      <c r="X26" s="771"/>
      <c r="Y26" s="3251"/>
      <c r="Z26" s="55"/>
      <c r="AA26" s="772">
        <v>1</v>
      </c>
      <c r="AB26" s="772">
        <v>1</v>
      </c>
      <c r="AC26" s="772">
        <v>1</v>
      </c>
    </row>
    <row r="27" spans="1:29" ht="15">
      <c r="A27" s="428"/>
      <c r="B27" s="631" t="s">
        <v>2658</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25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1"/>
      <c r="Z27" s="1812" t="str">
        <f t="shared" ref="Z27:Z40" si="13">Q27</f>
        <v>临街状况</v>
      </c>
      <c r="AA27" s="1809">
        <f t="shared" si="3"/>
        <v>1</v>
      </c>
      <c r="AB27" s="1809">
        <f t="shared" si="4"/>
        <v>1</v>
      </c>
      <c r="AC27" s="1809">
        <f t="shared" si="5"/>
        <v>1</v>
      </c>
    </row>
    <row r="28" spans="1:29" ht="27">
      <c r="A28" s="428"/>
      <c r="B28" s="632" t="s">
        <v>2692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251"/>
      <c r="Q28" s="1808" t="str">
        <f t="shared" si="8"/>
        <v>毗邻道路的类型与等级</v>
      </c>
      <c r="R28" s="773" t="s">
        <v>17</v>
      </c>
      <c r="S28" s="774">
        <f t="shared" si="10"/>
        <v>100</v>
      </c>
      <c r="T28" s="773" t="s">
        <v>17</v>
      </c>
      <c r="U28" s="774">
        <f t="shared" si="11"/>
        <v>100</v>
      </c>
      <c r="V28" s="773" t="s">
        <v>17</v>
      </c>
      <c r="W28" s="774">
        <f t="shared" si="12"/>
        <v>100</v>
      </c>
      <c r="X28" s="1811"/>
      <c r="Y28" s="3251"/>
      <c r="Z28" s="1812" t="str">
        <f t="shared" si="13"/>
        <v>毗邻道路的类型与等级</v>
      </c>
      <c r="AA28" s="1809">
        <f t="shared" si="3"/>
        <v>1</v>
      </c>
      <c r="AB28" s="1809">
        <f t="shared" si="4"/>
        <v>1</v>
      </c>
      <c r="AC28" s="1809">
        <f t="shared" si="5"/>
        <v>1</v>
      </c>
    </row>
    <row r="29" spans="1:29" ht="15">
      <c r="A29" s="428"/>
      <c r="B29" s="631"/>
      <c r="C29" s="447"/>
      <c r="D29" s="448"/>
      <c r="E29" s="2608"/>
      <c r="F29" s="448"/>
      <c r="G29" s="2608"/>
      <c r="H29" s="448"/>
      <c r="I29" s="2608"/>
      <c r="J29" s="448"/>
      <c r="K29" s="613"/>
      <c r="L29" s="1139"/>
      <c r="M29" s="1130"/>
      <c r="N29" s="1130"/>
      <c r="O29" s="1138"/>
      <c r="P29" s="3251"/>
      <c r="Q29" s="1808"/>
      <c r="R29" s="773"/>
      <c r="S29" s="774"/>
      <c r="T29" s="773"/>
      <c r="U29" s="774"/>
      <c r="V29" s="773"/>
      <c r="W29" s="774"/>
      <c r="X29" s="1811"/>
      <c r="Y29" s="3251"/>
      <c r="Z29" s="1812"/>
      <c r="AA29" s="1809">
        <v>1</v>
      </c>
      <c r="AB29" s="1809">
        <v>1</v>
      </c>
      <c r="AC29" s="1809">
        <v>1</v>
      </c>
    </row>
    <row r="30" spans="1:29" ht="15">
      <c r="A30" s="428"/>
      <c r="B30" s="653" t="s">
        <v>2750</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251"/>
      <c r="Q30" s="1808" t="str">
        <f t="shared" si="8"/>
        <v>土地级别</v>
      </c>
      <c r="R30" s="773" t="s">
        <v>17</v>
      </c>
      <c r="S30" s="774">
        <f t="shared" si="10"/>
        <v>100</v>
      </c>
      <c r="T30" s="773" t="s">
        <v>17</v>
      </c>
      <c r="U30" s="774">
        <f t="shared" si="11"/>
        <v>100</v>
      </c>
      <c r="V30" s="773" t="s">
        <v>17</v>
      </c>
      <c r="W30" s="774">
        <f t="shared" si="12"/>
        <v>100</v>
      </c>
      <c r="X30" s="1811"/>
      <c r="Y30" s="3251"/>
      <c r="Z30" s="1812" t="str">
        <f t="shared" si="13"/>
        <v>土地级别</v>
      </c>
      <c r="AA30" s="1809">
        <f t="shared" si="3"/>
        <v>1</v>
      </c>
      <c r="AB30" s="1809">
        <f t="shared" si="4"/>
        <v>1</v>
      </c>
      <c r="AC30" s="1809">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1"/>
      <c r="Q31" s="1808">
        <f t="shared" si="8"/>
        <v>111</v>
      </c>
      <c r="R31" s="773" t="s">
        <v>17</v>
      </c>
      <c r="S31" s="774">
        <f t="shared" si="10"/>
        <v>100</v>
      </c>
      <c r="T31" s="773" t="s">
        <v>17</v>
      </c>
      <c r="U31" s="774">
        <f t="shared" si="11"/>
        <v>100</v>
      </c>
      <c r="V31" s="773" t="s">
        <v>17</v>
      </c>
      <c r="W31" s="774">
        <f t="shared" si="12"/>
        <v>100</v>
      </c>
      <c r="X31" s="1811"/>
      <c r="Y31" s="3251"/>
      <c r="Z31" s="1812">
        <f t="shared" si="13"/>
        <v>111</v>
      </c>
      <c r="AA31" s="1809">
        <f t="shared" si="3"/>
        <v>1</v>
      </c>
      <c r="AB31" s="1809">
        <f t="shared" si="4"/>
        <v>1</v>
      </c>
      <c r="AC31" s="1809">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52" t="s">
        <v>2567</v>
      </c>
      <c r="Q32" s="1808">
        <f t="shared" si="8"/>
        <v>111</v>
      </c>
      <c r="R32" s="773" t="s">
        <v>17</v>
      </c>
      <c r="S32" s="774">
        <f t="shared" si="10"/>
        <v>100</v>
      </c>
      <c r="T32" s="773" t="s">
        <v>17</v>
      </c>
      <c r="U32" s="774">
        <f t="shared" si="11"/>
        <v>100</v>
      </c>
      <c r="V32" s="773" t="s">
        <v>17</v>
      </c>
      <c r="W32" s="774">
        <f t="shared" si="12"/>
        <v>100</v>
      </c>
      <c r="X32" s="1811"/>
      <c r="Y32" s="3253" t="s">
        <v>2567</v>
      </c>
      <c r="Z32" s="1812">
        <f t="shared" si="13"/>
        <v>111</v>
      </c>
      <c r="AA32" s="1809">
        <f t="shared" si="3"/>
        <v>1</v>
      </c>
      <c r="AB32" s="1809">
        <f t="shared" si="4"/>
        <v>1</v>
      </c>
      <c r="AC32" s="1809">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53"/>
      <c r="Q33" s="1808">
        <f t="shared" si="8"/>
        <v>111</v>
      </c>
      <c r="R33" s="776" t="s">
        <v>17</v>
      </c>
      <c r="S33" s="777">
        <f t="shared" si="10"/>
        <v>100</v>
      </c>
      <c r="T33" s="776" t="s">
        <v>17</v>
      </c>
      <c r="U33" s="777">
        <f t="shared" si="11"/>
        <v>100</v>
      </c>
      <c r="V33" s="776" t="s">
        <v>17</v>
      </c>
      <c r="W33" s="777">
        <f t="shared" si="12"/>
        <v>100</v>
      </c>
      <c r="X33" s="778"/>
      <c r="Y33" s="3253"/>
      <c r="Z33" s="779">
        <f t="shared" si="13"/>
        <v>111</v>
      </c>
      <c r="AA33" s="1809">
        <f t="shared" si="3"/>
        <v>1</v>
      </c>
      <c r="AB33" s="1809">
        <f t="shared" si="4"/>
        <v>1</v>
      </c>
      <c r="AC33" s="1809">
        <f t="shared" si="5"/>
        <v>1</v>
      </c>
    </row>
    <row r="34" spans="1:29" ht="15">
      <c r="A34" s="440" t="s">
        <v>2565</v>
      </c>
      <c r="B34" s="456" t="s">
        <v>2751</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53"/>
      <c r="Q34" s="1808" t="str">
        <f>B34</f>
        <v>宗地面积</v>
      </c>
      <c r="R34" s="773" t="s">
        <v>17</v>
      </c>
      <c r="S34" s="774" t="e">
        <f t="shared" si="10"/>
        <v>#N/A</v>
      </c>
      <c r="T34" s="773" t="s">
        <v>17</v>
      </c>
      <c r="U34" s="774" t="e">
        <f t="shared" si="11"/>
        <v>#N/A</v>
      </c>
      <c r="V34" s="773" t="s">
        <v>17</v>
      </c>
      <c r="W34" s="774" t="e">
        <f t="shared" si="12"/>
        <v>#N/A</v>
      </c>
      <c r="X34" s="1811"/>
      <c r="Y34" s="3253"/>
      <c r="Z34" s="1812" t="str">
        <f t="shared" si="13"/>
        <v>宗地面积</v>
      </c>
      <c r="AA34" s="1809" t="e">
        <f t="shared" si="3"/>
        <v>#N/A</v>
      </c>
      <c r="AB34" s="1809" t="e">
        <f t="shared" si="4"/>
        <v>#N/A</v>
      </c>
      <c r="AC34" s="1809" t="e">
        <f t="shared" si="5"/>
        <v>#N/A</v>
      </c>
    </row>
    <row r="35" spans="1:29" ht="15">
      <c r="A35" s="472"/>
      <c r="B35" s="422" t="s">
        <v>2752</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53"/>
      <c r="Q35" s="1808" t="str">
        <f t="shared" ref="Q35:Q40" si="14">B35</f>
        <v>宗地形状</v>
      </c>
      <c r="R35" s="773" t="s">
        <v>17</v>
      </c>
      <c r="S35" s="774">
        <f t="shared" si="10"/>
        <v>100</v>
      </c>
      <c r="T35" s="773" t="s">
        <v>17</v>
      </c>
      <c r="U35" s="774">
        <f t="shared" si="11"/>
        <v>100</v>
      </c>
      <c r="V35" s="773" t="s">
        <v>17</v>
      </c>
      <c r="W35" s="774">
        <f t="shared" si="12"/>
        <v>100</v>
      </c>
      <c r="X35" s="1811"/>
      <c r="Y35" s="3253"/>
      <c r="Z35" s="1812" t="str">
        <f t="shared" si="13"/>
        <v>宗地形状</v>
      </c>
      <c r="AA35" s="1809">
        <f t="shared" si="3"/>
        <v>1</v>
      </c>
      <c r="AB35" s="1809">
        <f t="shared" si="4"/>
        <v>1</v>
      </c>
      <c r="AC35" s="1809">
        <f t="shared" si="5"/>
        <v>1</v>
      </c>
    </row>
    <row r="36" spans="1:29" s="117" customFormat="1" ht="15">
      <c r="A36" s="473"/>
      <c r="B36" s="422" t="s">
        <v>2754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53"/>
      <c r="Q36" s="1808" t="str">
        <f t="shared" si="14"/>
        <v>宗地开发程度</v>
      </c>
      <c r="R36" s="769" t="s">
        <v>17</v>
      </c>
      <c r="S36" s="770">
        <f t="shared" si="10"/>
        <v>100</v>
      </c>
      <c r="T36" s="769" t="s">
        <v>17</v>
      </c>
      <c r="U36" s="770">
        <f t="shared" si="11"/>
        <v>100</v>
      </c>
      <c r="V36" s="769" t="s">
        <v>17</v>
      </c>
      <c r="W36" s="770">
        <f t="shared" si="12"/>
        <v>100</v>
      </c>
      <c r="X36" s="771"/>
      <c r="Y36" s="3253"/>
      <c r="Z36" s="55" t="str">
        <f t="shared" si="13"/>
        <v>宗地开发程度</v>
      </c>
      <c r="AA36" s="772">
        <f t="shared" si="3"/>
        <v>1</v>
      </c>
      <c r="AB36" s="772">
        <f t="shared" si="4"/>
        <v>1</v>
      </c>
      <c r="AC36" s="772">
        <f t="shared" si="5"/>
        <v>1</v>
      </c>
    </row>
    <row r="37" spans="1:29" ht="15">
      <c r="A37" s="472"/>
      <c r="B37" s="422" t="s">
        <v>2755</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53" t="s">
        <v>2567</v>
      </c>
      <c r="Q37" s="1808" t="str">
        <f t="shared" si="14"/>
        <v>工程地质条件</v>
      </c>
      <c r="R37" s="773" t="s">
        <v>17</v>
      </c>
      <c r="S37" s="774">
        <f t="shared" si="10"/>
        <v>100</v>
      </c>
      <c r="T37" s="773" t="s">
        <v>17</v>
      </c>
      <c r="U37" s="774">
        <f t="shared" si="11"/>
        <v>100</v>
      </c>
      <c r="V37" s="773" t="s">
        <v>17</v>
      </c>
      <c r="W37" s="774">
        <f t="shared" si="12"/>
        <v>100</v>
      </c>
      <c r="X37" s="1811"/>
      <c r="Y37" s="3253" t="s">
        <v>2567</v>
      </c>
      <c r="Z37" s="1812" t="str">
        <f t="shared" si="13"/>
        <v>工程地质条件</v>
      </c>
      <c r="AA37" s="1809">
        <f t="shared" si="3"/>
        <v>1</v>
      </c>
      <c r="AB37" s="1809">
        <f t="shared" si="4"/>
        <v>1</v>
      </c>
      <c r="AC37" s="1809">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53"/>
      <c r="Q38" s="1808">
        <f t="shared" si="14"/>
        <v>111</v>
      </c>
      <c r="R38" s="773" t="s">
        <v>17</v>
      </c>
      <c r="S38" s="774">
        <f t="shared" si="10"/>
        <v>100</v>
      </c>
      <c r="T38" s="773" t="s">
        <v>17</v>
      </c>
      <c r="U38" s="774">
        <f t="shared" si="11"/>
        <v>100</v>
      </c>
      <c r="V38" s="773" t="s">
        <v>17</v>
      </c>
      <c r="W38" s="774">
        <f t="shared" si="12"/>
        <v>100</v>
      </c>
      <c r="X38" s="1811"/>
      <c r="Y38" s="3253"/>
      <c r="Z38" s="1812">
        <f t="shared" si="13"/>
        <v>111</v>
      </c>
      <c r="AA38" s="1809">
        <f t="shared" si="3"/>
        <v>1</v>
      </c>
      <c r="AB38" s="1809">
        <f t="shared" si="4"/>
        <v>1</v>
      </c>
      <c r="AC38" s="1809">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53"/>
      <c r="Q39" s="1808">
        <f t="shared" si="14"/>
        <v>111</v>
      </c>
      <c r="R39" s="773" t="s">
        <v>17</v>
      </c>
      <c r="S39" s="774">
        <f t="shared" si="10"/>
        <v>100</v>
      </c>
      <c r="T39" s="773" t="s">
        <v>17</v>
      </c>
      <c r="U39" s="774">
        <f t="shared" si="11"/>
        <v>100</v>
      </c>
      <c r="V39" s="773" t="s">
        <v>17</v>
      </c>
      <c r="W39" s="774">
        <f t="shared" si="12"/>
        <v>100</v>
      </c>
      <c r="X39" s="1811"/>
      <c r="Y39" s="3253"/>
      <c r="Z39" s="1812">
        <f t="shared" si="13"/>
        <v>111</v>
      </c>
      <c r="AA39" s="1809">
        <f t="shared" si="3"/>
        <v>1</v>
      </c>
      <c r="AB39" s="1809">
        <f t="shared" si="4"/>
        <v>1</v>
      </c>
      <c r="AC39" s="1809">
        <f t="shared" si="5"/>
        <v>1</v>
      </c>
    </row>
    <row r="40" spans="1:29" s="471" customFormat="1" ht="15.75" thickBot="1">
      <c r="A40" s="468"/>
      <c r="B40" s="1386">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53"/>
      <c r="Q40" s="1808">
        <f t="shared" si="14"/>
        <v>111</v>
      </c>
      <c r="R40" s="776" t="s">
        <v>17</v>
      </c>
      <c r="S40" s="777">
        <f t="shared" si="10"/>
        <v>100</v>
      </c>
      <c r="T40" s="776" t="s">
        <v>17</v>
      </c>
      <c r="U40" s="777">
        <f t="shared" si="11"/>
        <v>100</v>
      </c>
      <c r="V40" s="776" t="s">
        <v>17</v>
      </c>
      <c r="W40" s="777">
        <f t="shared" si="12"/>
        <v>100</v>
      </c>
      <c r="X40" s="778"/>
      <c r="Y40" s="3253"/>
      <c r="Z40" s="779">
        <f t="shared" si="13"/>
        <v>111</v>
      </c>
      <c r="AA40" s="1809">
        <f t="shared" si="3"/>
        <v>1</v>
      </c>
      <c r="AB40" s="1809">
        <f t="shared" si="4"/>
        <v>1</v>
      </c>
      <c r="AC40" s="1809">
        <f t="shared" si="5"/>
        <v>1</v>
      </c>
    </row>
    <row r="41" spans="1:29" ht="15">
      <c r="A41" s="479" t="s">
        <v>2721</v>
      </c>
      <c r="B41" s="2701" t="s">
        <v>2800</v>
      </c>
      <c r="C41" s="681" t="s">
        <v>1</v>
      </c>
      <c r="D41" s="481"/>
      <c r="E41" s="482"/>
      <c r="F41" s="483"/>
      <c r="G41" s="484"/>
      <c r="H41" s="485"/>
      <c r="I41" s="482"/>
      <c r="J41" s="485"/>
      <c r="K41" s="782"/>
      <c r="L41" s="1142"/>
      <c r="M41" s="1130"/>
      <c r="N41" s="1130"/>
      <c r="O41" s="1143"/>
      <c r="P41" s="3235" t="str">
        <f>A41</f>
        <v>成交单价</v>
      </c>
      <c r="Q41" s="3235"/>
      <c r="R41" s="3248">
        <f>E41</f>
        <v>0</v>
      </c>
      <c r="S41" s="3248"/>
      <c r="T41" s="3248">
        <f>G41</f>
        <v>0</v>
      </c>
      <c r="U41" s="3248"/>
      <c r="V41" s="3248">
        <f>I41</f>
        <v>0</v>
      </c>
      <c r="W41" s="3248"/>
      <c r="X41" s="758"/>
      <c r="Y41" s="780"/>
      <c r="Z41" s="758"/>
      <c r="AA41" s="758"/>
      <c r="AB41" s="758"/>
      <c r="AC41" s="758"/>
    </row>
    <row r="42" spans="1:29" ht="15.75" thickBot="1">
      <c r="A42" s="486" t="s">
        <v>2670</v>
      </c>
      <c r="B42" s="682"/>
      <c r="C42" s="490" t="e">
        <f>R43</f>
        <v>#DIV/0!</v>
      </c>
      <c r="D42" s="489"/>
      <c r="E42" s="490" t="e">
        <f>R42</f>
        <v>#DIV/0!</v>
      </c>
      <c r="F42" s="491"/>
      <c r="G42" s="488" t="e">
        <f>T42</f>
        <v>#DIV/0!</v>
      </c>
      <c r="H42" s="489"/>
      <c r="I42" s="490" t="e">
        <f>V42</f>
        <v>#DIV/0!</v>
      </c>
      <c r="J42" s="489"/>
      <c r="K42" s="783"/>
      <c r="L42" s="1142"/>
      <c r="M42" s="1130"/>
      <c r="N42" s="1130"/>
      <c r="O42" s="1143"/>
      <c r="P42" s="3235" t="str">
        <f>A42</f>
        <v>比较价值（元/平方米）</v>
      </c>
      <c r="Q42" s="3235"/>
      <c r="R42" s="3254" t="e">
        <f>ROUND(PRODUCT(R41,AA7:AA40),0)</f>
        <v>#DIV/0!</v>
      </c>
      <c r="S42" s="3254"/>
      <c r="T42" s="3254" t="e">
        <f>ROUND(PRODUCT(T41,AB7:AB40),0)</f>
        <v>#DIV/0!</v>
      </c>
      <c r="U42" s="3254"/>
      <c r="V42" s="3254" t="e">
        <f>ROUND(PRODUCT(V41,AC7:AC40),0)</f>
        <v>#DIV/0!</v>
      </c>
      <c r="W42" s="3254"/>
      <c r="X42" s="758"/>
      <c r="Y42" s="758"/>
      <c r="Z42" s="758"/>
      <c r="AA42" s="758"/>
      <c r="AB42" s="758"/>
      <c r="AC42" s="758"/>
    </row>
    <row r="43" spans="1:29" ht="15.75" thickBot="1">
      <c r="A43" s="492" t="s">
        <v>2671</v>
      </c>
      <c r="B43" s="493"/>
      <c r="C43" s="494" t="e">
        <f>R43</f>
        <v>#DIV/0!</v>
      </c>
      <c r="D43" s="494"/>
      <c r="E43" s="494"/>
      <c r="F43" s="494"/>
      <c r="G43" s="494"/>
      <c r="H43" s="494"/>
      <c r="I43" s="494"/>
      <c r="J43" s="494"/>
      <c r="K43" s="784"/>
      <c r="L43" s="1142"/>
      <c r="M43" s="1130"/>
      <c r="N43" s="1130"/>
      <c r="O43" s="1143"/>
      <c r="P43" s="3255" t="str">
        <f>A43</f>
        <v>估价对象XX用房的比较价值（楼面单价，元/平方米）</v>
      </c>
      <c r="Q43" s="3256"/>
      <c r="R43" s="3257" t="e">
        <f>ROUND(AVERAGE(R42:V42),0)</f>
        <v>#DIV/0!</v>
      </c>
      <c r="S43" s="3257"/>
      <c r="T43" s="3257"/>
      <c r="U43" s="3257"/>
      <c r="V43" s="3257"/>
      <c r="W43" s="325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3" t="s">
        <v>2758</v>
      </c>
      <c r="B50" s="684" t="s">
        <v>2759</v>
      </c>
      <c r="C50" s="2702" t="s">
        <v>2760</v>
      </c>
      <c r="D50" s="2703" t="s">
        <v>2761</v>
      </c>
      <c r="E50" s="685" t="s">
        <v>2762</v>
      </c>
      <c r="F50" s="686" t="s">
        <v>2763</v>
      </c>
      <c r="G50" s="3236" t="s">
        <v>2764</v>
      </c>
      <c r="H50" s="3258"/>
      <c r="I50" s="1812" t="s">
        <v>2801</v>
      </c>
      <c r="J50" s="1812">
        <f>项目基本情况!F35</f>
        <v>0</v>
      </c>
      <c r="K50" s="2705" t="s">
        <v>2766</v>
      </c>
      <c r="L50" s="1105"/>
      <c r="M50" s="1143"/>
      <c r="N50" s="1143"/>
      <c r="O50" s="1143"/>
    </row>
    <row r="51" spans="1:17" s="691" customFormat="1">
      <c r="A51" s="687" t="s">
        <v>2767</v>
      </c>
      <c r="B51" s="688" t="e">
        <f>C43</f>
        <v>#DIV/0!</v>
      </c>
      <c r="C51" s="689">
        <v>1</v>
      </c>
      <c r="D51" s="1162">
        <v>1</v>
      </c>
      <c r="E51" s="689">
        <f>'数据-汇总表'!E8+'数据-汇总表'!E9</f>
        <v>42325.20999999997</v>
      </c>
      <c r="F51" s="690" t="e">
        <f t="shared" ref="F51:F60" si="15">ROUND(B51*E51/10000,0)</f>
        <v>#DIV/0!</v>
      </c>
      <c r="G51" s="3259"/>
      <c r="H51" s="3235"/>
      <c r="I51" s="941">
        <v>1</v>
      </c>
      <c r="J51" s="941">
        <v>1</v>
      </c>
      <c r="K51" s="1144"/>
      <c r="L51" s="940"/>
      <c r="M51" s="940"/>
      <c r="N51" s="940"/>
      <c r="O51" s="940"/>
    </row>
    <row r="52" spans="1:17" s="691" customFormat="1">
      <c r="A52" s="692" t="s">
        <v>2768</v>
      </c>
      <c r="B52" s="262" t="e">
        <f>ROUND($C$43*C52*D52,0)</f>
        <v>#DIV/0!</v>
      </c>
      <c r="C52" s="200">
        <f t="shared" ref="C52:C60" si="16">IF($C$50="北京市系数",I52,J52)</f>
        <v>0.7</v>
      </c>
      <c r="D52" s="1163">
        <v>0.25</v>
      </c>
      <c r="E52" s="693"/>
      <c r="F52" s="690" t="e">
        <f t="shared" si="15"/>
        <v>#DIV/0!</v>
      </c>
      <c r="G52" s="3260" t="s">
        <v>2769</v>
      </c>
      <c r="H52" s="1103" t="str">
        <f>项目基本情况!B37</f>
        <v>七级</v>
      </c>
      <c r="I52" s="941">
        <f>SUMIF(修正!A45:A56,H52,修正!B45:B56)</f>
        <v>0.7</v>
      </c>
      <c r="J52" s="942"/>
      <c r="K52" s="1143"/>
      <c r="L52" s="940"/>
      <c r="M52" s="940"/>
      <c r="N52" s="940"/>
      <c r="O52" s="940"/>
    </row>
    <row r="53" spans="1:17" s="691" customFormat="1">
      <c r="A53" s="692" t="s">
        <v>2770</v>
      </c>
      <c r="B53" s="262" t="e">
        <f t="shared" ref="B53:B60" si="17">ROUND($C$43*C53*D53,0)</f>
        <v>#DIV/0!</v>
      </c>
      <c r="C53" s="200">
        <f t="shared" si="16"/>
        <v>0.4</v>
      </c>
      <c r="D53" s="1163">
        <v>0.25</v>
      </c>
      <c r="E53" s="693"/>
      <c r="F53" s="690" t="e">
        <f t="shared" si="15"/>
        <v>#DIV/0!</v>
      </c>
      <c r="G53" s="3260"/>
      <c r="H53" s="1103" t="str">
        <f>项目基本情况!B37</f>
        <v>七级</v>
      </c>
      <c r="I53" s="941">
        <f>SUMIF(修正!A45:A56,H53,修正!C45:C56)</f>
        <v>0.4</v>
      </c>
      <c r="J53" s="942"/>
      <c r="K53" s="1144"/>
      <c r="L53" s="940"/>
      <c r="M53" s="940"/>
      <c r="N53" s="940"/>
      <c r="O53" s="940"/>
    </row>
    <row r="54" spans="1:17" s="691" customFormat="1">
      <c r="A54" s="692" t="s">
        <v>2771</v>
      </c>
      <c r="B54" s="262" t="e">
        <f t="shared" si="17"/>
        <v>#DIV/0!</v>
      </c>
      <c r="C54" s="200">
        <f t="shared" si="16"/>
        <v>0.28000000000000003</v>
      </c>
      <c r="D54" s="1163">
        <v>0.25</v>
      </c>
      <c r="E54" s="693"/>
      <c r="F54" s="690" t="e">
        <f t="shared" si="15"/>
        <v>#DIV/0!</v>
      </c>
      <c r="G54" s="3260"/>
      <c r="H54" s="1103" t="str">
        <f>项目基本情况!B37</f>
        <v>七级</v>
      </c>
      <c r="I54" s="941">
        <f>SUMIF(修正!A45:A56,H54,修正!D45:D56)</f>
        <v>0.28000000000000003</v>
      </c>
      <c r="J54" s="942"/>
      <c r="K54" s="1143"/>
      <c r="L54" s="940"/>
      <c r="M54" s="940"/>
      <c r="N54" s="940"/>
      <c r="O54" s="940"/>
    </row>
    <row r="55" spans="1:17" s="691" customFormat="1">
      <c r="A55" s="692" t="s">
        <v>2772</v>
      </c>
      <c r="B55" s="262" t="e">
        <f t="shared" si="17"/>
        <v>#DIV/0!</v>
      </c>
      <c r="C55" s="200">
        <f t="shared" si="16"/>
        <v>0.25</v>
      </c>
      <c r="D55" s="1163">
        <v>0.25</v>
      </c>
      <c r="E55" s="693"/>
      <c r="F55" s="690" t="e">
        <f t="shared" si="15"/>
        <v>#DIV/0!</v>
      </c>
      <c r="G55" s="3260"/>
      <c r="H55" s="1103" t="str">
        <f>项目基本情况!B37</f>
        <v>七级</v>
      </c>
      <c r="I55" s="941">
        <f>SUMIF(修正!A45:A56,H55,修正!E45:E56)</f>
        <v>0.25</v>
      </c>
      <c r="J55" s="942"/>
      <c r="K55" s="1144"/>
      <c r="L55" s="940"/>
      <c r="M55" s="940"/>
      <c r="N55" s="940"/>
      <c r="O55" s="940"/>
    </row>
    <row r="56" spans="1:17" s="691" customFormat="1">
      <c r="A56" s="692" t="s">
        <v>2773</v>
      </c>
      <c r="B56" s="262" t="e">
        <f t="shared" si="17"/>
        <v>#DIV/0!</v>
      </c>
      <c r="C56" s="200">
        <f t="shared" si="16"/>
        <v>0.25</v>
      </c>
      <c r="D56" s="1163">
        <v>0.25</v>
      </c>
      <c r="E56" s="261">
        <f>'数据-汇总表'!E11</f>
        <v>0</v>
      </c>
      <c r="F56" s="690" t="e">
        <f t="shared" si="15"/>
        <v>#DIV/0!</v>
      </c>
      <c r="G56" s="2706" t="s">
        <v>2774</v>
      </c>
      <c r="H56" s="1103" t="str">
        <f>项目基本情况!C37</f>
        <v>七级</v>
      </c>
      <c r="I56" s="941">
        <f>SUMIF(修正!A45:A56,H56,修正!F45:F56)</f>
        <v>0.25</v>
      </c>
      <c r="J56" s="942"/>
      <c r="K56" s="1143"/>
      <c r="L56" s="940"/>
      <c r="M56" s="940"/>
      <c r="N56" s="940"/>
      <c r="O56" s="940"/>
    </row>
    <row r="57" spans="1:17" s="691" customFormat="1">
      <c r="A57" s="692" t="s">
        <v>2775</v>
      </c>
      <c r="B57" s="262" t="e">
        <f t="shared" si="17"/>
        <v>#DIV/0!</v>
      </c>
      <c r="C57" s="200">
        <f t="shared" si="16"/>
        <v>0.25</v>
      </c>
      <c r="D57" s="1163">
        <v>0.25</v>
      </c>
      <c r="E57" s="261">
        <f>'数据-汇总表'!E12</f>
        <v>0</v>
      </c>
      <c r="F57" s="690" t="e">
        <f t="shared" si="15"/>
        <v>#DIV/0!</v>
      </c>
      <c r="G57" s="1108" t="s">
        <v>2776</v>
      </c>
      <c r="H57" s="1103" t="str">
        <f>IF(G57="商业",项目基本情况!B37,IF(G57="办公",项目基本情况!C37,IF(G57="住宅",项目基本情况!D37,项目基本情况!E37)))</f>
        <v>七级</v>
      </c>
      <c r="I57" s="941">
        <f>SUMIF(修正!A45:A56,H57,修正!G45:G56)</f>
        <v>0.25</v>
      </c>
      <c r="J57" s="942"/>
      <c r="K57" s="1144"/>
      <c r="L57" s="940"/>
      <c r="M57" s="940"/>
      <c r="N57" s="940"/>
      <c r="O57" s="940"/>
    </row>
    <row r="58" spans="1:17" s="691" customFormat="1">
      <c r="A58" s="692" t="s">
        <v>2777</v>
      </c>
      <c r="B58" s="262" t="e">
        <f t="shared" si="17"/>
        <v>#DIV/0!</v>
      </c>
      <c r="C58" s="200">
        <f t="shared" si="16"/>
        <v>0</v>
      </c>
      <c r="D58" s="1163">
        <v>0.25</v>
      </c>
      <c r="E58" s="261">
        <f>'数据-汇总表'!E13</f>
        <v>0</v>
      </c>
      <c r="F58" s="690"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2779</v>
      </c>
      <c r="B59" s="262" t="e">
        <f t="shared" si="17"/>
        <v>#DIV/0!</v>
      </c>
      <c r="C59" s="200">
        <f t="shared" si="16"/>
        <v>0.2</v>
      </c>
      <c r="D59" s="1163">
        <v>0.25</v>
      </c>
      <c r="E59" s="261">
        <f>'数据-汇总表'!E14</f>
        <v>0</v>
      </c>
      <c r="F59" s="690" t="e">
        <f t="shared" si="15"/>
        <v>#DIV/0!</v>
      </c>
      <c r="G59" s="2706" t="s">
        <v>2769</v>
      </c>
      <c r="H59" s="1103" t="str">
        <f>项目基本情况!B37</f>
        <v>七级</v>
      </c>
      <c r="I59" s="941">
        <f>SUMIF(修正!A45:A56,H59,修正!H45:H56)</f>
        <v>0.2</v>
      </c>
      <c r="J59" s="942"/>
      <c r="K59" s="1144"/>
      <c r="L59" s="940"/>
      <c r="M59" s="940"/>
      <c r="N59" s="940"/>
      <c r="O59" s="940"/>
    </row>
    <row r="60" spans="1:17" s="691" customFormat="1" ht="15" thickBot="1">
      <c r="A60" s="692" t="s">
        <v>2780</v>
      </c>
      <c r="B60" s="262" t="e">
        <f t="shared" si="17"/>
        <v>#DIV/0!</v>
      </c>
      <c r="C60" s="200">
        <f t="shared" si="16"/>
        <v>0.2</v>
      </c>
      <c r="D60" s="1163">
        <v>0.25</v>
      </c>
      <c r="E60" s="261">
        <f>'数据-汇总表'!E15</f>
        <v>0</v>
      </c>
      <c r="F60" s="690" t="e">
        <f t="shared" si="15"/>
        <v>#DIV/0!</v>
      </c>
      <c r="G60" s="2707" t="s">
        <v>2774</v>
      </c>
      <c r="H60" s="1113" t="str">
        <f>项目基本情况!C37</f>
        <v>七级</v>
      </c>
      <c r="I60" s="941">
        <f>SUMIF(修正!A45:A56,H60,修正!H45:H56)</f>
        <v>0.2</v>
      </c>
      <c r="J60" s="942"/>
      <c r="K60" s="1143"/>
      <c r="L60" s="940"/>
      <c r="M60" s="940"/>
      <c r="N60" s="940"/>
      <c r="O60" s="940"/>
    </row>
    <row r="61" spans="1:17" s="691" customFormat="1" ht="15" thickBot="1">
      <c r="A61" s="694" t="s">
        <v>2781</v>
      </c>
      <c r="B61" s="695" t="s">
        <v>28</v>
      </c>
      <c r="C61" s="695" t="s">
        <v>29</v>
      </c>
      <c r="D61" s="695" t="s">
        <v>1029</v>
      </c>
      <c r="E61" s="695">
        <f>IF(B41="楼面地价",SUM(E51:E60),'数据-汇总表'!D3)</f>
        <v>12092.92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2675</v>
      </c>
      <c r="B64" s="758"/>
      <c r="C64" s="763"/>
      <c r="D64" s="763"/>
      <c r="E64" s="763"/>
      <c r="F64" s="764"/>
      <c r="G64" s="764"/>
      <c r="H64" s="763"/>
      <c r="I64" s="763"/>
      <c r="J64" s="763"/>
      <c r="K64" s="765"/>
      <c r="L64" s="766"/>
      <c r="M64" s="763"/>
      <c r="N64" s="763"/>
      <c r="O64" s="1158"/>
      <c r="P64" s="503"/>
      <c r="Q64" s="504"/>
    </row>
    <row r="65" spans="1:17" s="508" customFormat="1" ht="15">
      <c r="A65" s="2708" t="s">
        <v>2782</v>
      </c>
      <c r="B65" s="1358"/>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7"/>
    </row>
    <row r="66" spans="1:17" s="117" customFormat="1" ht="30.75" customHeight="1">
      <c r="A66" s="2713" t="s">
        <v>2802</v>
      </c>
      <c r="B66" s="332" t="str">
        <f>"北京市平均增长率"&amp;TEXT('基准地价修正-商业'!P24,"0.00%")</f>
        <v>北京市平均增长率1.35%</v>
      </c>
      <c r="C66" s="603">
        <v>100</v>
      </c>
      <c r="D66" s="595"/>
      <c r="E66" s="595"/>
      <c r="F66" s="595"/>
      <c r="G66" s="595"/>
      <c r="H66" s="595"/>
      <c r="I66" s="595"/>
      <c r="J66" s="595"/>
      <c r="K66" s="595"/>
      <c r="L66" s="595"/>
      <c r="M66" s="1566"/>
      <c r="N66" s="1566"/>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2590</v>
      </c>
      <c r="B70" s="528" t="s">
        <v>2556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2561</v>
      </c>
      <c r="B83" s="528" t="s">
        <v>2706</v>
      </c>
      <c r="C83" s="573" t="s">
        <v>2599</v>
      </c>
      <c r="D83" s="573" t="s">
        <v>2600</v>
      </c>
      <c r="E83" s="573" t="s">
        <v>2601</v>
      </c>
      <c r="F83" s="573" t="s">
        <v>2602</v>
      </c>
      <c r="G83" s="573" t="s">
        <v>2603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2599</v>
      </c>
      <c r="D87" s="573" t="s">
        <v>2600</v>
      </c>
      <c r="E87" s="573" t="s">
        <v>2601</v>
      </c>
      <c r="F87" s="573" t="s">
        <v>2602</v>
      </c>
      <c r="G87" s="573" t="s">
        <v>2603</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2599</v>
      </c>
      <c r="D89" s="573" t="s">
        <v>2600</v>
      </c>
      <c r="E89" s="573" t="s">
        <v>2601</v>
      </c>
      <c r="F89" s="573" t="s">
        <v>2602</v>
      </c>
      <c r="G89" s="573" t="s">
        <v>2603</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59" t="s">
        <v>2676</v>
      </c>
      <c r="D93" s="659" t="s">
        <v>2677</v>
      </c>
      <c r="E93" s="659" t="s">
        <v>2678</v>
      </c>
      <c r="F93" s="659" t="s">
        <v>2679</v>
      </c>
      <c r="G93" s="659"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2565</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1" t="s">
        <v>183</v>
      </c>
      <c r="B18" s="878" t="s">
        <v>560</v>
      </c>
      <c r="C18" s="879" t="s">
        <v>561</v>
      </c>
      <c r="D18" s="880"/>
      <c r="E18" s="878">
        <v>1</v>
      </c>
      <c r="F18" s="881" t="s">
        <v>562</v>
      </c>
      <c r="G18" s="882"/>
      <c r="H18" s="874"/>
      <c r="I18" s="874"/>
    </row>
    <row r="19" spans="1:9" s="883" customFormat="1" ht="19.5" customHeight="1">
      <c r="A19" s="3341"/>
      <c r="B19" s="3341" t="s">
        <v>563</v>
      </c>
      <c r="C19" s="879" t="s">
        <v>564</v>
      </c>
      <c r="D19" s="880"/>
      <c r="E19" s="878">
        <v>0.9</v>
      </c>
      <c r="F19" s="881" t="s">
        <v>565</v>
      </c>
      <c r="G19" s="882"/>
      <c r="H19" s="874"/>
      <c r="I19" s="874"/>
    </row>
    <row r="20" spans="1:9" s="883" customFormat="1" ht="19.5" customHeight="1">
      <c r="A20" s="3341"/>
      <c r="B20" s="3341"/>
      <c r="C20" s="879" t="s">
        <v>566</v>
      </c>
      <c r="D20" s="880"/>
      <c r="E20" s="878">
        <v>1.1000000000000001</v>
      </c>
      <c r="F20" s="881" t="s">
        <v>567</v>
      </c>
      <c r="G20" s="882"/>
      <c r="H20" s="874"/>
      <c r="I20" s="874"/>
    </row>
    <row r="21" spans="1:9" s="883" customFormat="1" ht="19.5" customHeight="1">
      <c r="A21" s="3341"/>
      <c r="B21" s="3341"/>
      <c r="C21" s="879" t="s">
        <v>568</v>
      </c>
      <c r="D21" s="880"/>
      <c r="E21" s="878">
        <v>0.8</v>
      </c>
      <c r="F21" s="881" t="s">
        <v>569</v>
      </c>
      <c r="G21" s="882"/>
      <c r="H21" s="874"/>
      <c r="I21" s="874"/>
    </row>
    <row r="22" spans="1:9" s="883" customFormat="1" ht="19.5" customHeight="1">
      <c r="A22" s="3341"/>
      <c r="B22" s="3341"/>
      <c r="C22" s="879" t="s">
        <v>570</v>
      </c>
      <c r="D22" s="880"/>
      <c r="E22" s="878">
        <v>0.5</v>
      </c>
      <c r="F22" s="881"/>
      <c r="G22" s="882"/>
      <c r="H22" s="874"/>
      <c r="I22" s="874"/>
    </row>
    <row r="23" spans="1:9" s="883" customFormat="1" ht="19.5" customHeight="1">
      <c r="A23" s="3341" t="s">
        <v>184</v>
      </c>
      <c r="B23" s="878" t="s">
        <v>560</v>
      </c>
      <c r="C23" s="879" t="s">
        <v>571</v>
      </c>
      <c r="D23" s="880"/>
      <c r="E23" s="878">
        <v>1</v>
      </c>
      <c r="F23" s="881" t="s">
        <v>572</v>
      </c>
      <c r="G23" s="882"/>
      <c r="H23" s="874"/>
      <c r="I23" s="874"/>
    </row>
    <row r="24" spans="1:9" s="883" customFormat="1" ht="19.5" customHeight="1">
      <c r="A24" s="3341"/>
      <c r="B24" s="3341" t="s">
        <v>563</v>
      </c>
      <c r="C24" s="879" t="s">
        <v>573</v>
      </c>
      <c r="D24" s="880"/>
      <c r="E24" s="878">
        <v>0.5</v>
      </c>
      <c r="F24" s="881"/>
      <c r="G24" s="882"/>
      <c r="H24" s="874"/>
      <c r="I24" s="874"/>
    </row>
    <row r="25" spans="1:9" s="883" customFormat="1" ht="19.5" customHeight="1">
      <c r="A25" s="3341"/>
      <c r="B25" s="3341"/>
      <c r="C25" s="879" t="s">
        <v>574</v>
      </c>
      <c r="D25" s="880"/>
      <c r="E25" s="878">
        <v>1.1000000000000001</v>
      </c>
      <c r="F25" s="881"/>
      <c r="G25" s="882"/>
      <c r="H25" s="874"/>
      <c r="I25" s="874"/>
    </row>
    <row r="26" spans="1:9" s="883" customFormat="1" ht="19.5" customHeight="1">
      <c r="A26" s="3341"/>
      <c r="B26" s="3341"/>
      <c r="C26" s="879" t="s">
        <v>575</v>
      </c>
      <c r="D26" s="880"/>
      <c r="E26" s="878">
        <v>1.1000000000000001</v>
      </c>
      <c r="F26" s="881"/>
      <c r="G26" s="882"/>
      <c r="H26" s="874"/>
      <c r="I26" s="874"/>
    </row>
    <row r="27" spans="1:9" s="883" customFormat="1" ht="19.5" customHeight="1">
      <c r="A27" s="3341"/>
      <c r="B27" s="3341"/>
      <c r="C27" s="879" t="s">
        <v>576</v>
      </c>
      <c r="D27" s="880"/>
      <c r="E27" s="878">
        <v>0.9</v>
      </c>
      <c r="F27" s="881" t="s">
        <v>577</v>
      </c>
      <c r="G27" s="882"/>
      <c r="H27" s="874"/>
      <c r="I27" s="874"/>
    </row>
    <row r="28" spans="1:9" s="883" customFormat="1" ht="19.5" customHeight="1">
      <c r="A28" s="3341"/>
      <c r="B28" s="3341"/>
      <c r="C28" s="879" t="s">
        <v>578</v>
      </c>
      <c r="D28" s="880"/>
      <c r="E28" s="878">
        <v>0.9</v>
      </c>
      <c r="F28" s="881" t="s">
        <v>579</v>
      </c>
      <c r="G28" s="882"/>
      <c r="H28" s="874"/>
      <c r="I28" s="874"/>
    </row>
    <row r="29" spans="1:9" s="883" customFormat="1" ht="19.5" customHeight="1">
      <c r="A29" s="3341"/>
      <c r="B29" s="3341"/>
      <c r="C29" s="879" t="s">
        <v>580</v>
      </c>
      <c r="D29" s="880"/>
      <c r="E29" s="878">
        <v>0.9</v>
      </c>
      <c r="F29" s="881" t="s">
        <v>581</v>
      </c>
      <c r="G29" s="882"/>
      <c r="H29" s="874"/>
      <c r="I29" s="874"/>
    </row>
    <row r="30" spans="1:9" s="883" customFormat="1" ht="19.5" customHeight="1">
      <c r="A30" s="3341"/>
      <c r="B30" s="3341"/>
      <c r="C30" s="879" t="s">
        <v>582</v>
      </c>
      <c r="D30" s="880"/>
      <c r="E30" s="878">
        <v>0.9</v>
      </c>
      <c r="F30" s="881" t="s">
        <v>583</v>
      </c>
      <c r="G30" s="882"/>
      <c r="H30" s="874"/>
      <c r="I30" s="874"/>
    </row>
    <row r="31" spans="1:9" s="883" customFormat="1" ht="19.5" customHeight="1">
      <c r="A31" s="3341"/>
      <c r="B31" s="3341"/>
      <c r="C31" s="879" t="s">
        <v>584</v>
      </c>
      <c r="D31" s="880"/>
      <c r="E31" s="878">
        <v>0.8</v>
      </c>
      <c r="F31" s="881" t="s">
        <v>585</v>
      </c>
      <c r="G31" s="882"/>
      <c r="H31" s="874"/>
      <c r="I31" s="874"/>
    </row>
    <row r="32" spans="1:9" s="883" customFormat="1" ht="19.5" customHeight="1">
      <c r="A32" s="3341"/>
      <c r="B32" s="3341"/>
      <c r="C32" s="879" t="s">
        <v>586</v>
      </c>
      <c r="D32" s="880"/>
      <c r="E32" s="878">
        <v>0.8</v>
      </c>
      <c r="F32" s="881" t="s">
        <v>587</v>
      </c>
      <c r="G32" s="882"/>
      <c r="H32" s="874"/>
      <c r="I32" s="874"/>
    </row>
    <row r="33" spans="1:9" s="883" customFormat="1" ht="19.5" customHeight="1">
      <c r="A33" s="3341" t="s">
        <v>185</v>
      </c>
      <c r="B33" s="878" t="s">
        <v>560</v>
      </c>
      <c r="C33" s="879" t="s">
        <v>588</v>
      </c>
      <c r="D33" s="880"/>
      <c r="E33" s="878">
        <v>1</v>
      </c>
      <c r="F33" s="881" t="s">
        <v>589</v>
      </c>
      <c r="G33" s="882"/>
      <c r="H33" s="874"/>
      <c r="I33" s="874"/>
    </row>
    <row r="34" spans="1:9" s="883" customFormat="1" ht="19.5" customHeight="1">
      <c r="A34" s="3341"/>
      <c r="B34" s="878" t="s">
        <v>563</v>
      </c>
      <c r="C34" s="879" t="s">
        <v>590</v>
      </c>
      <c r="D34" s="880"/>
      <c r="E34" s="878">
        <v>1.5</v>
      </c>
      <c r="F34" s="881" t="s">
        <v>591</v>
      </c>
      <c r="G34" s="882"/>
      <c r="H34" s="874"/>
      <c r="I34" s="874"/>
    </row>
    <row r="35" spans="1:9" s="883" customFormat="1" ht="19.5" customHeight="1">
      <c r="A35" s="3341" t="s">
        <v>186</v>
      </c>
      <c r="B35" s="878" t="s">
        <v>560</v>
      </c>
      <c r="C35" s="879" t="s">
        <v>592</v>
      </c>
      <c r="D35" s="880"/>
      <c r="E35" s="878">
        <v>1</v>
      </c>
      <c r="F35" s="881" t="s">
        <v>593</v>
      </c>
      <c r="G35" s="882"/>
      <c r="H35" s="874"/>
      <c r="I35" s="874"/>
    </row>
    <row r="36" spans="1:9" s="883" customFormat="1" ht="19.5" customHeight="1">
      <c r="A36" s="3341"/>
      <c r="B36" s="3341" t="s">
        <v>563</v>
      </c>
      <c r="C36" s="879" t="s">
        <v>594</v>
      </c>
      <c r="D36" s="880"/>
      <c r="E36" s="878">
        <v>1</v>
      </c>
      <c r="F36" s="881" t="s">
        <v>595</v>
      </c>
      <c r="G36" s="882"/>
      <c r="H36" s="874"/>
      <c r="I36" s="874"/>
    </row>
    <row r="37" spans="1:9" s="883" customFormat="1" ht="19.5" customHeight="1">
      <c r="A37" s="3341"/>
      <c r="B37" s="3341"/>
      <c r="C37" s="879" t="s">
        <v>596</v>
      </c>
      <c r="D37" s="880"/>
      <c r="E37" s="878">
        <v>1.5</v>
      </c>
      <c r="F37" s="881" t="s">
        <v>597</v>
      </c>
      <c r="G37" s="882"/>
      <c r="H37" s="874"/>
      <c r="I37" s="874"/>
    </row>
    <row r="38" spans="1:9" s="883" customFormat="1" ht="19.5" customHeight="1">
      <c r="A38" s="3341"/>
      <c r="B38" s="3341"/>
      <c r="C38" s="879" t="s">
        <v>598</v>
      </c>
      <c r="D38" s="880"/>
      <c r="E38" s="878">
        <v>1</v>
      </c>
      <c r="F38" s="881" t="s">
        <v>599</v>
      </c>
      <c r="G38" s="882"/>
      <c r="H38" s="874"/>
      <c r="I38" s="874"/>
    </row>
    <row r="39" spans="1:9" s="883" customFormat="1" ht="19.5" customHeight="1">
      <c r="A39" s="3341"/>
      <c r="B39" s="334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41" t="s">
        <v>614</v>
      </c>
      <c r="C61" s="814" t="s">
        <v>615</v>
      </c>
      <c r="D61" s="814" t="s">
        <v>616</v>
      </c>
      <c r="E61" s="891">
        <v>0.5</v>
      </c>
      <c r="F61" s="878">
        <v>80</v>
      </c>
    </row>
    <row r="62" spans="1:8" s="874" customFormat="1" ht="24">
      <c r="A62" s="878">
        <v>2</v>
      </c>
      <c r="B62" s="3341"/>
      <c r="C62" s="814" t="s">
        <v>617</v>
      </c>
      <c r="D62" s="814" t="s">
        <v>618</v>
      </c>
      <c r="E62" s="891">
        <v>0.5</v>
      </c>
      <c r="F62" s="878">
        <v>80</v>
      </c>
    </row>
    <row r="63" spans="1:8" s="874" customFormat="1" ht="36">
      <c r="A63" s="878">
        <v>3</v>
      </c>
      <c r="B63" s="3341"/>
      <c r="C63" s="814" t="s">
        <v>619</v>
      </c>
      <c r="D63" s="814" t="s">
        <v>620</v>
      </c>
      <c r="E63" s="891">
        <v>0.5</v>
      </c>
      <c r="F63" s="878">
        <v>80</v>
      </c>
    </row>
    <row r="64" spans="1:8" s="874" customFormat="1" ht="36">
      <c r="A64" s="878">
        <v>4</v>
      </c>
      <c r="B64" s="3341"/>
      <c r="C64" s="814" t="s">
        <v>621</v>
      </c>
      <c r="D64" s="814" t="s">
        <v>622</v>
      </c>
      <c r="E64" s="891">
        <v>0.4</v>
      </c>
      <c r="F64" s="878">
        <v>60</v>
      </c>
    </row>
    <row r="65" spans="1:6" s="874" customFormat="1" ht="36">
      <c r="A65" s="878">
        <v>5</v>
      </c>
      <c r="B65" s="3341"/>
      <c r="C65" s="814" t="s">
        <v>623</v>
      </c>
      <c r="D65" s="814" t="s">
        <v>624</v>
      </c>
      <c r="E65" s="891">
        <v>0.2</v>
      </c>
      <c r="F65" s="878">
        <v>30</v>
      </c>
    </row>
    <row r="66" spans="1:6" s="874" customFormat="1" ht="36">
      <c r="A66" s="878">
        <v>6</v>
      </c>
      <c r="B66" s="3341"/>
      <c r="C66" s="814" t="s">
        <v>625</v>
      </c>
      <c r="D66" s="814" t="s">
        <v>626</v>
      </c>
      <c r="E66" s="891">
        <v>0.3</v>
      </c>
      <c r="F66" s="878">
        <v>50</v>
      </c>
    </row>
    <row r="67" spans="1:6" s="874" customFormat="1" ht="36">
      <c r="A67" s="878">
        <v>7</v>
      </c>
      <c r="B67" s="3341"/>
      <c r="C67" s="814" t="s">
        <v>627</v>
      </c>
      <c r="D67" s="814" t="s">
        <v>628</v>
      </c>
      <c r="E67" s="891">
        <v>0.2</v>
      </c>
      <c r="F67" s="878">
        <v>30</v>
      </c>
    </row>
    <row r="68" spans="1:6" s="874" customFormat="1" ht="36">
      <c r="A68" s="878">
        <v>8</v>
      </c>
      <c r="B68" s="3341"/>
      <c r="C68" s="814" t="s">
        <v>629</v>
      </c>
      <c r="D68" s="814" t="s">
        <v>630</v>
      </c>
      <c r="E68" s="891">
        <v>0.2</v>
      </c>
      <c r="F68" s="878">
        <v>30</v>
      </c>
    </row>
    <row r="69" spans="1:6" s="874" customFormat="1" ht="36">
      <c r="A69" s="878">
        <v>9</v>
      </c>
      <c r="B69" s="3341"/>
      <c r="C69" s="814" t="s">
        <v>631</v>
      </c>
      <c r="D69" s="814" t="s">
        <v>632</v>
      </c>
      <c r="E69" s="891">
        <v>0.2</v>
      </c>
      <c r="F69" s="878">
        <v>30</v>
      </c>
    </row>
    <row r="70" spans="1:6" s="874" customFormat="1" ht="48">
      <c r="A70" s="878">
        <v>10</v>
      </c>
      <c r="B70" s="3341"/>
      <c r="C70" s="814" t="s">
        <v>633</v>
      </c>
      <c r="D70" s="814" t="s">
        <v>634</v>
      </c>
      <c r="E70" s="891">
        <v>0.2</v>
      </c>
      <c r="F70" s="878">
        <v>30</v>
      </c>
    </row>
    <row r="71" spans="1:6" s="874" customFormat="1" ht="48">
      <c r="A71" s="878">
        <v>11</v>
      </c>
      <c r="B71" s="3341"/>
      <c r="C71" s="814" t="s">
        <v>635</v>
      </c>
      <c r="D71" s="814" t="s">
        <v>636</v>
      </c>
      <c r="E71" s="891">
        <v>0.2</v>
      </c>
      <c r="F71" s="878">
        <v>30</v>
      </c>
    </row>
    <row r="72" spans="1:6" s="874" customFormat="1" ht="36">
      <c r="A72" s="878">
        <v>12</v>
      </c>
      <c r="B72" s="3341"/>
      <c r="C72" s="814" t="s">
        <v>637</v>
      </c>
      <c r="D72" s="814" t="s">
        <v>638</v>
      </c>
      <c r="E72" s="891">
        <v>0.5</v>
      </c>
      <c r="F72" s="878">
        <v>80</v>
      </c>
    </row>
    <row r="73" spans="1:6" s="874" customFormat="1" ht="24">
      <c r="A73" s="878">
        <v>13</v>
      </c>
      <c r="B73" s="3341"/>
      <c r="C73" s="814" t="s">
        <v>639</v>
      </c>
      <c r="D73" s="814" t="s">
        <v>640</v>
      </c>
      <c r="E73" s="891">
        <v>0.4</v>
      </c>
      <c r="F73" s="878">
        <v>60</v>
      </c>
    </row>
    <row r="74" spans="1:6" s="874" customFormat="1" ht="24">
      <c r="A74" s="878">
        <v>14</v>
      </c>
      <c r="B74" s="3341"/>
      <c r="C74" s="814" t="s">
        <v>641</v>
      </c>
      <c r="D74" s="814" t="s">
        <v>642</v>
      </c>
      <c r="E74" s="891">
        <v>0.2</v>
      </c>
      <c r="F74" s="878">
        <v>30</v>
      </c>
    </row>
    <row r="75" spans="1:6" s="874" customFormat="1" ht="24">
      <c r="A75" s="878">
        <v>15</v>
      </c>
      <c r="B75" s="3341"/>
      <c r="C75" s="814" t="s">
        <v>643</v>
      </c>
      <c r="D75" s="814" t="s">
        <v>644</v>
      </c>
      <c r="E75" s="891">
        <v>0.2</v>
      </c>
      <c r="F75" s="878">
        <v>30</v>
      </c>
    </row>
    <row r="76" spans="1:6" s="874" customFormat="1" ht="24">
      <c r="A76" s="878">
        <v>16</v>
      </c>
      <c r="B76" s="3341" t="s">
        <v>645</v>
      </c>
      <c r="C76" s="814" t="s">
        <v>646</v>
      </c>
      <c r="D76" s="814" t="s">
        <v>647</v>
      </c>
      <c r="E76" s="891">
        <v>0.5</v>
      </c>
      <c r="F76" s="878">
        <v>80</v>
      </c>
    </row>
    <row r="77" spans="1:6" s="874" customFormat="1" ht="24">
      <c r="A77" s="878">
        <v>17</v>
      </c>
      <c r="B77" s="3341"/>
      <c r="C77" s="814" t="s">
        <v>648</v>
      </c>
      <c r="D77" s="814" t="s">
        <v>649</v>
      </c>
      <c r="E77" s="891">
        <v>0.5</v>
      </c>
      <c r="F77" s="878">
        <v>80</v>
      </c>
    </row>
    <row r="78" spans="1:6" s="874" customFormat="1" ht="24">
      <c r="A78" s="878">
        <v>18</v>
      </c>
      <c r="B78" s="3341"/>
      <c r="C78" s="814" t="s">
        <v>650</v>
      </c>
      <c r="D78" s="814" t="s">
        <v>651</v>
      </c>
      <c r="E78" s="891">
        <v>0.2</v>
      </c>
      <c r="F78" s="878">
        <v>30</v>
      </c>
    </row>
    <row r="79" spans="1:6" s="874" customFormat="1" ht="24">
      <c r="A79" s="878">
        <v>19</v>
      </c>
      <c r="B79" s="3341"/>
      <c r="C79" s="814" t="s">
        <v>652</v>
      </c>
      <c r="D79" s="814" t="s">
        <v>653</v>
      </c>
      <c r="E79" s="891">
        <v>0.5</v>
      </c>
      <c r="F79" s="878">
        <v>80</v>
      </c>
    </row>
    <row r="80" spans="1:6" s="874" customFormat="1" ht="36">
      <c r="A80" s="878">
        <v>20</v>
      </c>
      <c r="B80" s="3341"/>
      <c r="C80" s="814" t="s">
        <v>654</v>
      </c>
      <c r="D80" s="814" t="s">
        <v>655</v>
      </c>
      <c r="E80" s="891">
        <v>0.2</v>
      </c>
      <c r="F80" s="878">
        <v>30</v>
      </c>
    </row>
    <row r="81" spans="1:6" s="874" customFormat="1" ht="36">
      <c r="A81" s="878">
        <v>21</v>
      </c>
      <c r="B81" s="3341"/>
      <c r="C81" s="814" t="s">
        <v>656</v>
      </c>
      <c r="D81" s="814" t="s">
        <v>657</v>
      </c>
      <c r="E81" s="891">
        <v>0.2</v>
      </c>
      <c r="F81" s="878">
        <v>30</v>
      </c>
    </row>
    <row r="82" spans="1:6" s="874" customFormat="1" ht="48">
      <c r="A82" s="878">
        <v>22</v>
      </c>
      <c r="B82" s="3341"/>
      <c r="C82" s="814" t="s">
        <v>658</v>
      </c>
      <c r="D82" s="814" t="s">
        <v>659</v>
      </c>
      <c r="E82" s="891">
        <v>0.2</v>
      </c>
      <c r="F82" s="878">
        <v>30</v>
      </c>
    </row>
    <row r="83" spans="1:6" s="874" customFormat="1" ht="48">
      <c r="A83" s="878">
        <v>23</v>
      </c>
      <c r="B83" s="3341"/>
      <c r="C83" s="814" t="s">
        <v>660</v>
      </c>
      <c r="D83" s="814" t="s">
        <v>661</v>
      </c>
      <c r="E83" s="891">
        <v>0.2</v>
      </c>
      <c r="F83" s="878">
        <v>30</v>
      </c>
    </row>
    <row r="84" spans="1:6" s="874" customFormat="1" ht="36">
      <c r="A84" s="878">
        <v>24</v>
      </c>
      <c r="B84" s="3341"/>
      <c r="C84" s="814" t="s">
        <v>662</v>
      </c>
      <c r="D84" s="814" t="s">
        <v>663</v>
      </c>
      <c r="E84" s="891">
        <v>0.2</v>
      </c>
      <c r="F84" s="878">
        <v>30</v>
      </c>
    </row>
    <row r="85" spans="1:6" s="874" customFormat="1" ht="36">
      <c r="A85" s="878">
        <v>25</v>
      </c>
      <c r="B85" s="3341"/>
      <c r="C85" s="814" t="s">
        <v>664</v>
      </c>
      <c r="D85" s="814" t="s">
        <v>665</v>
      </c>
      <c r="E85" s="891">
        <v>0.5</v>
      </c>
      <c r="F85" s="878">
        <v>80</v>
      </c>
    </row>
    <row r="86" spans="1:6" s="874" customFormat="1" ht="36">
      <c r="A86" s="878">
        <v>26</v>
      </c>
      <c r="B86" s="3341"/>
      <c r="C86" s="814" t="s">
        <v>666</v>
      </c>
      <c r="D86" s="814" t="s">
        <v>667</v>
      </c>
      <c r="E86" s="891">
        <v>0.2</v>
      </c>
      <c r="F86" s="878">
        <v>30</v>
      </c>
    </row>
    <row r="87" spans="1:6" s="874" customFormat="1" ht="36">
      <c r="A87" s="878">
        <v>27</v>
      </c>
      <c r="B87" s="3341"/>
      <c r="C87" s="814" t="s">
        <v>668</v>
      </c>
      <c r="D87" s="814" t="s">
        <v>669</v>
      </c>
      <c r="E87" s="891">
        <v>0.2</v>
      </c>
      <c r="F87" s="878">
        <v>30</v>
      </c>
    </row>
    <row r="88" spans="1:6" s="874" customFormat="1" ht="36">
      <c r="A88" s="878">
        <v>28</v>
      </c>
      <c r="B88" s="3341"/>
      <c r="C88" s="814" t="s">
        <v>670</v>
      </c>
      <c r="D88" s="814" t="s">
        <v>671</v>
      </c>
      <c r="E88" s="891">
        <v>0.2</v>
      </c>
      <c r="F88" s="878">
        <v>30</v>
      </c>
    </row>
    <row r="89" spans="1:6" s="874" customFormat="1" ht="24">
      <c r="A89" s="878">
        <v>29</v>
      </c>
      <c r="B89" s="3341"/>
      <c r="C89" s="814" t="s">
        <v>672</v>
      </c>
      <c r="D89" s="814" t="s">
        <v>673</v>
      </c>
      <c r="E89" s="891">
        <v>0.2</v>
      </c>
      <c r="F89" s="878">
        <v>30</v>
      </c>
    </row>
    <row r="90" spans="1:6" s="874" customFormat="1" ht="24">
      <c r="A90" s="878">
        <v>30</v>
      </c>
      <c r="B90" s="3341"/>
      <c r="C90" s="814" t="s">
        <v>674</v>
      </c>
      <c r="D90" s="814" t="s">
        <v>675</v>
      </c>
      <c r="E90" s="891">
        <v>0.2</v>
      </c>
      <c r="F90" s="878">
        <v>30</v>
      </c>
    </row>
    <row r="91" spans="1:6" s="874" customFormat="1" ht="36">
      <c r="A91" s="878">
        <v>31</v>
      </c>
      <c r="B91" s="3341"/>
      <c r="C91" s="814" t="s">
        <v>676</v>
      </c>
      <c r="D91" s="814" t="s">
        <v>677</v>
      </c>
      <c r="E91" s="891">
        <v>0.2</v>
      </c>
      <c r="F91" s="878">
        <v>30</v>
      </c>
    </row>
    <row r="92" spans="1:6" s="874" customFormat="1" ht="24">
      <c r="A92" s="878">
        <v>32</v>
      </c>
      <c r="B92" s="3341" t="s">
        <v>678</v>
      </c>
      <c r="C92" s="878" t="s">
        <v>679</v>
      </c>
      <c r="D92" s="814" t="s">
        <v>680</v>
      </c>
      <c r="E92" s="891">
        <v>0.2</v>
      </c>
      <c r="F92" s="878">
        <v>30</v>
      </c>
    </row>
    <row r="93" spans="1:6" s="874" customFormat="1" ht="36">
      <c r="A93" s="878">
        <v>33</v>
      </c>
      <c r="B93" s="3341"/>
      <c r="C93" s="878" t="s">
        <v>681</v>
      </c>
      <c r="D93" s="814" t="s">
        <v>682</v>
      </c>
      <c r="E93" s="891">
        <v>0.2</v>
      </c>
      <c r="F93" s="878">
        <v>30</v>
      </c>
    </row>
    <row r="94" spans="1:6" s="874" customFormat="1" ht="48">
      <c r="A94" s="878">
        <v>34</v>
      </c>
      <c r="B94" s="3341"/>
      <c r="C94" s="878" t="s">
        <v>683</v>
      </c>
      <c r="D94" s="814" t="s">
        <v>684</v>
      </c>
      <c r="E94" s="891">
        <v>0.2</v>
      </c>
      <c r="F94" s="878">
        <v>30</v>
      </c>
    </row>
    <row r="95" spans="1:6" s="874" customFormat="1" ht="36">
      <c r="A95" s="878">
        <v>35</v>
      </c>
      <c r="B95" s="3341"/>
      <c r="C95" s="878" t="s">
        <v>685</v>
      </c>
      <c r="D95" s="814" t="s">
        <v>686</v>
      </c>
      <c r="E95" s="891">
        <v>0.2</v>
      </c>
      <c r="F95" s="878">
        <v>30</v>
      </c>
    </row>
    <row r="96" spans="1:6" s="874" customFormat="1" ht="48">
      <c r="A96" s="878">
        <v>36</v>
      </c>
      <c r="B96" s="3341"/>
      <c r="C96" s="814" t="s">
        <v>687</v>
      </c>
      <c r="D96" s="814" t="s">
        <v>688</v>
      </c>
      <c r="E96" s="891">
        <v>0.2</v>
      </c>
      <c r="F96" s="878">
        <v>30</v>
      </c>
    </row>
    <row r="97" spans="1:6" s="874" customFormat="1" ht="36">
      <c r="A97" s="878">
        <v>37</v>
      </c>
      <c r="B97" s="3341"/>
      <c r="C97" s="878" t="s">
        <v>689</v>
      </c>
      <c r="D97" s="814" t="s">
        <v>690</v>
      </c>
      <c r="E97" s="891">
        <v>0.2</v>
      </c>
      <c r="F97" s="878">
        <v>30</v>
      </c>
    </row>
    <row r="98" spans="1:6" s="874" customFormat="1" ht="36">
      <c r="A98" s="878">
        <v>38</v>
      </c>
      <c r="B98" s="3341"/>
      <c r="C98" s="878" t="s">
        <v>691</v>
      </c>
      <c r="D98" s="814" t="s">
        <v>692</v>
      </c>
      <c r="E98" s="891">
        <v>0.2</v>
      </c>
      <c r="F98" s="878">
        <v>30</v>
      </c>
    </row>
    <row r="99" spans="1:6" s="874" customFormat="1" ht="36">
      <c r="A99" s="878">
        <v>39</v>
      </c>
      <c r="B99" s="3341" t="s">
        <v>693</v>
      </c>
      <c r="C99" s="878" t="s">
        <v>694</v>
      </c>
      <c r="D99" s="814" t="s">
        <v>695</v>
      </c>
      <c r="E99" s="891">
        <v>0.3</v>
      </c>
      <c r="F99" s="878">
        <v>50</v>
      </c>
    </row>
    <row r="100" spans="1:6" s="874" customFormat="1" ht="24">
      <c r="A100" s="878">
        <v>40</v>
      </c>
      <c r="B100" s="3341"/>
      <c r="C100" s="878" t="s">
        <v>696</v>
      </c>
      <c r="D100" s="814" t="s">
        <v>697</v>
      </c>
      <c r="E100" s="891">
        <v>0.2</v>
      </c>
      <c r="F100" s="878">
        <v>30</v>
      </c>
    </row>
    <row r="101" spans="1:6" s="874" customFormat="1" ht="36">
      <c r="A101" s="878">
        <v>41</v>
      </c>
      <c r="B101" s="334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1" t="s">
        <v>708</v>
      </c>
      <c r="C105" s="878" t="s">
        <v>709</v>
      </c>
      <c r="D105" s="814" t="s">
        <v>710</v>
      </c>
      <c r="E105" s="891">
        <v>0.2</v>
      </c>
      <c r="F105" s="878">
        <v>30</v>
      </c>
    </row>
    <row r="106" spans="1:6" s="874" customFormat="1" ht="36">
      <c r="A106" s="878">
        <v>46</v>
      </c>
      <c r="B106" s="3341"/>
      <c r="C106" s="878" t="s">
        <v>711</v>
      </c>
      <c r="D106" s="814" t="s">
        <v>712</v>
      </c>
      <c r="E106" s="891">
        <v>0.2</v>
      </c>
      <c r="F106" s="878">
        <v>30</v>
      </c>
    </row>
    <row r="107" spans="1:6" s="874" customFormat="1" ht="36">
      <c r="A107" s="878">
        <v>47</v>
      </c>
      <c r="B107" s="3341" t="s">
        <v>713</v>
      </c>
      <c r="C107" s="878" t="s">
        <v>714</v>
      </c>
      <c r="D107" s="814" t="s">
        <v>715</v>
      </c>
      <c r="E107" s="891">
        <v>0.3</v>
      </c>
      <c r="F107" s="878">
        <v>50</v>
      </c>
    </row>
    <row r="108" spans="1:6" s="874" customFormat="1" ht="36">
      <c r="A108" s="878">
        <v>48</v>
      </c>
      <c r="B108" s="334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1" t="s">
        <v>724</v>
      </c>
      <c r="C111" s="878" t="s">
        <v>725</v>
      </c>
      <c r="D111" s="814" t="s">
        <v>726</v>
      </c>
      <c r="E111" s="891">
        <v>0.2</v>
      </c>
      <c r="F111" s="878">
        <v>30</v>
      </c>
    </row>
    <row r="112" spans="1:6" s="874" customFormat="1" ht="24">
      <c r="A112" s="878">
        <v>52</v>
      </c>
      <c r="B112" s="3341"/>
      <c r="C112" s="878" t="s">
        <v>727</v>
      </c>
      <c r="D112" s="814" t="s">
        <v>728</v>
      </c>
      <c r="E112" s="891">
        <v>0.2</v>
      </c>
      <c r="F112" s="878">
        <v>30</v>
      </c>
    </row>
    <row r="113" spans="1:6" s="874" customFormat="1" ht="24">
      <c r="A113" s="878">
        <v>53</v>
      </c>
      <c r="B113" s="334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1" t="s">
        <v>737</v>
      </c>
      <c r="C116" s="878" t="s">
        <v>738</v>
      </c>
      <c r="D116" s="814" t="s">
        <v>739</v>
      </c>
      <c r="E116" s="891">
        <v>0.2</v>
      </c>
      <c r="F116" s="878">
        <v>30</v>
      </c>
    </row>
    <row r="117" spans="1:6" ht="36">
      <c r="A117" s="878">
        <v>57</v>
      </c>
      <c r="B117" s="334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SUMPRODUCT((A105:A204=ROUNDDOWN('基准地价修正-商业'!G3,1))*(B104:M104='基准地价修正-商业'!G2)*(B105:M204))</f>
        <v>0.89929999999999999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3002</v>
      </c>
    </row>
    <row r="2" spans="1:5" ht="15.75">
      <c r="A2" s="2907" t="s">
        <v>2994</v>
      </c>
      <c r="B2" s="2908">
        <f ca="1">SUMIF(B6:B13,"&lt;&gt;#ref!",B6:B13)</f>
        <v>0</v>
      </c>
      <c r="C2" s="2907" t="s">
        <v>2995</v>
      </c>
      <c r="D2" s="2907" t="s">
        <v>2996</v>
      </c>
      <c r="E2" s="2908" t="e">
        <f ca="1">SUM(E6:E13)</f>
        <v>#REF!</v>
      </c>
    </row>
    <row r="3" spans="1:5" ht="15.75">
      <c r="A3" s="2907" t="s">
        <v>2997</v>
      </c>
      <c r="B3" s="2908" t="e">
        <f ca="1">ROUND(B2*10000/E2,0)</f>
        <v>#REF!</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#REF!</v>
      </c>
      <c r="C6" s="2907" t="s">
        <v>2995</v>
      </c>
      <c r="D6" s="2909"/>
      <c r="E6" s="2572" t="e">
        <f ca="1">SUMIF(INDIRECT("'"&amp;A6&amp;"'"&amp;"!C:C"),"建筑面积",INDIRECT("'"&amp;A6&amp;"'"&amp;"!D:D"))</f>
        <v>#REF!</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7" t="s">
        <v>1150</v>
      </c>
      <c r="C1" s="3347"/>
      <c r="D1" s="3347"/>
      <c r="E1" s="3347"/>
      <c r="F1" s="3347"/>
      <c r="G1" s="3343" t="s">
        <v>1151</v>
      </c>
      <c r="H1" s="3343"/>
      <c r="I1" s="3343"/>
      <c r="J1" s="3343"/>
      <c r="K1" s="3343"/>
      <c r="L1" s="3343"/>
      <c r="N1" s="3343" t="s">
        <v>1152</v>
      </c>
      <c r="O1" s="3343"/>
      <c r="P1" s="3343"/>
      <c r="Q1" s="3343"/>
      <c r="R1" s="1445"/>
      <c r="S1" s="3343" t="s">
        <v>1153</v>
      </c>
      <c r="T1" s="3343"/>
      <c r="U1" s="3343"/>
      <c r="V1" s="3343"/>
      <c r="X1" s="3342" t="s">
        <v>1154</v>
      </c>
      <c r="Y1" s="3343"/>
      <c r="Z1" s="3343"/>
      <c r="AA1" s="3343"/>
      <c r="AB1" s="3343"/>
      <c r="AD1" s="3342" t="s">
        <v>1155</v>
      </c>
      <c r="AE1" s="3343"/>
      <c r="AF1" s="3343"/>
      <c r="AG1" s="3343"/>
      <c r="AH1" s="3343"/>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25">
      <c r="A3" s="2935" t="s">
        <v>3035</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3041</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6">
        <f t="shared" ref="N5" si="7">I5/100</f>
        <v>0</v>
      </c>
      <c r="O5" s="1466">
        <f t="shared" ref="O5" si="8">J5/100</f>
        <v>0</v>
      </c>
      <c r="P5" s="1466">
        <f t="shared" ref="P5" si="9">K5/100</f>
        <v>0</v>
      </c>
      <c r="Q5" s="1466">
        <f t="shared" ref="Q5" si="10">L5/100</f>
        <v>0</v>
      </c>
      <c r="R5" s="1730"/>
      <c r="S5" s="1731"/>
      <c r="T5" s="1730"/>
      <c r="U5" s="1730"/>
      <c r="V5" s="1730"/>
      <c r="W5" s="2925" t="s">
        <v>3036</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3034</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3031</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3032</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348">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45"/>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45"/>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46"/>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44">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45"/>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45"/>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46"/>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44">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45"/>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45"/>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46"/>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349">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50"/>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50"/>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51"/>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44">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45"/>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45"/>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46"/>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44">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45">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45">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46">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44">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45">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45">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46">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44">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45">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45">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46">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44">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45">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45">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46">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44">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45">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45">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46">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44">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45">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45">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46">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44">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45">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45">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46">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44">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45">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45">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46">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44">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45">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45">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46">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44">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45">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45">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46">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51183</v>
      </c>
      <c r="C2" s="2" t="s">
        <v>133</v>
      </c>
      <c r="D2" s="243"/>
      <c r="E2" s="243"/>
      <c r="F2" s="243"/>
      <c r="G2" s="243"/>
    </row>
    <row r="3" spans="1:7" s="244" customFormat="1" ht="18" customHeight="1" thickBot="1">
      <c r="A3" s="247" t="s">
        <v>85</v>
      </c>
      <c r="B3" s="248">
        <f ca="1">ROUND(B2*10000/'数据-汇总表'!E3,0)</f>
        <v>12093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847</v>
      </c>
      <c r="D10" s="1031">
        <f>'数据-汇总表'!E6</f>
        <v>42325.20999999997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847</v>
      </c>
      <c r="D19" s="1035">
        <f>'数据-汇总表'!E3</f>
        <v>42325.20999999997</v>
      </c>
      <c r="E19" s="255">
        <f>'数据-取费表'!B31</f>
        <v>200</v>
      </c>
      <c r="F19" s="275"/>
      <c r="G19" s="1" t="s">
        <v>1074</v>
      </c>
    </row>
    <row r="20" spans="1:7" s="258" customFormat="1" ht="13.5" customHeight="1">
      <c r="A20" s="947" t="s">
        <v>1057</v>
      </c>
      <c r="B20" s="254" t="s">
        <v>104</v>
      </c>
      <c r="C20" s="276">
        <f>ROUND((C5+C19)*F20,0)</f>
        <v>429</v>
      </c>
      <c r="D20" s="276"/>
      <c r="E20" s="276"/>
      <c r="F20" s="277">
        <f>'数据-取费表'!B37</f>
        <v>0.02</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82</v>
      </c>
      <c r="D24" s="282"/>
      <c r="E24" s="282"/>
      <c r="F24" s="283"/>
      <c r="G24" s="284" t="s">
        <v>109</v>
      </c>
    </row>
    <row r="25" spans="1:7" s="258" customFormat="1" ht="24">
      <c r="A25" s="950" t="s">
        <v>793</v>
      </c>
      <c r="B25" s="259" t="s">
        <v>1058</v>
      </c>
      <c r="C25" s="1354">
        <f ca="1">ROUND(IF('数据-取费表'!B22&lt;=1,C20*F22*'数据-取费表'!B23/2,C20*(POWER((1+F22),'数据-取费表'!B23/2)-1)),0)</f>
        <v>20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4815</v>
      </c>
      <c r="D27" s="279">
        <f>C29</f>
        <v>6.6E-3</v>
      </c>
      <c r="E27" s="280" t="s">
        <v>126</v>
      </c>
      <c r="F27" s="290">
        <f>'数据-取费表'!Q16</f>
        <v>0.22</v>
      </c>
      <c r="G27" s="291" t="s">
        <v>1069</v>
      </c>
    </row>
    <row r="28" spans="1:7" s="258" customFormat="1" ht="13.5" customHeight="1">
      <c r="A28" s="950" t="s">
        <v>794</v>
      </c>
      <c r="B28" s="292" t="s">
        <v>1062</v>
      </c>
      <c r="C28" s="293">
        <f>ROUND((C5+C19+C20)*F27*'数据-取费表'!B21/'数据-取费表'!B20,0)</f>
        <v>4815</v>
      </c>
      <c r="D28" s="279"/>
      <c r="E28" s="280"/>
      <c r="F28" s="290"/>
      <c r="G28" s="291"/>
    </row>
    <row r="29" spans="1:7" s="258" customFormat="1" ht="13.5" customHeight="1">
      <c r="A29" s="950" t="s">
        <v>792</v>
      </c>
      <c r="B29" s="292" t="s">
        <v>1063</v>
      </c>
      <c r="C29" s="282">
        <f>ROUND(C21*F27*'数据-取费表'!B21/'数据-取费表'!B20,4)</f>
        <v>6.6E-3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14116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12698</v>
      </c>
      <c r="D34" s="261"/>
      <c r="E34" s="264"/>
      <c r="F34" s="301">
        <f>IF('数据-取费表'!B24=0,1,'数据-取费表'!N16)</f>
        <v>1</v>
      </c>
      <c r="G34" s="263" t="s">
        <v>116</v>
      </c>
    </row>
    <row r="35" spans="1:7" ht="13.5" customHeight="1">
      <c r="A35" s="950" t="s">
        <v>796</v>
      </c>
      <c r="B35" s="259" t="s">
        <v>60</v>
      </c>
      <c r="C35" s="264">
        <f>ROUND(C34*F35,0)</f>
        <v>381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847</v>
      </c>
      <c r="D37" s="261">
        <f>'数据-汇总表'!E3</f>
        <v>42325.20999999997</v>
      </c>
      <c r="E37" s="293">
        <f>'数据-取费表'!B35</f>
        <v>200</v>
      </c>
      <c r="F37" s="303"/>
      <c r="G37" s="305" t="s">
        <v>119</v>
      </c>
    </row>
    <row r="38" spans="1:7" ht="13.5" customHeight="1">
      <c r="A38" s="950" t="s">
        <v>799</v>
      </c>
      <c r="B38" s="259" t="s">
        <v>63</v>
      </c>
      <c r="C38" s="264">
        <f>ROUND(C34*F38,0)</f>
        <v>190</v>
      </c>
      <c r="D38" s="264"/>
      <c r="E38" s="264"/>
      <c r="F38" s="303">
        <f>'数据-取费表'!B36</f>
        <v>1.4999999999999999E-2</v>
      </c>
      <c r="G38" s="263" t="s">
        <v>117</v>
      </c>
    </row>
    <row r="39" spans="1:7" s="258" customFormat="1" ht="13.5" customHeight="1">
      <c r="A39" s="947" t="s">
        <v>783</v>
      </c>
      <c r="B39" s="254" t="s">
        <v>104</v>
      </c>
      <c r="C39" s="276">
        <f>ROUND(C33*F20,0)</f>
        <v>282</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684</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671</v>
      </c>
      <c r="D42" s="282"/>
      <c r="E42" s="282"/>
      <c r="F42" s="283"/>
      <c r="G42" s="3215" t="s">
        <v>121</v>
      </c>
    </row>
    <row r="43" spans="1:7" ht="13.5" customHeight="1">
      <c r="A43" s="950" t="s">
        <v>792</v>
      </c>
      <c r="B43" s="259" t="s">
        <v>1064</v>
      </c>
      <c r="C43" s="282">
        <f ca="1">ROUND(IF('数据-取费表'!B22&lt;=1,C39*F22*'数据-取费表'!B21/2,C39*(POWER((1+F22),'数据-取费表'!B21/2)-1)),0)</f>
        <v>13</v>
      </c>
      <c r="D43" s="282"/>
      <c r="E43" s="282"/>
      <c r="F43" s="283"/>
      <c r="G43" s="3216"/>
    </row>
    <row r="44" spans="1:7" ht="13.5" customHeight="1">
      <c r="A44" s="950" t="s">
        <v>793</v>
      </c>
      <c r="B44" s="259" t="s">
        <v>1066</v>
      </c>
      <c r="C44" s="282">
        <f ca="1">ROUND(IF('数据-取费表'!B22&lt;=1,C40*F22*'数据-取费表'!B21/2,C40*(POWER((1+F22),'数据-取费表'!B21/2)-1)),4)</f>
        <v>1.4E-3</v>
      </c>
      <c r="D44" s="282"/>
      <c r="E44" s="282"/>
      <c r="F44" s="283"/>
      <c r="G44" s="3217"/>
    </row>
    <row r="45" spans="1:7" s="258" customFormat="1" ht="13.5" customHeight="1">
      <c r="A45" s="947" t="s">
        <v>786</v>
      </c>
      <c r="B45" s="288" t="s">
        <v>112</v>
      </c>
      <c r="C45" s="289">
        <f>C46</f>
        <v>3168</v>
      </c>
      <c r="D45" s="279">
        <f>C47</f>
        <v>6.6E-3</v>
      </c>
      <c r="E45" s="280" t="s">
        <v>129</v>
      </c>
      <c r="F45" s="290"/>
      <c r="G45" s="291" t="s">
        <v>1072</v>
      </c>
    </row>
    <row r="46" spans="1:7" s="258" customFormat="1" ht="13.5" customHeight="1">
      <c r="A46" s="950" t="s">
        <v>794</v>
      </c>
      <c r="B46" s="292" t="s">
        <v>1065</v>
      </c>
      <c r="C46" s="293">
        <f>ROUND((C33+C39)*F27,0)</f>
        <v>3168</v>
      </c>
      <c r="D46" s="307"/>
      <c r="E46" s="280"/>
      <c r="F46" s="290"/>
      <c r="G46" s="291"/>
    </row>
    <row r="47" spans="1:7" s="258" customFormat="1" ht="13.5" customHeight="1">
      <c r="A47" s="950" t="s">
        <v>792</v>
      </c>
      <c r="B47" s="292" t="s">
        <v>1067</v>
      </c>
      <c r="C47" s="282">
        <f>ROUND(C40*F27,4)</f>
        <v>6.6E-3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20084</v>
      </c>
      <c r="D49" s="276"/>
      <c r="E49" s="276"/>
      <c r="F49" s="308"/>
      <c r="G49" s="278" t="s">
        <v>1073</v>
      </c>
    </row>
    <row r="50" spans="1:7" s="302" customFormat="1" ht="24">
      <c r="A50" s="947" t="s">
        <v>789</v>
      </c>
      <c r="B50" s="254" t="s">
        <v>124</v>
      </c>
      <c r="C50" s="276"/>
      <c r="D50" s="276"/>
      <c r="E50" s="276"/>
      <c r="F50" s="308">
        <f>IF('数据-取费表'!B24=0,'数据-取费表'!N16,1)</f>
        <v>0.97</v>
      </c>
      <c r="G50" s="291" t="s">
        <v>125</v>
      </c>
    </row>
    <row r="51" spans="1:7" ht="16.5" customHeight="1">
      <c r="A51" s="947" t="s">
        <v>790</v>
      </c>
      <c r="B51" s="254" t="s">
        <v>132</v>
      </c>
      <c r="C51" s="276">
        <f ca="1">ROUND(C49*F50,0)</f>
        <v>19481</v>
      </c>
      <c r="D51" s="276"/>
      <c r="E51" s="276"/>
      <c r="F51" s="308"/>
      <c r="G51" s="278" t="s">
        <v>64</v>
      </c>
    </row>
    <row r="52" spans="1:7" s="252" customFormat="1" ht="16.5" thickBot="1">
      <c r="A52" s="309" t="s">
        <v>65</v>
      </c>
      <c r="B52" s="310"/>
      <c r="C52" s="311">
        <f ca="1">C31+C51</f>
        <v>51183</v>
      </c>
      <c r="D52" s="310"/>
      <c r="E52" s="310"/>
      <c r="F52" s="310"/>
      <c r="G52" s="312"/>
    </row>
    <row r="55" spans="1:7" ht="15">
      <c r="B55" s="314" t="s">
        <v>66</v>
      </c>
      <c r="C55" s="315"/>
    </row>
    <row r="56" spans="1:7">
      <c r="B56" s="317" t="s">
        <v>67</v>
      </c>
      <c r="C56" s="318">
        <f ca="1">ROUND(C51/C52,3)</f>
        <v>0.38100000000000001</v>
      </c>
    </row>
    <row r="57" spans="1:7">
      <c r="B57" s="317" t="s">
        <v>68</v>
      </c>
      <c r="C57" s="319">
        <f ca="1">1-C56</f>
        <v>0.61899999999999999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52" t="s">
        <v>156</v>
      </c>
      <c r="B1" s="3352"/>
      <c r="C1" s="3352"/>
      <c r="D1" s="3352"/>
      <c r="E1" s="3352"/>
      <c r="F1" s="33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3" t="s">
        <v>169</v>
      </c>
      <c r="B2" s="3353"/>
      <c r="C2" s="3353"/>
      <c r="D2" s="3353"/>
      <c r="E2" s="3353"/>
      <c r="F2" s="33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2" t="s">
        <v>871</v>
      </c>
      <c r="B1" s="33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43228</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'结果表-商业'!D116</f>
        <v>出让国有建设用地使用权价值</v>
      </c>
      <c r="E2" s="3041"/>
      <c r="F2" s="3041" t="str">
        <f>'结果表-商业'!F116</f>
        <v>在建建筑物价值</v>
      </c>
      <c r="G2" s="3041"/>
      <c r="H2" s="3041" t="str">
        <f>IF(项目基本情况!B9="房地产市场价值","房地产市场价值","房地产价值")</f>
        <v>房地产价值</v>
      </c>
      <c r="I2" s="3041"/>
    </row>
    <row r="3" spans="1:9" ht="15">
      <c r="A3" s="3042"/>
      <c r="B3" s="3042"/>
      <c r="C3" s="3042"/>
      <c r="D3" s="1043" t="s">
        <v>1638</v>
      </c>
      <c r="E3" s="1043" t="s">
        <v>1644</v>
      </c>
      <c r="F3" s="1043" t="s">
        <v>1638</v>
      </c>
      <c r="G3" s="1043" t="s">
        <v>1639</v>
      </c>
      <c r="H3" s="1043" t="s">
        <v>1638</v>
      </c>
      <c r="I3" s="1043" t="s">
        <v>1639</v>
      </c>
    </row>
    <row r="4" spans="1:9" ht="45">
      <c r="A4" s="1970" t="str">
        <f>项目基本情况!S2</f>
        <v>北京市通州区临河里1号楼1-3层商业用房、1单元4-18层办公用房房地产</v>
      </c>
      <c r="B4" s="1043">
        <f>项目基本情况!C17</f>
        <v>42325.20999999997</v>
      </c>
      <c r="C4" s="1043">
        <f>项目基本情况!C18</f>
        <v>12092.92</v>
      </c>
      <c r="D4" s="1043">
        <f ca="1">'结果表-商业'!D118</f>
        <v>2389</v>
      </c>
      <c r="E4" s="1043">
        <f ca="1">'结果表-商业'!E118</f>
        <v>41032</v>
      </c>
      <c r="F4" s="1043">
        <f ca="1">'结果表-商业'!F118</f>
        <v>593</v>
      </c>
      <c r="G4" s="1043">
        <f ca="1">'结果表-商业'!G118</f>
        <v>10185</v>
      </c>
      <c r="H4" s="1043">
        <f ca="1">'结果表-商业'!H118</f>
        <v>2982</v>
      </c>
      <c r="I4" s="1043">
        <f ca="1">'结果表-商业'!I118</f>
        <v>51217</v>
      </c>
    </row>
    <row r="5" spans="1:9" ht="30" customHeight="1">
      <c r="A5" s="3042" t="s">
        <v>1640</v>
      </c>
      <c r="B5" s="3042"/>
      <c r="C5" s="3042"/>
      <c r="D5" s="3043" t="str">
        <f ca="1">'结果表-商业'!D119</f>
        <v>贰仟叁佰捌拾玖万元整</v>
      </c>
      <c r="E5" s="3043"/>
      <c r="F5" s="3043" t="str">
        <f ca="1">'结果表-商业'!F119</f>
        <v>伍佰玖拾叁万元整</v>
      </c>
      <c r="G5" s="3043"/>
      <c r="H5" s="3043" t="str">
        <f ca="1">'结果表-商业'!H119</f>
        <v>贰仟玖佰捌拾贰万元整</v>
      </c>
      <c r="I5" s="3043"/>
    </row>
    <row r="6" spans="1:9" ht="15.75">
      <c r="A6" s="3044" t="str">
        <f>'结果表-商业'!A120</f>
        <v>估价师知悉的法定优先受偿款</v>
      </c>
      <c r="B6" s="3044"/>
      <c r="C6" s="3044"/>
      <c r="D6" s="3044">
        <f>'结果表-商业'!D120</f>
        <v>0</v>
      </c>
      <c r="E6" s="3044"/>
      <c r="F6" s="3044"/>
      <c r="G6" s="3044"/>
      <c r="H6" s="3044"/>
      <c r="I6" s="3044"/>
    </row>
    <row r="7" spans="1:9" ht="15">
      <c r="A7" s="3042" t="s">
        <v>1640</v>
      </c>
      <c r="B7" s="3042"/>
      <c r="C7" s="3042"/>
      <c r="D7" s="3045" t="str">
        <f>'结果表-商业'!D121</f>
        <v>零元整</v>
      </c>
      <c r="E7" s="3046"/>
      <c r="F7" s="3046"/>
      <c r="G7" s="3046"/>
      <c r="H7" s="3046"/>
      <c r="I7" s="3047"/>
    </row>
    <row r="8" spans="1:9" ht="15.75">
      <c r="A8" s="3044" t="str">
        <f>'结果表-商业'!A122</f>
        <v/>
      </c>
      <c r="B8" s="3044"/>
      <c r="C8" s="3044"/>
      <c r="D8" s="3044" t="str">
        <f>'结果表-商业'!D122</f>
        <v>——</v>
      </c>
      <c r="E8" s="3044"/>
      <c r="F8" s="3044"/>
      <c r="G8" s="3044"/>
      <c r="H8" s="3044"/>
      <c r="I8" s="3044"/>
    </row>
    <row r="9" spans="1:9" ht="15">
      <c r="A9" s="3042" t="s">
        <v>1640</v>
      </c>
      <c r="B9" s="3042"/>
      <c r="C9" s="3042"/>
      <c r="D9" s="3043" t="e">
        <f>'结果表-商业'!D123</f>
        <v>#VALUE!</v>
      </c>
      <c r="E9" s="3043"/>
      <c r="F9" s="3043"/>
      <c r="G9" s="3043"/>
      <c r="H9" s="3043"/>
      <c r="I9" s="3043"/>
    </row>
    <row r="10" spans="1:9" ht="15.75">
      <c r="A10" s="3044" t="str">
        <f>'结果表-商业'!A124</f>
        <v>抵押担保权已注销时的房地产抵押价值</v>
      </c>
      <c r="B10" s="3044"/>
      <c r="C10" s="3044"/>
      <c r="D10" s="3044">
        <f ca="1">'结果表-商业'!D124</f>
        <v>2982</v>
      </c>
      <c r="E10" s="3044"/>
      <c r="F10" s="3044"/>
      <c r="G10" s="3044"/>
      <c r="H10" s="3044"/>
      <c r="I10" s="3044"/>
    </row>
    <row r="11" spans="1:9" ht="15">
      <c r="A11" s="3042" t="s">
        <v>1640</v>
      </c>
      <c r="B11" s="3042"/>
      <c r="C11" s="3042"/>
      <c r="D11" s="3043" t="str">
        <f ca="1">'结果表-商业'!D125</f>
        <v>贰仟玖佰捌拾贰万元整</v>
      </c>
      <c r="E11" s="3043"/>
      <c r="F11" s="3043"/>
      <c r="G11" s="3043"/>
      <c r="H11" s="3043"/>
      <c r="I11" s="3043"/>
    </row>
    <row r="12" spans="1:9" ht="15.75">
      <c r="A12" s="3044" t="str">
        <f>'结果表-商业'!A126</f>
        <v/>
      </c>
      <c r="B12" s="3044"/>
      <c r="C12" s="3044"/>
      <c r="D12" s="3044" t="str">
        <f>'结果表-商业'!D126</f>
        <v>——</v>
      </c>
      <c r="E12" s="3044"/>
      <c r="F12" s="3044"/>
      <c r="G12" s="3044"/>
      <c r="H12" s="3044"/>
      <c r="I12" s="3044"/>
    </row>
    <row r="13" spans="1:9" ht="15.75" thickBot="1">
      <c r="A13" s="3048" t="s">
        <v>1640</v>
      </c>
      <c r="B13" s="3048"/>
      <c r="C13" s="3048"/>
      <c r="D13" s="3049" t="e">
        <f>'结果表-商业'!D127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6.2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3004</v>
      </c>
      <c r="C1" s="3297" t="s">
        <v>3005</v>
      </c>
      <c r="D1" s="3298"/>
      <c r="E1" s="3298"/>
      <c r="F1" s="3298"/>
      <c r="G1" s="3298"/>
      <c r="H1" s="3298"/>
      <c r="I1" s="3298"/>
      <c r="J1" s="3298"/>
      <c r="K1" s="3298"/>
      <c r="L1" s="3298"/>
      <c r="M1" s="3298"/>
      <c r="N1" s="3298"/>
      <c r="O1" s="3298"/>
      <c r="P1" s="3298"/>
      <c r="Q1" s="3298"/>
      <c r="R1" s="3298"/>
      <c r="S1" s="3299"/>
      <c r="T1" s="1203" t="s">
        <v>2877</v>
      </c>
    </row>
    <row r="2" spans="1:45" s="706" customFormat="1" ht="38.25">
      <c r="A2" s="1204"/>
      <c r="B2" s="702" t="s">
        <v>1871</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700(含)-800</v>
      </c>
      <c r="K2" s="704" t="str">
        <f t="shared" si="0"/>
        <v>800(含)-900</v>
      </c>
      <c r="L2" s="704" t="str">
        <f t="shared" si="0"/>
        <v>900(含)-1000</v>
      </c>
      <c r="M2" s="704" t="str">
        <f t="shared" si="0"/>
        <v>1000(含)-</v>
      </c>
      <c r="N2" s="704" t="str">
        <f t="shared" si="0"/>
        <v>(含)-</v>
      </c>
      <c r="O2" s="704" t="str">
        <f t="shared" si="0"/>
        <v>(含)-</v>
      </c>
      <c r="P2" s="704" t="str">
        <f t="shared" si="0"/>
        <v>(含)-</v>
      </c>
      <c r="Q2" s="704" t="str">
        <f t="shared" si="0"/>
        <v>(含)-</v>
      </c>
      <c r="R2" s="704" t="str">
        <f t="shared" si="0"/>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t="14.25">
      <c r="A3" s="1206"/>
      <c r="B3" s="707"/>
      <c r="C3" s="3018">
        <v>0</v>
      </c>
      <c r="D3" s="3018">
        <v>100</v>
      </c>
      <c r="E3" s="3018">
        <v>200</v>
      </c>
      <c r="F3" s="3018">
        <v>300</v>
      </c>
      <c r="G3" s="3018">
        <v>400</v>
      </c>
      <c r="H3" s="3018">
        <v>500</v>
      </c>
      <c r="I3" s="3018">
        <v>600</v>
      </c>
      <c r="J3" s="3018">
        <v>700</v>
      </c>
      <c r="K3" s="3018">
        <v>800</v>
      </c>
      <c r="L3" s="3018">
        <v>900</v>
      </c>
      <c r="M3" s="3018">
        <v>1000</v>
      </c>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5" thickBot="1">
      <c r="A4" s="1207"/>
      <c r="B4" s="1208"/>
      <c r="C4" s="3019">
        <v>100</v>
      </c>
      <c r="D4" s="3020">
        <v>99</v>
      </c>
      <c r="E4" s="3020">
        <v>98</v>
      </c>
      <c r="F4" s="3020">
        <v>97</v>
      </c>
      <c r="G4" s="3020">
        <v>96</v>
      </c>
      <c r="H4" s="3020">
        <v>95</v>
      </c>
      <c r="I4" s="3020">
        <v>94</v>
      </c>
      <c r="J4" s="3020">
        <v>93</v>
      </c>
      <c r="K4" s="3020">
        <v>92</v>
      </c>
      <c r="L4" s="3020">
        <v>91</v>
      </c>
      <c r="M4" s="3020">
        <v>90</v>
      </c>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5" thickTop="1">
      <c r="A5" s="1214"/>
      <c r="B5" s="1767" t="s">
        <v>3008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3009</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3010</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4">D12-$T11</f>
        <v>100</v>
      </c>
      <c r="F12" s="1118">
        <f t="shared" si="4"/>
        <v>100</v>
      </c>
      <c r="G12" s="1118">
        <f t="shared" si="4"/>
        <v>100</v>
      </c>
      <c r="H12" s="1118">
        <f t="shared" si="4"/>
        <v>100</v>
      </c>
      <c r="I12" s="1118">
        <f t="shared" si="4"/>
        <v>100</v>
      </c>
      <c r="J12" s="1118">
        <f t="shared" si="4"/>
        <v>100</v>
      </c>
      <c r="K12" s="1118">
        <f t="shared" si="4"/>
        <v>100</v>
      </c>
      <c r="L12" s="1118">
        <f t="shared" si="4"/>
        <v>100</v>
      </c>
      <c r="M12" s="1118">
        <f t="shared" si="4"/>
        <v>100</v>
      </c>
      <c r="N12" s="1118">
        <f t="shared" si="4"/>
        <v>100</v>
      </c>
      <c r="O12" s="1118">
        <f t="shared" si="4"/>
        <v>100</v>
      </c>
      <c r="P12" s="1118">
        <f t="shared" si="4"/>
        <v>100</v>
      </c>
      <c r="Q12" s="1118">
        <f t="shared" si="4"/>
        <v>100</v>
      </c>
      <c r="R12" s="1118">
        <f>Q12-$T11</f>
        <v>100</v>
      </c>
      <c r="S12" s="1118">
        <f t="shared" si="4"/>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3014</v>
      </c>
      <c r="B17" s="2914" t="s">
        <v>3015</v>
      </c>
      <c r="C17" s="1230"/>
      <c r="D17" s="1231"/>
      <c r="E17" s="1231"/>
      <c r="F17" s="1231">
        <v>4</v>
      </c>
      <c r="G17" s="1231">
        <v>5</v>
      </c>
      <c r="H17" s="1231">
        <v>6</v>
      </c>
      <c r="I17" s="1231">
        <v>7</v>
      </c>
      <c r="J17" s="1231">
        <v>8</v>
      </c>
      <c r="K17" s="1231">
        <v>9</v>
      </c>
      <c r="L17" s="1231">
        <v>10</v>
      </c>
      <c r="M17" s="1231">
        <v>11</v>
      </c>
      <c r="N17" s="1231">
        <v>12</v>
      </c>
      <c r="O17" s="1231">
        <v>13</v>
      </c>
      <c r="P17" s="1231">
        <v>14</v>
      </c>
      <c r="Q17" s="1231">
        <v>15</v>
      </c>
      <c r="R17" s="1231">
        <v>16</v>
      </c>
      <c r="S17" s="1231">
        <v>17</v>
      </c>
      <c r="T17" s="1231">
        <v>18</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v>100</v>
      </c>
      <c r="G18" s="1243">
        <v>101</v>
      </c>
      <c r="H18" s="1243">
        <v>102</v>
      </c>
      <c r="I18" s="1243">
        <v>103</v>
      </c>
      <c r="J18" s="1243">
        <v>104</v>
      </c>
      <c r="K18" s="1243">
        <v>105</v>
      </c>
      <c r="L18" s="1243">
        <v>106</v>
      </c>
      <c r="M18" s="1243">
        <v>107</v>
      </c>
      <c r="N18" s="1243">
        <v>108</v>
      </c>
      <c r="O18" s="1243">
        <v>109</v>
      </c>
      <c r="P18" s="1243">
        <v>110</v>
      </c>
      <c r="Q18" s="1243">
        <v>111</v>
      </c>
      <c r="R18" s="1243">
        <v>112</v>
      </c>
      <c r="S18" s="1243">
        <v>113</v>
      </c>
      <c r="T18" s="1243">
        <v>114</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5" t="s">
        <v>3016</v>
      </c>
      <c r="E19" s="1790"/>
      <c r="F19" s="1790"/>
      <c r="G19" s="1790"/>
      <c r="H19" s="1279"/>
      <c r="I19" s="168"/>
      <c r="J19" s="168"/>
      <c r="K19" s="168"/>
      <c r="L19" s="168"/>
      <c r="M19" s="168"/>
      <c r="N19" s="168"/>
      <c r="O19" s="168"/>
      <c r="P19" s="168"/>
      <c r="Q19" s="168"/>
      <c r="R19" s="787"/>
      <c r="S19" s="138"/>
    </row>
    <row r="20" spans="1:45" ht="16.5" thickBot="1">
      <c r="A20" s="714" t="s">
        <v>3017</v>
      </c>
      <c r="B20" s="338">
        <f ca="1">IF(D20="——",S22,S22-F20)</f>
        <v>116151</v>
      </c>
      <c r="C20" s="168"/>
      <c r="D20" s="2916" t="s">
        <v>70</v>
      </c>
      <c r="E20" s="1791"/>
      <c r="F20" s="1203" t="e">
        <f ca="1">SUMIF(INDIRECT("'"&amp;H20&amp;"'"&amp;"!A:A"),"承租人权益价值",INDIRECT("'"&amp;H20&amp;"'"&amp;"!c:c"))</f>
        <v>#REF!</v>
      </c>
      <c r="G20" s="1203" t="s">
        <v>3018</v>
      </c>
      <c r="H20" s="2917"/>
      <c r="I20" s="168"/>
      <c r="J20" s="168"/>
      <c r="K20" s="168"/>
      <c r="L20" s="168"/>
      <c r="M20" s="168"/>
      <c r="N20" s="168"/>
      <c r="O20" s="168"/>
      <c r="P20" s="168"/>
      <c r="Q20" s="168"/>
      <c r="R20" s="787"/>
      <c r="S20" s="138"/>
    </row>
    <row r="21" spans="1:45" ht="15.75">
      <c r="A21" s="714" t="s">
        <v>3019</v>
      </c>
      <c r="B21" s="338">
        <f ca="1">R22</f>
        <v>40961</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28356.669999999973</v>
      </c>
      <c r="C22" s="3130" t="s">
        <v>33</v>
      </c>
      <c r="D22" s="3131"/>
      <c r="E22" s="3131"/>
      <c r="F22" s="3131"/>
      <c r="G22" s="3131"/>
      <c r="H22" s="3131"/>
      <c r="I22" s="3131"/>
      <c r="J22" s="3131"/>
      <c r="K22" s="3131"/>
      <c r="L22" s="3131"/>
      <c r="M22" s="3131"/>
      <c r="N22" s="3131"/>
      <c r="O22" s="3131"/>
      <c r="P22" s="3131"/>
      <c r="Q22" s="3296"/>
      <c r="R22" s="715">
        <f ca="1">ROUND(S22*10000/B22,0)</f>
        <v>40961</v>
      </c>
      <c r="S22" s="24">
        <f ca="1">SUM(S24:S10000)</f>
        <v>116151</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3402</v>
      </c>
      <c r="B24" s="717">
        <v>106.79</v>
      </c>
      <c r="C24" s="718">
        <v>1</v>
      </c>
      <c r="D24" s="719"/>
      <c r="E24" s="718">
        <v>1</v>
      </c>
      <c r="F24" s="719"/>
      <c r="G24" s="718">
        <v>1</v>
      </c>
      <c r="H24" s="719"/>
      <c r="I24" s="718">
        <v>1</v>
      </c>
      <c r="J24" s="719"/>
      <c r="K24" s="718">
        <v>1</v>
      </c>
      <c r="L24" s="719"/>
      <c r="M24" s="718">
        <v>1</v>
      </c>
      <c r="N24" s="719"/>
      <c r="O24" s="718">
        <v>1</v>
      </c>
      <c r="P24" s="719">
        <v>4</v>
      </c>
      <c r="Q24" s="718">
        <v>1</v>
      </c>
      <c r="R24" s="720">
        <f ca="1">'结果表-办公'!G20</f>
        <v>37956</v>
      </c>
      <c r="S24" s="718">
        <f t="shared" ref="S24:S87" ca="1" si="5">ROUND(R24*B24/10000,0)</f>
        <v>405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3403</v>
      </c>
      <c r="B25" s="59">
        <v>105.41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4</v>
      </c>
      <c r="Q25" s="24">
        <f>(SUMIF($17:$17,P25,$18:$18)-SUMIF($17:$17,$P$24,$18:$18)+100)/100</f>
        <v>1</v>
      </c>
      <c r="R25" s="715">
        <f ca="1">IF(B25="",0,ROUND($R$24*C25*E25*G25*I25*K25*M25*O25*Q25,0))</f>
        <v>37956</v>
      </c>
      <c r="S25" s="361">
        <f t="shared" ca="1" si="5"/>
        <v>400</v>
      </c>
    </row>
    <row r="26" spans="1:45">
      <c r="A26" s="159" t="s">
        <v>3404</v>
      </c>
      <c r="B26" s="59">
        <v>49.27</v>
      </c>
      <c r="C26" s="24">
        <f t="shared" ref="C26:C89" si="6">IF(B26="",1,(LOOKUP(B26,$3:$3,$4:$4)-LOOKUP($B$24,$3:$3,$4:$4)+100)/100)</f>
        <v>1.01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4</v>
      </c>
      <c r="Q26" s="24">
        <f t="shared" ref="Q26:Q89" si="13">(SUMIF($17:$17,P26,$18:$18)-SUMIF($17:$17,$P$24,$18:$18)+100)/100</f>
        <v>1</v>
      </c>
      <c r="R26" s="715">
        <f t="shared" ref="R26:R89" ca="1" si="14">IF(B26="",0,ROUND($R$24*C26*E26*G26*I26*K26*M26*O26*Q26,0))</f>
        <v>38336</v>
      </c>
      <c r="S26" s="361">
        <f t="shared" ca="1" si="5"/>
        <v>189</v>
      </c>
    </row>
    <row r="27" spans="1:45">
      <c r="A27" s="159" t="s">
        <v>3405</v>
      </c>
      <c r="B27" s="59">
        <v>105.41</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v>4</v>
      </c>
      <c r="Q27" s="24">
        <f t="shared" si="13"/>
        <v>1</v>
      </c>
      <c r="R27" s="715">
        <f t="shared" ca="1" si="14"/>
        <v>37956</v>
      </c>
      <c r="S27" s="361">
        <f t="shared" ca="1" si="5"/>
        <v>400</v>
      </c>
    </row>
    <row r="28" spans="1:45">
      <c r="A28" s="159" t="s">
        <v>3406</v>
      </c>
      <c r="B28" s="59">
        <v>96.37</v>
      </c>
      <c r="C28" s="24">
        <f t="shared" si="6"/>
        <v>1.01</v>
      </c>
      <c r="D28" s="719"/>
      <c r="E28" s="24">
        <f t="shared" si="7"/>
        <v>1</v>
      </c>
      <c r="F28" s="719"/>
      <c r="G28" s="24">
        <f t="shared" si="8"/>
        <v>1</v>
      </c>
      <c r="H28" s="719"/>
      <c r="I28" s="24">
        <f t="shared" si="9"/>
        <v>1</v>
      </c>
      <c r="J28" s="719"/>
      <c r="K28" s="24">
        <f t="shared" si="10"/>
        <v>1</v>
      </c>
      <c r="L28" s="719"/>
      <c r="M28" s="24">
        <f t="shared" si="11"/>
        <v>1</v>
      </c>
      <c r="N28" s="719"/>
      <c r="O28" s="24">
        <f t="shared" si="12"/>
        <v>1</v>
      </c>
      <c r="P28" s="719">
        <v>4</v>
      </c>
      <c r="Q28" s="24">
        <f t="shared" si="13"/>
        <v>1</v>
      </c>
      <c r="R28" s="715">
        <f t="shared" ca="1" si="14"/>
        <v>38336</v>
      </c>
      <c r="S28" s="361">
        <f t="shared" ca="1" si="5"/>
        <v>369</v>
      </c>
    </row>
    <row r="29" spans="1:45">
      <c r="A29" s="159" t="s">
        <v>3407</v>
      </c>
      <c r="B29" s="59">
        <v>73.66</v>
      </c>
      <c r="C29" s="24">
        <f t="shared" si="6"/>
        <v>1.01</v>
      </c>
      <c r="D29" s="719"/>
      <c r="E29" s="24">
        <f t="shared" si="7"/>
        <v>1</v>
      </c>
      <c r="F29" s="719"/>
      <c r="G29" s="24">
        <f t="shared" si="8"/>
        <v>1</v>
      </c>
      <c r="H29" s="719"/>
      <c r="I29" s="24">
        <f t="shared" si="9"/>
        <v>1</v>
      </c>
      <c r="J29" s="719"/>
      <c r="K29" s="24">
        <f t="shared" si="10"/>
        <v>1</v>
      </c>
      <c r="L29" s="719"/>
      <c r="M29" s="24">
        <f t="shared" si="11"/>
        <v>1</v>
      </c>
      <c r="N29" s="719"/>
      <c r="O29" s="24">
        <f t="shared" si="12"/>
        <v>1</v>
      </c>
      <c r="P29" s="719">
        <v>4</v>
      </c>
      <c r="Q29" s="24">
        <f t="shared" si="13"/>
        <v>1</v>
      </c>
      <c r="R29" s="715">
        <f t="shared" ca="1" si="14"/>
        <v>38336</v>
      </c>
      <c r="S29" s="361">
        <f t="shared" ca="1" si="5"/>
        <v>282</v>
      </c>
    </row>
    <row r="30" spans="1:45">
      <c r="A30" s="159" t="s">
        <v>3408</v>
      </c>
      <c r="B30" s="59">
        <v>91.12</v>
      </c>
      <c r="C30" s="24">
        <f t="shared" si="6"/>
        <v>1.01</v>
      </c>
      <c r="D30" s="719"/>
      <c r="E30" s="24">
        <f t="shared" si="7"/>
        <v>1</v>
      </c>
      <c r="F30" s="719"/>
      <c r="G30" s="24">
        <f t="shared" si="8"/>
        <v>1</v>
      </c>
      <c r="H30" s="719"/>
      <c r="I30" s="24">
        <f t="shared" si="9"/>
        <v>1</v>
      </c>
      <c r="J30" s="719"/>
      <c r="K30" s="24">
        <f t="shared" si="10"/>
        <v>1</v>
      </c>
      <c r="L30" s="719"/>
      <c r="M30" s="24">
        <f t="shared" si="11"/>
        <v>1</v>
      </c>
      <c r="N30" s="719"/>
      <c r="O30" s="24">
        <f t="shared" si="12"/>
        <v>1</v>
      </c>
      <c r="P30" s="719">
        <v>4</v>
      </c>
      <c r="Q30" s="24">
        <f t="shared" si="13"/>
        <v>1</v>
      </c>
      <c r="R30" s="715">
        <f t="shared" ca="1" si="14"/>
        <v>38336</v>
      </c>
      <c r="S30" s="361">
        <f t="shared" ca="1" si="5"/>
        <v>349</v>
      </c>
    </row>
    <row r="31" spans="1:45">
      <c r="A31" s="159" t="s">
        <v>3409</v>
      </c>
      <c r="B31" s="59">
        <v>106.21</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v>4</v>
      </c>
      <c r="Q31" s="24">
        <f t="shared" si="13"/>
        <v>1</v>
      </c>
      <c r="R31" s="715">
        <f t="shared" ca="1" si="14"/>
        <v>37956</v>
      </c>
      <c r="S31" s="361">
        <f t="shared" ca="1" si="5"/>
        <v>403</v>
      </c>
    </row>
    <row r="32" spans="1:45">
      <c r="A32" s="159" t="s">
        <v>3410</v>
      </c>
      <c r="B32" s="59">
        <v>121.12</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v>4</v>
      </c>
      <c r="Q32" s="24">
        <f t="shared" si="13"/>
        <v>1</v>
      </c>
      <c r="R32" s="715">
        <f t="shared" ca="1" si="14"/>
        <v>37956</v>
      </c>
      <c r="S32" s="361">
        <f t="shared" ca="1" si="5"/>
        <v>460</v>
      </c>
    </row>
    <row r="33" spans="1:19">
      <c r="A33" s="159" t="s">
        <v>3411</v>
      </c>
      <c r="B33" s="59">
        <v>86.19</v>
      </c>
      <c r="C33" s="24">
        <f t="shared" si="6"/>
        <v>1.01</v>
      </c>
      <c r="D33" s="719"/>
      <c r="E33" s="24">
        <f t="shared" si="7"/>
        <v>1</v>
      </c>
      <c r="F33" s="719"/>
      <c r="G33" s="24">
        <f t="shared" si="8"/>
        <v>1</v>
      </c>
      <c r="H33" s="719"/>
      <c r="I33" s="24">
        <f t="shared" si="9"/>
        <v>1</v>
      </c>
      <c r="J33" s="719"/>
      <c r="K33" s="24">
        <f t="shared" si="10"/>
        <v>1</v>
      </c>
      <c r="L33" s="719"/>
      <c r="M33" s="24">
        <f t="shared" si="11"/>
        <v>1</v>
      </c>
      <c r="N33" s="719"/>
      <c r="O33" s="24">
        <f t="shared" si="12"/>
        <v>1</v>
      </c>
      <c r="P33" s="719">
        <v>4</v>
      </c>
      <c r="Q33" s="24">
        <f t="shared" si="13"/>
        <v>1</v>
      </c>
      <c r="R33" s="715">
        <f t="shared" ca="1" si="14"/>
        <v>38336</v>
      </c>
      <c r="S33" s="361">
        <f t="shared" ca="1" si="5"/>
        <v>330</v>
      </c>
    </row>
    <row r="34" spans="1:19">
      <c r="A34" s="159" t="s">
        <v>3412</v>
      </c>
      <c r="B34" s="59">
        <v>148.59</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v>4</v>
      </c>
      <c r="Q34" s="24">
        <f t="shared" si="13"/>
        <v>1</v>
      </c>
      <c r="R34" s="715">
        <f t="shared" ca="1" si="14"/>
        <v>37956</v>
      </c>
      <c r="S34" s="361">
        <f t="shared" ca="1" si="5"/>
        <v>564</v>
      </c>
    </row>
    <row r="35" spans="1:19">
      <c r="A35" s="159" t="s">
        <v>3413</v>
      </c>
      <c r="B35" s="59">
        <v>57.15</v>
      </c>
      <c r="C35" s="24">
        <f t="shared" si="6"/>
        <v>1.01</v>
      </c>
      <c r="D35" s="719"/>
      <c r="E35" s="24">
        <f t="shared" si="7"/>
        <v>1</v>
      </c>
      <c r="F35" s="719"/>
      <c r="G35" s="24">
        <f t="shared" si="8"/>
        <v>1</v>
      </c>
      <c r="H35" s="719"/>
      <c r="I35" s="24">
        <f t="shared" si="9"/>
        <v>1</v>
      </c>
      <c r="J35" s="719"/>
      <c r="K35" s="24">
        <f t="shared" si="10"/>
        <v>1</v>
      </c>
      <c r="L35" s="719"/>
      <c r="M35" s="24">
        <f t="shared" si="11"/>
        <v>1</v>
      </c>
      <c r="N35" s="719"/>
      <c r="O35" s="24">
        <f t="shared" si="12"/>
        <v>1</v>
      </c>
      <c r="P35" s="719">
        <v>4</v>
      </c>
      <c r="Q35" s="24">
        <f t="shared" si="13"/>
        <v>1</v>
      </c>
      <c r="R35" s="715">
        <f t="shared" ca="1" si="14"/>
        <v>38336</v>
      </c>
      <c r="S35" s="361">
        <f t="shared" ca="1" si="5"/>
        <v>219</v>
      </c>
    </row>
    <row r="36" spans="1:19">
      <c r="A36" s="159" t="s">
        <v>3414</v>
      </c>
      <c r="B36" s="59">
        <v>58.52</v>
      </c>
      <c r="C36" s="24">
        <f t="shared" si="6"/>
        <v>1.01</v>
      </c>
      <c r="D36" s="719"/>
      <c r="E36" s="24">
        <f t="shared" si="7"/>
        <v>1</v>
      </c>
      <c r="F36" s="719"/>
      <c r="G36" s="24">
        <f t="shared" si="8"/>
        <v>1</v>
      </c>
      <c r="H36" s="719"/>
      <c r="I36" s="24">
        <f t="shared" si="9"/>
        <v>1</v>
      </c>
      <c r="J36" s="719"/>
      <c r="K36" s="24">
        <f t="shared" si="10"/>
        <v>1</v>
      </c>
      <c r="L36" s="719"/>
      <c r="M36" s="24">
        <f t="shared" si="11"/>
        <v>1</v>
      </c>
      <c r="N36" s="719"/>
      <c r="O36" s="24">
        <f t="shared" si="12"/>
        <v>1</v>
      </c>
      <c r="P36" s="719">
        <v>4</v>
      </c>
      <c r="Q36" s="24">
        <f t="shared" si="13"/>
        <v>1</v>
      </c>
      <c r="R36" s="715">
        <f t="shared" ca="1" si="14"/>
        <v>38336</v>
      </c>
      <c r="S36" s="361">
        <f t="shared" ca="1" si="5"/>
        <v>224</v>
      </c>
    </row>
    <row r="37" spans="1:19">
      <c r="A37" s="159" t="s">
        <v>3415</v>
      </c>
      <c r="B37" s="59">
        <v>139.69</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v>4</v>
      </c>
      <c r="Q37" s="24">
        <f t="shared" si="13"/>
        <v>1</v>
      </c>
      <c r="R37" s="715">
        <f t="shared" ca="1" si="14"/>
        <v>37956</v>
      </c>
      <c r="S37" s="361">
        <f t="shared" ca="1" si="5"/>
        <v>530</v>
      </c>
    </row>
    <row r="38" spans="1:19">
      <c r="A38" s="159" t="s">
        <v>3416</v>
      </c>
      <c r="B38" s="59">
        <v>91.55</v>
      </c>
      <c r="C38" s="24">
        <f t="shared" si="6"/>
        <v>1.01</v>
      </c>
      <c r="D38" s="719"/>
      <c r="E38" s="24">
        <f t="shared" si="7"/>
        <v>1</v>
      </c>
      <c r="F38" s="719"/>
      <c r="G38" s="24">
        <f t="shared" si="8"/>
        <v>1</v>
      </c>
      <c r="H38" s="719"/>
      <c r="I38" s="24">
        <f t="shared" si="9"/>
        <v>1</v>
      </c>
      <c r="J38" s="719"/>
      <c r="K38" s="24">
        <f t="shared" si="10"/>
        <v>1</v>
      </c>
      <c r="L38" s="719"/>
      <c r="M38" s="24">
        <f t="shared" si="11"/>
        <v>1</v>
      </c>
      <c r="N38" s="719"/>
      <c r="O38" s="24">
        <f t="shared" si="12"/>
        <v>1</v>
      </c>
      <c r="P38" s="719">
        <v>4</v>
      </c>
      <c r="Q38" s="24">
        <f t="shared" si="13"/>
        <v>1</v>
      </c>
      <c r="R38" s="715">
        <f t="shared" ca="1" si="14"/>
        <v>38336</v>
      </c>
      <c r="S38" s="361">
        <f t="shared" ca="1" si="5"/>
        <v>351</v>
      </c>
    </row>
    <row r="39" spans="1:19">
      <c r="A39" s="159" t="s">
        <v>3417</v>
      </c>
      <c r="B39" s="59">
        <v>94.09</v>
      </c>
      <c r="C39" s="24">
        <f t="shared" si="6"/>
        <v>1.01</v>
      </c>
      <c r="D39" s="719"/>
      <c r="E39" s="24">
        <f t="shared" si="7"/>
        <v>1</v>
      </c>
      <c r="F39" s="719"/>
      <c r="G39" s="24">
        <f t="shared" si="8"/>
        <v>1</v>
      </c>
      <c r="H39" s="719"/>
      <c r="I39" s="24">
        <f t="shared" si="9"/>
        <v>1</v>
      </c>
      <c r="J39" s="719"/>
      <c r="K39" s="24">
        <f t="shared" si="10"/>
        <v>1</v>
      </c>
      <c r="L39" s="719"/>
      <c r="M39" s="24">
        <f t="shared" si="11"/>
        <v>1</v>
      </c>
      <c r="N39" s="719"/>
      <c r="O39" s="24">
        <f t="shared" si="12"/>
        <v>1</v>
      </c>
      <c r="P39" s="719">
        <v>5</v>
      </c>
      <c r="Q39" s="24">
        <f t="shared" si="13"/>
        <v>1.01</v>
      </c>
      <c r="R39" s="715">
        <f t="shared" ca="1" si="14"/>
        <v>38719</v>
      </c>
      <c r="S39" s="361">
        <f t="shared" ca="1" si="5"/>
        <v>364</v>
      </c>
    </row>
    <row r="40" spans="1:19">
      <c r="A40" s="159" t="s">
        <v>3144</v>
      </c>
      <c r="B40" s="59">
        <v>76.27</v>
      </c>
      <c r="C40" s="24">
        <f t="shared" si="6"/>
        <v>1.01</v>
      </c>
      <c r="D40" s="719"/>
      <c r="E40" s="24">
        <f t="shared" si="7"/>
        <v>1</v>
      </c>
      <c r="F40" s="719"/>
      <c r="G40" s="24">
        <f t="shared" si="8"/>
        <v>1</v>
      </c>
      <c r="H40" s="719"/>
      <c r="I40" s="24">
        <f t="shared" si="9"/>
        <v>1</v>
      </c>
      <c r="J40" s="719"/>
      <c r="K40" s="24">
        <f t="shared" si="10"/>
        <v>1</v>
      </c>
      <c r="L40" s="719"/>
      <c r="M40" s="24">
        <f t="shared" si="11"/>
        <v>1</v>
      </c>
      <c r="N40" s="719"/>
      <c r="O40" s="24">
        <f t="shared" si="12"/>
        <v>1</v>
      </c>
      <c r="P40" s="719">
        <v>5</v>
      </c>
      <c r="Q40" s="24">
        <f t="shared" si="13"/>
        <v>1.01</v>
      </c>
      <c r="R40" s="715">
        <f t="shared" ca="1" si="14"/>
        <v>38719</v>
      </c>
      <c r="S40" s="361">
        <f t="shared" ca="1" si="5"/>
        <v>295</v>
      </c>
    </row>
    <row r="41" spans="1:19">
      <c r="A41" s="159" t="s">
        <v>3145</v>
      </c>
      <c r="B41" s="59">
        <v>75.760000000000005</v>
      </c>
      <c r="C41" s="24">
        <f t="shared" si="6"/>
        <v>1.01</v>
      </c>
      <c r="D41" s="719"/>
      <c r="E41" s="24">
        <f t="shared" si="7"/>
        <v>1</v>
      </c>
      <c r="F41" s="719"/>
      <c r="G41" s="24">
        <f t="shared" si="8"/>
        <v>1</v>
      </c>
      <c r="H41" s="719"/>
      <c r="I41" s="24">
        <f t="shared" si="9"/>
        <v>1</v>
      </c>
      <c r="J41" s="719"/>
      <c r="K41" s="24">
        <f t="shared" si="10"/>
        <v>1</v>
      </c>
      <c r="L41" s="719"/>
      <c r="M41" s="24">
        <f t="shared" si="11"/>
        <v>1</v>
      </c>
      <c r="N41" s="719"/>
      <c r="O41" s="24">
        <f t="shared" si="12"/>
        <v>1</v>
      </c>
      <c r="P41" s="719">
        <v>5</v>
      </c>
      <c r="Q41" s="24">
        <f t="shared" si="13"/>
        <v>1.01</v>
      </c>
      <c r="R41" s="715">
        <f t="shared" ca="1" si="14"/>
        <v>38719</v>
      </c>
      <c r="S41" s="361">
        <f t="shared" ca="1" si="5"/>
        <v>293</v>
      </c>
    </row>
    <row r="42" spans="1:19">
      <c r="A42" s="159" t="s">
        <v>3146</v>
      </c>
      <c r="B42" s="59">
        <v>89.95</v>
      </c>
      <c r="C42" s="24">
        <f t="shared" si="6"/>
        <v>1.01</v>
      </c>
      <c r="D42" s="719"/>
      <c r="E42" s="24">
        <f t="shared" si="7"/>
        <v>1</v>
      </c>
      <c r="F42" s="719"/>
      <c r="G42" s="24">
        <f t="shared" si="8"/>
        <v>1</v>
      </c>
      <c r="H42" s="719"/>
      <c r="I42" s="24">
        <f t="shared" si="9"/>
        <v>1</v>
      </c>
      <c r="J42" s="719"/>
      <c r="K42" s="24">
        <f t="shared" si="10"/>
        <v>1</v>
      </c>
      <c r="L42" s="719"/>
      <c r="M42" s="24">
        <f t="shared" si="11"/>
        <v>1</v>
      </c>
      <c r="N42" s="719"/>
      <c r="O42" s="24">
        <f t="shared" si="12"/>
        <v>1</v>
      </c>
      <c r="P42" s="719">
        <v>5</v>
      </c>
      <c r="Q42" s="24">
        <f t="shared" si="13"/>
        <v>1.01</v>
      </c>
      <c r="R42" s="715">
        <f t="shared" ca="1" si="14"/>
        <v>38719</v>
      </c>
      <c r="S42" s="361">
        <f t="shared" ca="1" si="5"/>
        <v>348</v>
      </c>
    </row>
    <row r="43" spans="1:19">
      <c r="A43" s="159" t="s">
        <v>3147</v>
      </c>
      <c r="B43" s="59">
        <v>99.07</v>
      </c>
      <c r="C43" s="24">
        <f t="shared" si="6"/>
        <v>1.01</v>
      </c>
      <c r="D43" s="719"/>
      <c r="E43" s="24">
        <f t="shared" si="7"/>
        <v>1</v>
      </c>
      <c r="F43" s="719"/>
      <c r="G43" s="24">
        <f t="shared" si="8"/>
        <v>1</v>
      </c>
      <c r="H43" s="719"/>
      <c r="I43" s="24">
        <f t="shared" si="9"/>
        <v>1</v>
      </c>
      <c r="J43" s="719"/>
      <c r="K43" s="24">
        <f t="shared" si="10"/>
        <v>1</v>
      </c>
      <c r="L43" s="719"/>
      <c r="M43" s="24">
        <f t="shared" si="11"/>
        <v>1</v>
      </c>
      <c r="N43" s="719"/>
      <c r="O43" s="24">
        <f t="shared" si="12"/>
        <v>1</v>
      </c>
      <c r="P43" s="719">
        <v>5</v>
      </c>
      <c r="Q43" s="24">
        <f t="shared" si="13"/>
        <v>1.01</v>
      </c>
      <c r="R43" s="715">
        <f t="shared" ca="1" si="14"/>
        <v>38719</v>
      </c>
      <c r="S43" s="361">
        <f t="shared" ca="1" si="5"/>
        <v>384</v>
      </c>
    </row>
    <row r="44" spans="1:19">
      <c r="A44" s="159" t="s">
        <v>3148</v>
      </c>
      <c r="B44" s="59">
        <v>72.89</v>
      </c>
      <c r="C44" s="24">
        <f t="shared" si="6"/>
        <v>1.01</v>
      </c>
      <c r="D44" s="719"/>
      <c r="E44" s="24">
        <f t="shared" si="7"/>
        <v>1</v>
      </c>
      <c r="F44" s="719"/>
      <c r="G44" s="24">
        <f t="shared" si="8"/>
        <v>1</v>
      </c>
      <c r="H44" s="719"/>
      <c r="I44" s="24">
        <f t="shared" si="9"/>
        <v>1</v>
      </c>
      <c r="J44" s="719"/>
      <c r="K44" s="24">
        <f t="shared" si="10"/>
        <v>1</v>
      </c>
      <c r="L44" s="719"/>
      <c r="M44" s="24">
        <f t="shared" si="11"/>
        <v>1</v>
      </c>
      <c r="N44" s="719"/>
      <c r="O44" s="24">
        <f t="shared" si="12"/>
        <v>1</v>
      </c>
      <c r="P44" s="719">
        <v>5</v>
      </c>
      <c r="Q44" s="24">
        <f t="shared" si="13"/>
        <v>1.01</v>
      </c>
      <c r="R44" s="715">
        <f t="shared" ca="1" si="14"/>
        <v>38719</v>
      </c>
      <c r="S44" s="361">
        <f t="shared" ca="1" si="5"/>
        <v>282</v>
      </c>
    </row>
    <row r="45" spans="1:19">
      <c r="A45" s="159" t="s">
        <v>3149</v>
      </c>
      <c r="B45" s="59">
        <v>81.849999999999994</v>
      </c>
      <c r="C45" s="24">
        <f t="shared" si="6"/>
        <v>1.01</v>
      </c>
      <c r="D45" s="719"/>
      <c r="E45" s="24">
        <f t="shared" si="7"/>
        <v>1</v>
      </c>
      <c r="F45" s="719"/>
      <c r="G45" s="24">
        <f t="shared" si="8"/>
        <v>1</v>
      </c>
      <c r="H45" s="719"/>
      <c r="I45" s="24">
        <f t="shared" si="9"/>
        <v>1</v>
      </c>
      <c r="J45" s="719"/>
      <c r="K45" s="24">
        <f t="shared" si="10"/>
        <v>1</v>
      </c>
      <c r="L45" s="719"/>
      <c r="M45" s="24">
        <f t="shared" si="11"/>
        <v>1</v>
      </c>
      <c r="N45" s="719"/>
      <c r="O45" s="24">
        <f t="shared" si="12"/>
        <v>1</v>
      </c>
      <c r="P45" s="719">
        <v>5</v>
      </c>
      <c r="Q45" s="24">
        <f t="shared" si="13"/>
        <v>1.01</v>
      </c>
      <c r="R45" s="715">
        <f t="shared" ca="1" si="14"/>
        <v>38719</v>
      </c>
      <c r="S45" s="361">
        <f t="shared" ca="1" si="5"/>
        <v>317</v>
      </c>
    </row>
    <row r="46" spans="1:19">
      <c r="A46" s="159" t="s">
        <v>3150</v>
      </c>
      <c r="B46" s="59">
        <v>68.75</v>
      </c>
      <c r="C46" s="24">
        <f t="shared" si="6"/>
        <v>1.01</v>
      </c>
      <c r="D46" s="719"/>
      <c r="E46" s="24">
        <f t="shared" si="7"/>
        <v>1</v>
      </c>
      <c r="F46" s="719"/>
      <c r="G46" s="24">
        <f t="shared" si="8"/>
        <v>1</v>
      </c>
      <c r="H46" s="719"/>
      <c r="I46" s="24">
        <f t="shared" si="9"/>
        <v>1</v>
      </c>
      <c r="J46" s="719"/>
      <c r="K46" s="24">
        <f t="shared" si="10"/>
        <v>1</v>
      </c>
      <c r="L46" s="719"/>
      <c r="M46" s="24">
        <f t="shared" si="11"/>
        <v>1</v>
      </c>
      <c r="N46" s="719"/>
      <c r="O46" s="24">
        <f t="shared" si="12"/>
        <v>1</v>
      </c>
      <c r="P46" s="719">
        <v>5</v>
      </c>
      <c r="Q46" s="24">
        <f t="shared" si="13"/>
        <v>1.01</v>
      </c>
      <c r="R46" s="715">
        <f t="shared" ca="1" si="14"/>
        <v>38719</v>
      </c>
      <c r="S46" s="361">
        <f t="shared" ca="1" si="5"/>
        <v>266</v>
      </c>
    </row>
    <row r="47" spans="1:19">
      <c r="A47" s="159" t="s">
        <v>3151</v>
      </c>
      <c r="B47" s="59">
        <v>69.97</v>
      </c>
      <c r="C47" s="24">
        <f t="shared" si="6"/>
        <v>1.01</v>
      </c>
      <c r="D47" s="719"/>
      <c r="E47" s="24">
        <f t="shared" si="7"/>
        <v>1</v>
      </c>
      <c r="F47" s="719"/>
      <c r="G47" s="24">
        <f t="shared" si="8"/>
        <v>1</v>
      </c>
      <c r="H47" s="719"/>
      <c r="I47" s="24">
        <f t="shared" si="9"/>
        <v>1</v>
      </c>
      <c r="J47" s="719"/>
      <c r="K47" s="24">
        <f t="shared" si="10"/>
        <v>1</v>
      </c>
      <c r="L47" s="719"/>
      <c r="M47" s="24">
        <f t="shared" si="11"/>
        <v>1</v>
      </c>
      <c r="N47" s="719"/>
      <c r="O47" s="24">
        <f t="shared" si="12"/>
        <v>1</v>
      </c>
      <c r="P47" s="719">
        <v>5</v>
      </c>
      <c r="Q47" s="24">
        <f t="shared" si="13"/>
        <v>1.01</v>
      </c>
      <c r="R47" s="715">
        <f t="shared" ca="1" si="14"/>
        <v>38719</v>
      </c>
      <c r="S47" s="361">
        <f t="shared" ca="1" si="5"/>
        <v>271</v>
      </c>
    </row>
    <row r="48" spans="1:19">
      <c r="A48" s="159" t="s">
        <v>3152</v>
      </c>
      <c r="B48" s="59">
        <v>107.5</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v>5</v>
      </c>
      <c r="Q48" s="24">
        <f t="shared" si="13"/>
        <v>1.01</v>
      </c>
      <c r="R48" s="715">
        <f t="shared" ca="1" si="14"/>
        <v>38336</v>
      </c>
      <c r="S48" s="361">
        <f t="shared" ca="1" si="5"/>
        <v>412</v>
      </c>
    </row>
    <row r="49" spans="1:19">
      <c r="A49" s="159" t="s">
        <v>3153</v>
      </c>
      <c r="B49" s="59">
        <v>73.87</v>
      </c>
      <c r="C49" s="24">
        <f t="shared" si="6"/>
        <v>1.01</v>
      </c>
      <c r="D49" s="719"/>
      <c r="E49" s="24">
        <f t="shared" si="7"/>
        <v>1</v>
      </c>
      <c r="F49" s="719"/>
      <c r="G49" s="24">
        <f t="shared" si="8"/>
        <v>1</v>
      </c>
      <c r="H49" s="719"/>
      <c r="I49" s="24">
        <f t="shared" si="9"/>
        <v>1</v>
      </c>
      <c r="J49" s="719"/>
      <c r="K49" s="24">
        <f t="shared" si="10"/>
        <v>1</v>
      </c>
      <c r="L49" s="719"/>
      <c r="M49" s="24">
        <f t="shared" si="11"/>
        <v>1</v>
      </c>
      <c r="N49" s="719"/>
      <c r="O49" s="24">
        <f t="shared" si="12"/>
        <v>1</v>
      </c>
      <c r="P49" s="719">
        <v>5</v>
      </c>
      <c r="Q49" s="24">
        <f t="shared" si="13"/>
        <v>1.01</v>
      </c>
      <c r="R49" s="715">
        <f t="shared" ca="1" si="14"/>
        <v>38719</v>
      </c>
      <c r="S49" s="361">
        <f t="shared" ca="1" si="5"/>
        <v>286</v>
      </c>
    </row>
    <row r="50" spans="1:19">
      <c r="A50" s="159" t="s">
        <v>3154</v>
      </c>
      <c r="B50" s="59">
        <v>115.57</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v>5</v>
      </c>
      <c r="Q50" s="24">
        <f t="shared" si="13"/>
        <v>1.01</v>
      </c>
      <c r="R50" s="715">
        <f t="shared" ca="1" si="14"/>
        <v>38336</v>
      </c>
      <c r="S50" s="361">
        <f t="shared" ca="1" si="5"/>
        <v>443</v>
      </c>
    </row>
    <row r="51" spans="1:19">
      <c r="A51" s="159" t="s">
        <v>3155</v>
      </c>
      <c r="B51" s="59">
        <v>83.27</v>
      </c>
      <c r="C51" s="24">
        <f t="shared" si="6"/>
        <v>1.01</v>
      </c>
      <c r="D51" s="719"/>
      <c r="E51" s="24">
        <f t="shared" si="7"/>
        <v>1</v>
      </c>
      <c r="F51" s="719"/>
      <c r="G51" s="24">
        <f t="shared" si="8"/>
        <v>1</v>
      </c>
      <c r="H51" s="719"/>
      <c r="I51" s="24">
        <f t="shared" si="9"/>
        <v>1</v>
      </c>
      <c r="J51" s="719"/>
      <c r="K51" s="24">
        <f t="shared" si="10"/>
        <v>1</v>
      </c>
      <c r="L51" s="719"/>
      <c r="M51" s="24">
        <f t="shared" si="11"/>
        <v>1</v>
      </c>
      <c r="N51" s="719"/>
      <c r="O51" s="24">
        <f t="shared" si="12"/>
        <v>1</v>
      </c>
      <c r="P51" s="719">
        <v>5</v>
      </c>
      <c r="Q51" s="24">
        <f t="shared" si="13"/>
        <v>1.01</v>
      </c>
      <c r="R51" s="715">
        <f t="shared" ca="1" si="14"/>
        <v>38719</v>
      </c>
      <c r="S51" s="361">
        <f t="shared" ca="1" si="5"/>
        <v>322</v>
      </c>
    </row>
    <row r="52" spans="1:19">
      <c r="A52" s="159" t="s">
        <v>3156</v>
      </c>
      <c r="B52" s="59">
        <v>83.27</v>
      </c>
      <c r="C52" s="24">
        <f t="shared" si="6"/>
        <v>1.01</v>
      </c>
      <c r="D52" s="719"/>
      <c r="E52" s="24">
        <f t="shared" si="7"/>
        <v>1</v>
      </c>
      <c r="F52" s="719"/>
      <c r="G52" s="24">
        <f t="shared" si="8"/>
        <v>1</v>
      </c>
      <c r="H52" s="719"/>
      <c r="I52" s="24">
        <f t="shared" si="9"/>
        <v>1</v>
      </c>
      <c r="J52" s="719"/>
      <c r="K52" s="24">
        <f t="shared" si="10"/>
        <v>1</v>
      </c>
      <c r="L52" s="719"/>
      <c r="M52" s="24">
        <f t="shared" si="11"/>
        <v>1</v>
      </c>
      <c r="N52" s="719"/>
      <c r="O52" s="24">
        <f t="shared" si="12"/>
        <v>1</v>
      </c>
      <c r="P52" s="719">
        <v>5</v>
      </c>
      <c r="Q52" s="24">
        <f t="shared" si="13"/>
        <v>1.01</v>
      </c>
      <c r="R52" s="715">
        <f t="shared" ca="1" si="14"/>
        <v>38719</v>
      </c>
      <c r="S52" s="361">
        <f t="shared" ca="1" si="5"/>
        <v>322</v>
      </c>
    </row>
    <row r="53" spans="1:19">
      <c r="A53" s="159" t="s">
        <v>3157</v>
      </c>
      <c r="B53" s="59">
        <v>115.96</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v>5</v>
      </c>
      <c r="Q53" s="24">
        <f t="shared" si="13"/>
        <v>1.01</v>
      </c>
      <c r="R53" s="715">
        <f t="shared" ca="1" si="14"/>
        <v>38336</v>
      </c>
      <c r="S53" s="361">
        <f t="shared" ca="1" si="5"/>
        <v>445</v>
      </c>
    </row>
    <row r="54" spans="1:19">
      <c r="A54" s="159" t="s">
        <v>3158</v>
      </c>
      <c r="B54" s="59">
        <v>87.71</v>
      </c>
      <c r="C54" s="24">
        <f t="shared" si="6"/>
        <v>1.01</v>
      </c>
      <c r="D54" s="719"/>
      <c r="E54" s="24">
        <f t="shared" si="7"/>
        <v>1</v>
      </c>
      <c r="F54" s="719"/>
      <c r="G54" s="24">
        <f t="shared" si="8"/>
        <v>1</v>
      </c>
      <c r="H54" s="719"/>
      <c r="I54" s="24">
        <f t="shared" si="9"/>
        <v>1</v>
      </c>
      <c r="J54" s="719"/>
      <c r="K54" s="24">
        <f t="shared" si="10"/>
        <v>1</v>
      </c>
      <c r="L54" s="719"/>
      <c r="M54" s="24">
        <f t="shared" si="11"/>
        <v>1</v>
      </c>
      <c r="N54" s="719"/>
      <c r="O54" s="24">
        <f t="shared" si="12"/>
        <v>1</v>
      </c>
      <c r="P54" s="719">
        <v>5</v>
      </c>
      <c r="Q54" s="24">
        <f t="shared" si="13"/>
        <v>1.01</v>
      </c>
      <c r="R54" s="715">
        <f t="shared" ca="1" si="14"/>
        <v>38719</v>
      </c>
      <c r="S54" s="361">
        <f t="shared" ca="1" si="5"/>
        <v>340</v>
      </c>
    </row>
    <row r="55" spans="1:19">
      <c r="A55" s="159" t="s">
        <v>3159</v>
      </c>
      <c r="B55" s="59">
        <v>126.15</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v>5</v>
      </c>
      <c r="Q55" s="24">
        <f t="shared" si="13"/>
        <v>1.01</v>
      </c>
      <c r="R55" s="715">
        <f t="shared" ca="1" si="14"/>
        <v>38336</v>
      </c>
      <c r="S55" s="361">
        <f t="shared" ca="1" si="5"/>
        <v>484</v>
      </c>
    </row>
    <row r="56" spans="1:19">
      <c r="A56" s="159" t="s">
        <v>3160</v>
      </c>
      <c r="B56" s="59">
        <v>91.67</v>
      </c>
      <c r="C56" s="24">
        <f t="shared" si="6"/>
        <v>1.01</v>
      </c>
      <c r="D56" s="719"/>
      <c r="E56" s="24">
        <f t="shared" si="7"/>
        <v>1</v>
      </c>
      <c r="F56" s="719"/>
      <c r="G56" s="24">
        <f t="shared" si="8"/>
        <v>1</v>
      </c>
      <c r="H56" s="719"/>
      <c r="I56" s="24">
        <f t="shared" si="9"/>
        <v>1</v>
      </c>
      <c r="J56" s="719"/>
      <c r="K56" s="24">
        <f t="shared" si="10"/>
        <v>1</v>
      </c>
      <c r="L56" s="719"/>
      <c r="M56" s="24">
        <f t="shared" si="11"/>
        <v>1</v>
      </c>
      <c r="N56" s="719"/>
      <c r="O56" s="24">
        <f t="shared" si="12"/>
        <v>1</v>
      </c>
      <c r="P56" s="719">
        <v>5</v>
      </c>
      <c r="Q56" s="24">
        <f t="shared" si="13"/>
        <v>1.01</v>
      </c>
      <c r="R56" s="715">
        <f t="shared" ca="1" si="14"/>
        <v>38719</v>
      </c>
      <c r="S56" s="361">
        <f t="shared" ca="1" si="5"/>
        <v>355</v>
      </c>
    </row>
    <row r="57" spans="1:19">
      <c r="A57" s="159" t="s">
        <v>3161</v>
      </c>
      <c r="B57" s="59">
        <v>76.2</v>
      </c>
      <c r="C57" s="24">
        <f t="shared" si="6"/>
        <v>1.01</v>
      </c>
      <c r="D57" s="719"/>
      <c r="E57" s="24">
        <f t="shared" si="7"/>
        <v>1</v>
      </c>
      <c r="F57" s="719"/>
      <c r="G57" s="24">
        <f t="shared" si="8"/>
        <v>1</v>
      </c>
      <c r="H57" s="719"/>
      <c r="I57" s="24">
        <f t="shared" si="9"/>
        <v>1</v>
      </c>
      <c r="J57" s="719"/>
      <c r="K57" s="24">
        <f t="shared" si="10"/>
        <v>1</v>
      </c>
      <c r="L57" s="719"/>
      <c r="M57" s="24">
        <f t="shared" si="11"/>
        <v>1</v>
      </c>
      <c r="N57" s="719"/>
      <c r="O57" s="24">
        <f t="shared" si="12"/>
        <v>1</v>
      </c>
      <c r="P57" s="719">
        <v>5</v>
      </c>
      <c r="Q57" s="24">
        <f t="shared" si="13"/>
        <v>1.01</v>
      </c>
      <c r="R57" s="715">
        <f t="shared" ca="1" si="14"/>
        <v>38719</v>
      </c>
      <c r="S57" s="361">
        <f t="shared" ca="1" si="5"/>
        <v>295</v>
      </c>
    </row>
    <row r="58" spans="1:19">
      <c r="A58" s="159" t="s">
        <v>3162</v>
      </c>
      <c r="B58" s="59">
        <v>95.36</v>
      </c>
      <c r="C58" s="24">
        <f t="shared" si="6"/>
        <v>1.01</v>
      </c>
      <c r="D58" s="719"/>
      <c r="E58" s="24">
        <f t="shared" si="7"/>
        <v>1</v>
      </c>
      <c r="F58" s="719"/>
      <c r="G58" s="24">
        <f t="shared" si="8"/>
        <v>1</v>
      </c>
      <c r="H58" s="719"/>
      <c r="I58" s="24">
        <f t="shared" si="9"/>
        <v>1</v>
      </c>
      <c r="J58" s="719"/>
      <c r="K58" s="24">
        <f t="shared" si="10"/>
        <v>1</v>
      </c>
      <c r="L58" s="719"/>
      <c r="M58" s="24">
        <f t="shared" si="11"/>
        <v>1</v>
      </c>
      <c r="N58" s="719"/>
      <c r="O58" s="24">
        <f t="shared" si="12"/>
        <v>1</v>
      </c>
      <c r="P58" s="719">
        <v>5</v>
      </c>
      <c r="Q58" s="24">
        <f t="shared" si="13"/>
        <v>1.01</v>
      </c>
      <c r="R58" s="715">
        <f t="shared" ca="1" si="14"/>
        <v>38719</v>
      </c>
      <c r="S58" s="361">
        <f t="shared" ca="1" si="5"/>
        <v>369</v>
      </c>
    </row>
    <row r="59" spans="1:19">
      <c r="A59" s="159" t="s">
        <v>3163</v>
      </c>
      <c r="B59" s="59">
        <v>68.849999999999994</v>
      </c>
      <c r="C59" s="24">
        <f t="shared" si="6"/>
        <v>1.01</v>
      </c>
      <c r="D59" s="719"/>
      <c r="E59" s="24">
        <f t="shared" si="7"/>
        <v>1</v>
      </c>
      <c r="F59" s="719"/>
      <c r="G59" s="24">
        <f t="shared" si="8"/>
        <v>1</v>
      </c>
      <c r="H59" s="719"/>
      <c r="I59" s="24">
        <f t="shared" si="9"/>
        <v>1</v>
      </c>
      <c r="J59" s="719"/>
      <c r="K59" s="24">
        <f t="shared" si="10"/>
        <v>1</v>
      </c>
      <c r="L59" s="719"/>
      <c r="M59" s="24">
        <f t="shared" si="11"/>
        <v>1</v>
      </c>
      <c r="N59" s="719"/>
      <c r="O59" s="24">
        <f t="shared" si="12"/>
        <v>1</v>
      </c>
      <c r="P59" s="719">
        <v>5</v>
      </c>
      <c r="Q59" s="24">
        <f t="shared" si="13"/>
        <v>1.01</v>
      </c>
      <c r="R59" s="715">
        <f t="shared" ca="1" si="14"/>
        <v>38719</v>
      </c>
      <c r="S59" s="361">
        <f t="shared" ca="1" si="5"/>
        <v>267</v>
      </c>
    </row>
    <row r="60" spans="1:19">
      <c r="A60" s="159" t="s">
        <v>3164</v>
      </c>
      <c r="B60" s="59">
        <v>68.849999999999994</v>
      </c>
      <c r="C60" s="24">
        <f t="shared" si="6"/>
        <v>1.01</v>
      </c>
      <c r="D60" s="719"/>
      <c r="E60" s="24">
        <f t="shared" si="7"/>
        <v>1</v>
      </c>
      <c r="F60" s="719"/>
      <c r="G60" s="24">
        <f t="shared" si="8"/>
        <v>1</v>
      </c>
      <c r="H60" s="719"/>
      <c r="I60" s="24">
        <f t="shared" si="9"/>
        <v>1</v>
      </c>
      <c r="J60" s="719"/>
      <c r="K60" s="24">
        <f t="shared" si="10"/>
        <v>1</v>
      </c>
      <c r="L60" s="719"/>
      <c r="M60" s="24">
        <f t="shared" si="11"/>
        <v>1</v>
      </c>
      <c r="N60" s="719"/>
      <c r="O60" s="24">
        <f t="shared" si="12"/>
        <v>1</v>
      </c>
      <c r="P60" s="719">
        <v>5</v>
      </c>
      <c r="Q60" s="24">
        <f t="shared" si="13"/>
        <v>1.01</v>
      </c>
      <c r="R60" s="715">
        <f t="shared" ca="1" si="14"/>
        <v>38719</v>
      </c>
      <c r="S60" s="361">
        <f t="shared" ca="1" si="5"/>
        <v>267</v>
      </c>
    </row>
    <row r="61" spans="1:19">
      <c r="A61" s="159" t="s">
        <v>3418</v>
      </c>
      <c r="B61" s="59">
        <v>94.09</v>
      </c>
      <c r="C61" s="24">
        <f t="shared" si="6"/>
        <v>1.01</v>
      </c>
      <c r="D61" s="719"/>
      <c r="E61" s="24">
        <f t="shared" si="7"/>
        <v>1</v>
      </c>
      <c r="F61" s="719"/>
      <c r="G61" s="24">
        <f t="shared" si="8"/>
        <v>1</v>
      </c>
      <c r="H61" s="719"/>
      <c r="I61" s="24">
        <f t="shared" si="9"/>
        <v>1</v>
      </c>
      <c r="J61" s="719"/>
      <c r="K61" s="24">
        <f t="shared" si="10"/>
        <v>1</v>
      </c>
      <c r="L61" s="719"/>
      <c r="M61" s="24">
        <f t="shared" si="11"/>
        <v>1</v>
      </c>
      <c r="N61" s="719"/>
      <c r="O61" s="24">
        <f t="shared" si="12"/>
        <v>1</v>
      </c>
      <c r="P61" s="719">
        <v>6</v>
      </c>
      <c r="Q61" s="24">
        <f t="shared" si="13"/>
        <v>1.02</v>
      </c>
      <c r="R61" s="715">
        <f t="shared" ca="1" si="14"/>
        <v>39102</v>
      </c>
      <c r="S61" s="361">
        <f t="shared" ca="1" si="5"/>
        <v>368</v>
      </c>
    </row>
    <row r="62" spans="1:19">
      <c r="A62" s="159" t="s">
        <v>3419</v>
      </c>
      <c r="B62" s="59">
        <v>76.27</v>
      </c>
      <c r="C62" s="24">
        <f t="shared" si="6"/>
        <v>1.01</v>
      </c>
      <c r="D62" s="719"/>
      <c r="E62" s="24">
        <f t="shared" si="7"/>
        <v>1</v>
      </c>
      <c r="F62" s="719"/>
      <c r="G62" s="24">
        <f t="shared" si="8"/>
        <v>1</v>
      </c>
      <c r="H62" s="719"/>
      <c r="I62" s="24">
        <f t="shared" si="9"/>
        <v>1</v>
      </c>
      <c r="J62" s="719"/>
      <c r="K62" s="24">
        <f t="shared" si="10"/>
        <v>1</v>
      </c>
      <c r="L62" s="719"/>
      <c r="M62" s="24">
        <f t="shared" si="11"/>
        <v>1</v>
      </c>
      <c r="N62" s="719"/>
      <c r="O62" s="24">
        <f t="shared" si="12"/>
        <v>1</v>
      </c>
      <c r="P62" s="719">
        <v>6</v>
      </c>
      <c r="Q62" s="24">
        <f t="shared" si="13"/>
        <v>1.02</v>
      </c>
      <c r="R62" s="715">
        <f t="shared" ca="1" si="14"/>
        <v>39102</v>
      </c>
      <c r="S62" s="361">
        <f t="shared" ca="1" si="5"/>
        <v>298</v>
      </c>
    </row>
    <row r="63" spans="1:19">
      <c r="A63" s="159" t="s">
        <v>3420</v>
      </c>
      <c r="B63" s="59">
        <v>75.760000000000005</v>
      </c>
      <c r="C63" s="24">
        <f t="shared" si="6"/>
        <v>1.01</v>
      </c>
      <c r="D63" s="719"/>
      <c r="E63" s="24">
        <f t="shared" si="7"/>
        <v>1</v>
      </c>
      <c r="F63" s="719"/>
      <c r="G63" s="24">
        <f t="shared" si="8"/>
        <v>1</v>
      </c>
      <c r="H63" s="719"/>
      <c r="I63" s="24">
        <f t="shared" si="9"/>
        <v>1</v>
      </c>
      <c r="J63" s="719"/>
      <c r="K63" s="24">
        <f t="shared" si="10"/>
        <v>1</v>
      </c>
      <c r="L63" s="719"/>
      <c r="M63" s="24">
        <f t="shared" si="11"/>
        <v>1</v>
      </c>
      <c r="N63" s="719"/>
      <c r="O63" s="24">
        <f t="shared" si="12"/>
        <v>1</v>
      </c>
      <c r="P63" s="719">
        <v>6</v>
      </c>
      <c r="Q63" s="24">
        <f t="shared" si="13"/>
        <v>1.02</v>
      </c>
      <c r="R63" s="715">
        <f t="shared" ca="1" si="14"/>
        <v>39102</v>
      </c>
      <c r="S63" s="361">
        <f t="shared" ca="1" si="5"/>
        <v>296</v>
      </c>
    </row>
    <row r="64" spans="1:19">
      <c r="A64" s="159" t="s">
        <v>3421</v>
      </c>
      <c r="B64" s="59">
        <v>89.95</v>
      </c>
      <c r="C64" s="24">
        <f t="shared" si="6"/>
        <v>1.01</v>
      </c>
      <c r="D64" s="719"/>
      <c r="E64" s="24">
        <f t="shared" si="7"/>
        <v>1</v>
      </c>
      <c r="F64" s="719"/>
      <c r="G64" s="24">
        <f t="shared" si="8"/>
        <v>1</v>
      </c>
      <c r="H64" s="719"/>
      <c r="I64" s="24">
        <f t="shared" si="9"/>
        <v>1</v>
      </c>
      <c r="J64" s="719"/>
      <c r="K64" s="24">
        <f t="shared" si="10"/>
        <v>1</v>
      </c>
      <c r="L64" s="719"/>
      <c r="M64" s="24">
        <f t="shared" si="11"/>
        <v>1</v>
      </c>
      <c r="N64" s="719"/>
      <c r="O64" s="24">
        <f t="shared" si="12"/>
        <v>1</v>
      </c>
      <c r="P64" s="719">
        <v>6</v>
      </c>
      <c r="Q64" s="24">
        <f t="shared" si="13"/>
        <v>1.02</v>
      </c>
      <c r="R64" s="715">
        <f t="shared" ca="1" si="14"/>
        <v>39102</v>
      </c>
      <c r="S64" s="361">
        <f t="shared" ca="1" si="5"/>
        <v>352</v>
      </c>
    </row>
    <row r="65" spans="1:19">
      <c r="A65" s="159" t="s">
        <v>3422</v>
      </c>
      <c r="B65" s="59">
        <v>99.07</v>
      </c>
      <c r="C65" s="24">
        <f t="shared" si="6"/>
        <v>1.01</v>
      </c>
      <c r="D65" s="719"/>
      <c r="E65" s="24">
        <f t="shared" si="7"/>
        <v>1</v>
      </c>
      <c r="F65" s="719"/>
      <c r="G65" s="24">
        <f t="shared" si="8"/>
        <v>1</v>
      </c>
      <c r="H65" s="719"/>
      <c r="I65" s="24">
        <f t="shared" si="9"/>
        <v>1</v>
      </c>
      <c r="J65" s="719"/>
      <c r="K65" s="24">
        <f t="shared" si="10"/>
        <v>1</v>
      </c>
      <c r="L65" s="719"/>
      <c r="M65" s="24">
        <f t="shared" si="11"/>
        <v>1</v>
      </c>
      <c r="N65" s="719"/>
      <c r="O65" s="24">
        <f t="shared" si="12"/>
        <v>1</v>
      </c>
      <c r="P65" s="719">
        <v>6</v>
      </c>
      <c r="Q65" s="24">
        <f t="shared" si="13"/>
        <v>1.02</v>
      </c>
      <c r="R65" s="715">
        <f t="shared" ca="1" si="14"/>
        <v>39102</v>
      </c>
      <c r="S65" s="361">
        <f t="shared" ca="1" si="5"/>
        <v>387</v>
      </c>
    </row>
    <row r="66" spans="1:19">
      <c r="A66" s="159" t="s">
        <v>3423</v>
      </c>
      <c r="B66" s="59">
        <v>72.89</v>
      </c>
      <c r="C66" s="24">
        <f t="shared" si="6"/>
        <v>1.01</v>
      </c>
      <c r="D66" s="719"/>
      <c r="E66" s="24">
        <f t="shared" si="7"/>
        <v>1</v>
      </c>
      <c r="F66" s="719"/>
      <c r="G66" s="24">
        <f t="shared" si="8"/>
        <v>1</v>
      </c>
      <c r="H66" s="719"/>
      <c r="I66" s="24">
        <f t="shared" si="9"/>
        <v>1</v>
      </c>
      <c r="J66" s="719"/>
      <c r="K66" s="24">
        <f t="shared" si="10"/>
        <v>1</v>
      </c>
      <c r="L66" s="719"/>
      <c r="M66" s="24">
        <f t="shared" si="11"/>
        <v>1</v>
      </c>
      <c r="N66" s="719"/>
      <c r="O66" s="24">
        <f t="shared" si="12"/>
        <v>1</v>
      </c>
      <c r="P66" s="719">
        <v>6</v>
      </c>
      <c r="Q66" s="24">
        <f t="shared" si="13"/>
        <v>1.02</v>
      </c>
      <c r="R66" s="715">
        <f t="shared" ca="1" si="14"/>
        <v>39102</v>
      </c>
      <c r="S66" s="361">
        <f t="shared" ca="1" si="5"/>
        <v>285</v>
      </c>
    </row>
    <row r="67" spans="1:19">
      <c r="A67" s="159" t="s">
        <v>3424</v>
      </c>
      <c r="B67" s="59">
        <v>81.849999999999994</v>
      </c>
      <c r="C67" s="24">
        <f t="shared" si="6"/>
        <v>1.01</v>
      </c>
      <c r="D67" s="719"/>
      <c r="E67" s="24">
        <f t="shared" si="7"/>
        <v>1</v>
      </c>
      <c r="F67" s="719"/>
      <c r="G67" s="24">
        <f t="shared" si="8"/>
        <v>1</v>
      </c>
      <c r="H67" s="719"/>
      <c r="I67" s="24">
        <f t="shared" si="9"/>
        <v>1</v>
      </c>
      <c r="J67" s="719"/>
      <c r="K67" s="24">
        <f t="shared" si="10"/>
        <v>1</v>
      </c>
      <c r="L67" s="719"/>
      <c r="M67" s="24">
        <f t="shared" si="11"/>
        <v>1</v>
      </c>
      <c r="N67" s="719"/>
      <c r="O67" s="24">
        <f t="shared" si="12"/>
        <v>1</v>
      </c>
      <c r="P67" s="719">
        <v>6</v>
      </c>
      <c r="Q67" s="24">
        <f t="shared" si="13"/>
        <v>1.02</v>
      </c>
      <c r="R67" s="715">
        <f t="shared" ca="1" si="14"/>
        <v>39102</v>
      </c>
      <c r="S67" s="361">
        <f t="shared" ca="1" si="5"/>
        <v>320</v>
      </c>
    </row>
    <row r="68" spans="1:19">
      <c r="A68" s="159" t="s">
        <v>3425</v>
      </c>
      <c r="B68" s="59">
        <v>68.75</v>
      </c>
      <c r="C68" s="24">
        <f t="shared" si="6"/>
        <v>1.01</v>
      </c>
      <c r="D68" s="719"/>
      <c r="E68" s="24">
        <f t="shared" si="7"/>
        <v>1</v>
      </c>
      <c r="F68" s="719"/>
      <c r="G68" s="24">
        <f t="shared" si="8"/>
        <v>1</v>
      </c>
      <c r="H68" s="719"/>
      <c r="I68" s="24">
        <f t="shared" si="9"/>
        <v>1</v>
      </c>
      <c r="J68" s="719"/>
      <c r="K68" s="24">
        <f t="shared" si="10"/>
        <v>1</v>
      </c>
      <c r="L68" s="719"/>
      <c r="M68" s="24">
        <f t="shared" si="11"/>
        <v>1</v>
      </c>
      <c r="N68" s="719"/>
      <c r="O68" s="24">
        <f t="shared" si="12"/>
        <v>1</v>
      </c>
      <c r="P68" s="719">
        <v>6</v>
      </c>
      <c r="Q68" s="24">
        <f t="shared" si="13"/>
        <v>1.02</v>
      </c>
      <c r="R68" s="715">
        <f t="shared" ca="1" si="14"/>
        <v>39102</v>
      </c>
      <c r="S68" s="361">
        <f t="shared" ca="1" si="5"/>
        <v>269</v>
      </c>
    </row>
    <row r="69" spans="1:19">
      <c r="A69" s="159" t="s">
        <v>3426</v>
      </c>
      <c r="B69" s="59">
        <v>69.97</v>
      </c>
      <c r="C69" s="24">
        <f t="shared" si="6"/>
        <v>1.01</v>
      </c>
      <c r="D69" s="719"/>
      <c r="E69" s="24">
        <f t="shared" si="7"/>
        <v>1</v>
      </c>
      <c r="F69" s="719"/>
      <c r="G69" s="24">
        <f t="shared" si="8"/>
        <v>1</v>
      </c>
      <c r="H69" s="719"/>
      <c r="I69" s="24">
        <f t="shared" si="9"/>
        <v>1</v>
      </c>
      <c r="J69" s="719"/>
      <c r="K69" s="24">
        <f t="shared" si="10"/>
        <v>1</v>
      </c>
      <c r="L69" s="719"/>
      <c r="M69" s="24">
        <f t="shared" si="11"/>
        <v>1</v>
      </c>
      <c r="N69" s="719"/>
      <c r="O69" s="24">
        <f t="shared" si="12"/>
        <v>1</v>
      </c>
      <c r="P69" s="719">
        <v>6</v>
      </c>
      <c r="Q69" s="24">
        <f t="shared" si="13"/>
        <v>1.02</v>
      </c>
      <c r="R69" s="715">
        <f t="shared" ca="1" si="14"/>
        <v>39102</v>
      </c>
      <c r="S69" s="361">
        <f t="shared" ca="1" si="5"/>
        <v>274</v>
      </c>
    </row>
    <row r="70" spans="1:19">
      <c r="A70" s="159" t="s">
        <v>3427</v>
      </c>
      <c r="B70" s="59">
        <v>107.5</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v>6</v>
      </c>
      <c r="Q70" s="24">
        <f t="shared" si="13"/>
        <v>1.02</v>
      </c>
      <c r="R70" s="715">
        <f t="shared" ca="1" si="14"/>
        <v>38715</v>
      </c>
      <c r="S70" s="361">
        <f t="shared" ca="1" si="5"/>
        <v>416</v>
      </c>
    </row>
    <row r="71" spans="1:19">
      <c r="A71" s="159" t="s">
        <v>3428</v>
      </c>
      <c r="B71" s="59">
        <v>73.87</v>
      </c>
      <c r="C71" s="24">
        <f t="shared" si="6"/>
        <v>1.01</v>
      </c>
      <c r="D71" s="719"/>
      <c r="E71" s="24">
        <f t="shared" si="7"/>
        <v>1</v>
      </c>
      <c r="F71" s="719"/>
      <c r="G71" s="24">
        <f t="shared" si="8"/>
        <v>1</v>
      </c>
      <c r="H71" s="719"/>
      <c r="I71" s="24">
        <f t="shared" si="9"/>
        <v>1</v>
      </c>
      <c r="J71" s="719"/>
      <c r="K71" s="24">
        <f t="shared" si="10"/>
        <v>1</v>
      </c>
      <c r="L71" s="719"/>
      <c r="M71" s="24">
        <f t="shared" si="11"/>
        <v>1</v>
      </c>
      <c r="N71" s="719"/>
      <c r="O71" s="24">
        <f t="shared" si="12"/>
        <v>1</v>
      </c>
      <c r="P71" s="719">
        <v>6</v>
      </c>
      <c r="Q71" s="24">
        <f t="shared" si="13"/>
        <v>1.02</v>
      </c>
      <c r="R71" s="715">
        <f t="shared" ca="1" si="14"/>
        <v>39102</v>
      </c>
      <c r="S71" s="361">
        <f t="shared" ca="1" si="5"/>
        <v>289</v>
      </c>
    </row>
    <row r="72" spans="1:19">
      <c r="A72" s="159" t="s">
        <v>3429</v>
      </c>
      <c r="B72" s="59">
        <v>115.57</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v>6</v>
      </c>
      <c r="Q72" s="24">
        <f t="shared" si="13"/>
        <v>1.02</v>
      </c>
      <c r="R72" s="715">
        <f t="shared" ca="1" si="14"/>
        <v>38715</v>
      </c>
      <c r="S72" s="361">
        <f t="shared" ca="1" si="5"/>
        <v>447</v>
      </c>
    </row>
    <row r="73" spans="1:19">
      <c r="A73" s="159" t="s">
        <v>3430</v>
      </c>
      <c r="B73" s="59">
        <v>83.27</v>
      </c>
      <c r="C73" s="24">
        <f t="shared" si="6"/>
        <v>1.01</v>
      </c>
      <c r="D73" s="719"/>
      <c r="E73" s="24">
        <f t="shared" si="7"/>
        <v>1</v>
      </c>
      <c r="F73" s="719"/>
      <c r="G73" s="24">
        <f t="shared" si="8"/>
        <v>1</v>
      </c>
      <c r="H73" s="719"/>
      <c r="I73" s="24">
        <f t="shared" si="9"/>
        <v>1</v>
      </c>
      <c r="J73" s="719"/>
      <c r="K73" s="24">
        <f t="shared" si="10"/>
        <v>1</v>
      </c>
      <c r="L73" s="719"/>
      <c r="M73" s="24">
        <f t="shared" si="11"/>
        <v>1</v>
      </c>
      <c r="N73" s="719"/>
      <c r="O73" s="24">
        <f t="shared" si="12"/>
        <v>1</v>
      </c>
      <c r="P73" s="719">
        <v>6</v>
      </c>
      <c r="Q73" s="24">
        <f t="shared" si="13"/>
        <v>1.02</v>
      </c>
      <c r="R73" s="715">
        <f t="shared" ca="1" si="14"/>
        <v>39102</v>
      </c>
      <c r="S73" s="361">
        <f t="shared" ca="1" si="5"/>
        <v>326</v>
      </c>
    </row>
    <row r="74" spans="1:19">
      <c r="A74" s="159" t="s">
        <v>3431</v>
      </c>
      <c r="B74" s="59">
        <v>83.27</v>
      </c>
      <c r="C74" s="24">
        <f t="shared" si="6"/>
        <v>1.01</v>
      </c>
      <c r="D74" s="719"/>
      <c r="E74" s="24">
        <f t="shared" si="7"/>
        <v>1</v>
      </c>
      <c r="F74" s="719"/>
      <c r="G74" s="24">
        <f t="shared" si="8"/>
        <v>1</v>
      </c>
      <c r="H74" s="719"/>
      <c r="I74" s="24">
        <f t="shared" si="9"/>
        <v>1</v>
      </c>
      <c r="J74" s="719"/>
      <c r="K74" s="24">
        <f t="shared" si="10"/>
        <v>1</v>
      </c>
      <c r="L74" s="719"/>
      <c r="M74" s="24">
        <f t="shared" si="11"/>
        <v>1</v>
      </c>
      <c r="N74" s="719"/>
      <c r="O74" s="24">
        <f t="shared" si="12"/>
        <v>1</v>
      </c>
      <c r="P74" s="719">
        <v>6</v>
      </c>
      <c r="Q74" s="24">
        <f t="shared" si="13"/>
        <v>1.02</v>
      </c>
      <c r="R74" s="715">
        <f t="shared" ca="1" si="14"/>
        <v>39102</v>
      </c>
      <c r="S74" s="361">
        <f t="shared" ca="1" si="5"/>
        <v>326</v>
      </c>
    </row>
    <row r="75" spans="1:19">
      <c r="A75" s="159" t="s">
        <v>3432</v>
      </c>
      <c r="B75" s="59">
        <v>115.96</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v>6</v>
      </c>
      <c r="Q75" s="24">
        <f t="shared" si="13"/>
        <v>1.02</v>
      </c>
      <c r="R75" s="715">
        <f t="shared" ca="1" si="14"/>
        <v>38715</v>
      </c>
      <c r="S75" s="361">
        <f t="shared" ca="1" si="5"/>
        <v>449</v>
      </c>
    </row>
    <row r="76" spans="1:19">
      <c r="A76" s="159" t="s">
        <v>3433</v>
      </c>
      <c r="B76" s="59">
        <v>87.71</v>
      </c>
      <c r="C76" s="24">
        <f t="shared" si="6"/>
        <v>1.01</v>
      </c>
      <c r="D76" s="719"/>
      <c r="E76" s="24">
        <f t="shared" si="7"/>
        <v>1</v>
      </c>
      <c r="F76" s="719"/>
      <c r="G76" s="24">
        <f t="shared" si="8"/>
        <v>1</v>
      </c>
      <c r="H76" s="719"/>
      <c r="I76" s="24">
        <f t="shared" si="9"/>
        <v>1</v>
      </c>
      <c r="J76" s="719"/>
      <c r="K76" s="24">
        <f t="shared" si="10"/>
        <v>1</v>
      </c>
      <c r="L76" s="719"/>
      <c r="M76" s="24">
        <f t="shared" si="11"/>
        <v>1</v>
      </c>
      <c r="N76" s="719"/>
      <c r="O76" s="24">
        <f t="shared" si="12"/>
        <v>1</v>
      </c>
      <c r="P76" s="719">
        <v>6</v>
      </c>
      <c r="Q76" s="24">
        <f t="shared" si="13"/>
        <v>1.02</v>
      </c>
      <c r="R76" s="715">
        <f t="shared" ca="1" si="14"/>
        <v>39102</v>
      </c>
      <c r="S76" s="361">
        <f t="shared" ca="1" si="5"/>
        <v>343</v>
      </c>
    </row>
    <row r="77" spans="1:19">
      <c r="A77" s="159" t="s">
        <v>3434</v>
      </c>
      <c r="B77" s="59">
        <v>126.15</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v>6</v>
      </c>
      <c r="Q77" s="24">
        <f t="shared" si="13"/>
        <v>1.02</v>
      </c>
      <c r="R77" s="715">
        <f t="shared" ca="1" si="14"/>
        <v>38715</v>
      </c>
      <c r="S77" s="361">
        <f t="shared" ca="1" si="5"/>
        <v>488</v>
      </c>
    </row>
    <row r="78" spans="1:19">
      <c r="A78" s="159" t="s">
        <v>3435</v>
      </c>
      <c r="B78" s="59">
        <v>91.67</v>
      </c>
      <c r="C78" s="24">
        <f t="shared" si="6"/>
        <v>1.01</v>
      </c>
      <c r="D78" s="719"/>
      <c r="E78" s="24">
        <f t="shared" si="7"/>
        <v>1</v>
      </c>
      <c r="F78" s="719"/>
      <c r="G78" s="24">
        <f t="shared" si="8"/>
        <v>1</v>
      </c>
      <c r="H78" s="719"/>
      <c r="I78" s="24">
        <f t="shared" si="9"/>
        <v>1</v>
      </c>
      <c r="J78" s="719"/>
      <c r="K78" s="24">
        <f t="shared" si="10"/>
        <v>1</v>
      </c>
      <c r="L78" s="719"/>
      <c r="M78" s="24">
        <f t="shared" si="11"/>
        <v>1</v>
      </c>
      <c r="N78" s="719"/>
      <c r="O78" s="24">
        <f t="shared" si="12"/>
        <v>1</v>
      </c>
      <c r="P78" s="719">
        <v>6</v>
      </c>
      <c r="Q78" s="24">
        <f t="shared" si="13"/>
        <v>1.02</v>
      </c>
      <c r="R78" s="715">
        <f t="shared" ca="1" si="14"/>
        <v>39102</v>
      </c>
      <c r="S78" s="361">
        <f t="shared" ca="1" si="5"/>
        <v>358</v>
      </c>
    </row>
    <row r="79" spans="1:19">
      <c r="A79" s="159" t="s">
        <v>3436</v>
      </c>
      <c r="B79" s="59">
        <v>76.2</v>
      </c>
      <c r="C79" s="24">
        <f t="shared" si="6"/>
        <v>1.01</v>
      </c>
      <c r="D79" s="719"/>
      <c r="E79" s="24">
        <f t="shared" si="7"/>
        <v>1</v>
      </c>
      <c r="F79" s="719"/>
      <c r="G79" s="24">
        <f t="shared" si="8"/>
        <v>1</v>
      </c>
      <c r="H79" s="719"/>
      <c r="I79" s="24">
        <f t="shared" si="9"/>
        <v>1</v>
      </c>
      <c r="J79" s="719"/>
      <c r="K79" s="24">
        <f t="shared" si="10"/>
        <v>1</v>
      </c>
      <c r="L79" s="719"/>
      <c r="M79" s="24">
        <f t="shared" si="11"/>
        <v>1</v>
      </c>
      <c r="N79" s="719"/>
      <c r="O79" s="24">
        <f t="shared" si="12"/>
        <v>1</v>
      </c>
      <c r="P79" s="719">
        <v>6</v>
      </c>
      <c r="Q79" s="24">
        <f t="shared" si="13"/>
        <v>1.02</v>
      </c>
      <c r="R79" s="715">
        <f t="shared" ca="1" si="14"/>
        <v>39102</v>
      </c>
      <c r="S79" s="361">
        <f t="shared" ca="1" si="5"/>
        <v>298</v>
      </c>
    </row>
    <row r="80" spans="1:19">
      <c r="A80" s="159" t="s">
        <v>3437</v>
      </c>
      <c r="B80" s="59">
        <v>95.36</v>
      </c>
      <c r="C80" s="24">
        <f t="shared" si="6"/>
        <v>1.01</v>
      </c>
      <c r="D80" s="719"/>
      <c r="E80" s="24">
        <f t="shared" si="7"/>
        <v>1</v>
      </c>
      <c r="F80" s="719"/>
      <c r="G80" s="24">
        <f t="shared" si="8"/>
        <v>1</v>
      </c>
      <c r="H80" s="719"/>
      <c r="I80" s="24">
        <f t="shared" si="9"/>
        <v>1</v>
      </c>
      <c r="J80" s="719"/>
      <c r="K80" s="24">
        <f t="shared" si="10"/>
        <v>1</v>
      </c>
      <c r="L80" s="719"/>
      <c r="M80" s="24">
        <f t="shared" si="11"/>
        <v>1</v>
      </c>
      <c r="N80" s="719"/>
      <c r="O80" s="24">
        <f t="shared" si="12"/>
        <v>1</v>
      </c>
      <c r="P80" s="719">
        <v>6</v>
      </c>
      <c r="Q80" s="24">
        <f t="shared" si="13"/>
        <v>1.02</v>
      </c>
      <c r="R80" s="715">
        <f t="shared" ca="1" si="14"/>
        <v>39102</v>
      </c>
      <c r="S80" s="361">
        <f t="shared" ca="1" si="5"/>
        <v>373</v>
      </c>
    </row>
    <row r="81" spans="1:19">
      <c r="A81" s="159" t="s">
        <v>3438</v>
      </c>
      <c r="B81" s="59">
        <v>68.849999999999994</v>
      </c>
      <c r="C81" s="24">
        <f t="shared" si="6"/>
        <v>1.01</v>
      </c>
      <c r="D81" s="719"/>
      <c r="E81" s="24">
        <f t="shared" si="7"/>
        <v>1</v>
      </c>
      <c r="F81" s="719"/>
      <c r="G81" s="24">
        <f t="shared" si="8"/>
        <v>1</v>
      </c>
      <c r="H81" s="719"/>
      <c r="I81" s="24">
        <f t="shared" si="9"/>
        <v>1</v>
      </c>
      <c r="J81" s="719"/>
      <c r="K81" s="24">
        <f t="shared" si="10"/>
        <v>1</v>
      </c>
      <c r="L81" s="719"/>
      <c r="M81" s="24">
        <f t="shared" si="11"/>
        <v>1</v>
      </c>
      <c r="N81" s="719"/>
      <c r="O81" s="24">
        <f t="shared" si="12"/>
        <v>1</v>
      </c>
      <c r="P81" s="719">
        <v>6</v>
      </c>
      <c r="Q81" s="24">
        <f t="shared" si="13"/>
        <v>1.02</v>
      </c>
      <c r="R81" s="715">
        <f t="shared" ca="1" si="14"/>
        <v>39102</v>
      </c>
      <c r="S81" s="361">
        <f t="shared" ca="1" si="5"/>
        <v>269</v>
      </c>
    </row>
    <row r="82" spans="1:19">
      <c r="A82" s="159" t="s">
        <v>3439</v>
      </c>
      <c r="B82" s="59">
        <v>68.849999999999994</v>
      </c>
      <c r="C82" s="24">
        <f t="shared" si="6"/>
        <v>1.01</v>
      </c>
      <c r="D82" s="719"/>
      <c r="E82" s="24">
        <f t="shared" si="7"/>
        <v>1</v>
      </c>
      <c r="F82" s="719"/>
      <c r="G82" s="24">
        <f t="shared" si="8"/>
        <v>1</v>
      </c>
      <c r="H82" s="719"/>
      <c r="I82" s="24">
        <f t="shared" si="9"/>
        <v>1</v>
      </c>
      <c r="J82" s="719"/>
      <c r="K82" s="24">
        <f t="shared" si="10"/>
        <v>1</v>
      </c>
      <c r="L82" s="719"/>
      <c r="M82" s="24">
        <f t="shared" si="11"/>
        <v>1</v>
      </c>
      <c r="N82" s="719"/>
      <c r="O82" s="24">
        <f t="shared" si="12"/>
        <v>1</v>
      </c>
      <c r="P82" s="719">
        <v>6</v>
      </c>
      <c r="Q82" s="24">
        <f t="shared" si="13"/>
        <v>1.02</v>
      </c>
      <c r="R82" s="715">
        <f t="shared" ca="1" si="14"/>
        <v>39102</v>
      </c>
      <c r="S82" s="361">
        <f t="shared" ca="1" si="5"/>
        <v>269</v>
      </c>
    </row>
    <row r="83" spans="1:19">
      <c r="A83" s="159" t="s">
        <v>3440</v>
      </c>
      <c r="B83" s="59">
        <v>94.09</v>
      </c>
      <c r="C83" s="24">
        <f t="shared" si="6"/>
        <v>1.01</v>
      </c>
      <c r="D83" s="719"/>
      <c r="E83" s="24">
        <f t="shared" si="7"/>
        <v>1</v>
      </c>
      <c r="F83" s="719"/>
      <c r="G83" s="24">
        <f t="shared" si="8"/>
        <v>1</v>
      </c>
      <c r="H83" s="719"/>
      <c r="I83" s="24">
        <f t="shared" si="9"/>
        <v>1</v>
      </c>
      <c r="J83" s="719"/>
      <c r="K83" s="24">
        <f t="shared" si="10"/>
        <v>1</v>
      </c>
      <c r="L83" s="719"/>
      <c r="M83" s="24">
        <f t="shared" si="11"/>
        <v>1</v>
      </c>
      <c r="N83" s="719"/>
      <c r="O83" s="24">
        <f t="shared" si="12"/>
        <v>1</v>
      </c>
      <c r="P83" s="719">
        <v>7</v>
      </c>
      <c r="Q83" s="24">
        <f t="shared" si="13"/>
        <v>1.03</v>
      </c>
      <c r="R83" s="715">
        <f t="shared" ca="1" si="14"/>
        <v>39486</v>
      </c>
      <c r="S83" s="361">
        <f t="shared" ca="1" si="5"/>
        <v>372</v>
      </c>
    </row>
    <row r="84" spans="1:19">
      <c r="A84" s="159" t="s">
        <v>3441</v>
      </c>
      <c r="B84" s="59">
        <v>76.27</v>
      </c>
      <c r="C84" s="24">
        <f t="shared" si="6"/>
        <v>1.01</v>
      </c>
      <c r="D84" s="719"/>
      <c r="E84" s="24">
        <f t="shared" si="7"/>
        <v>1</v>
      </c>
      <c r="F84" s="719"/>
      <c r="G84" s="24">
        <f t="shared" si="8"/>
        <v>1</v>
      </c>
      <c r="H84" s="719"/>
      <c r="I84" s="24">
        <f t="shared" si="9"/>
        <v>1</v>
      </c>
      <c r="J84" s="719"/>
      <c r="K84" s="24">
        <f t="shared" si="10"/>
        <v>1</v>
      </c>
      <c r="L84" s="719"/>
      <c r="M84" s="24">
        <f t="shared" si="11"/>
        <v>1</v>
      </c>
      <c r="N84" s="719"/>
      <c r="O84" s="24">
        <f t="shared" si="12"/>
        <v>1</v>
      </c>
      <c r="P84" s="719">
        <v>7</v>
      </c>
      <c r="Q84" s="24">
        <f t="shared" si="13"/>
        <v>1.03</v>
      </c>
      <c r="R84" s="715">
        <f t="shared" ca="1" si="14"/>
        <v>39486</v>
      </c>
      <c r="S84" s="361">
        <f t="shared" ca="1" si="5"/>
        <v>301</v>
      </c>
    </row>
    <row r="85" spans="1:19">
      <c r="A85" s="159" t="s">
        <v>3442</v>
      </c>
      <c r="B85" s="59">
        <v>75.760000000000005</v>
      </c>
      <c r="C85" s="24">
        <f t="shared" si="6"/>
        <v>1.01</v>
      </c>
      <c r="D85" s="719"/>
      <c r="E85" s="24">
        <f t="shared" si="7"/>
        <v>1</v>
      </c>
      <c r="F85" s="719"/>
      <c r="G85" s="24">
        <f t="shared" si="8"/>
        <v>1</v>
      </c>
      <c r="H85" s="719"/>
      <c r="I85" s="24">
        <f t="shared" si="9"/>
        <v>1</v>
      </c>
      <c r="J85" s="719"/>
      <c r="K85" s="24">
        <f t="shared" si="10"/>
        <v>1</v>
      </c>
      <c r="L85" s="719"/>
      <c r="M85" s="24">
        <f t="shared" si="11"/>
        <v>1</v>
      </c>
      <c r="N85" s="719"/>
      <c r="O85" s="24">
        <f t="shared" si="12"/>
        <v>1</v>
      </c>
      <c r="P85" s="719">
        <v>7</v>
      </c>
      <c r="Q85" s="24">
        <f t="shared" si="13"/>
        <v>1.03</v>
      </c>
      <c r="R85" s="715">
        <f t="shared" ca="1" si="14"/>
        <v>39486</v>
      </c>
      <c r="S85" s="361">
        <f t="shared" ca="1" si="5"/>
        <v>299</v>
      </c>
    </row>
    <row r="86" spans="1:19">
      <c r="A86" s="159" t="s">
        <v>3443</v>
      </c>
      <c r="B86" s="59">
        <v>89.95</v>
      </c>
      <c r="C86" s="24">
        <f t="shared" si="6"/>
        <v>1.01</v>
      </c>
      <c r="D86" s="719"/>
      <c r="E86" s="24">
        <f t="shared" si="7"/>
        <v>1</v>
      </c>
      <c r="F86" s="719"/>
      <c r="G86" s="24">
        <f t="shared" si="8"/>
        <v>1</v>
      </c>
      <c r="H86" s="719"/>
      <c r="I86" s="24">
        <f t="shared" si="9"/>
        <v>1</v>
      </c>
      <c r="J86" s="719"/>
      <c r="K86" s="24">
        <f t="shared" si="10"/>
        <v>1</v>
      </c>
      <c r="L86" s="719"/>
      <c r="M86" s="24">
        <f t="shared" si="11"/>
        <v>1</v>
      </c>
      <c r="N86" s="719"/>
      <c r="O86" s="24">
        <f t="shared" si="12"/>
        <v>1</v>
      </c>
      <c r="P86" s="719">
        <v>7</v>
      </c>
      <c r="Q86" s="24">
        <f t="shared" si="13"/>
        <v>1.03</v>
      </c>
      <c r="R86" s="715">
        <f t="shared" ca="1" si="14"/>
        <v>39486</v>
      </c>
      <c r="S86" s="361">
        <f t="shared" ca="1" si="5"/>
        <v>355</v>
      </c>
    </row>
    <row r="87" spans="1:19">
      <c r="A87" s="159" t="s">
        <v>3444</v>
      </c>
      <c r="B87" s="59">
        <v>99.07</v>
      </c>
      <c r="C87" s="24">
        <f t="shared" si="6"/>
        <v>1.01</v>
      </c>
      <c r="D87" s="719"/>
      <c r="E87" s="24">
        <f t="shared" si="7"/>
        <v>1</v>
      </c>
      <c r="F87" s="719"/>
      <c r="G87" s="24">
        <f t="shared" si="8"/>
        <v>1</v>
      </c>
      <c r="H87" s="719"/>
      <c r="I87" s="24">
        <f t="shared" si="9"/>
        <v>1</v>
      </c>
      <c r="J87" s="719"/>
      <c r="K87" s="24">
        <f t="shared" si="10"/>
        <v>1</v>
      </c>
      <c r="L87" s="719"/>
      <c r="M87" s="24">
        <f t="shared" si="11"/>
        <v>1</v>
      </c>
      <c r="N87" s="719"/>
      <c r="O87" s="24">
        <f t="shared" si="12"/>
        <v>1</v>
      </c>
      <c r="P87" s="719">
        <v>7</v>
      </c>
      <c r="Q87" s="24">
        <f t="shared" si="13"/>
        <v>1.03</v>
      </c>
      <c r="R87" s="715">
        <f t="shared" ca="1" si="14"/>
        <v>39486</v>
      </c>
      <c r="S87" s="361">
        <f t="shared" ca="1" si="5"/>
        <v>391</v>
      </c>
    </row>
    <row r="88" spans="1:19">
      <c r="A88" s="159" t="s">
        <v>3445</v>
      </c>
      <c r="B88" s="59">
        <v>72.89</v>
      </c>
      <c r="C88" s="24">
        <f t="shared" si="6"/>
        <v>1.01</v>
      </c>
      <c r="D88" s="719"/>
      <c r="E88" s="24">
        <f t="shared" si="7"/>
        <v>1</v>
      </c>
      <c r="F88" s="719"/>
      <c r="G88" s="24">
        <f t="shared" si="8"/>
        <v>1</v>
      </c>
      <c r="H88" s="719"/>
      <c r="I88" s="24">
        <f t="shared" si="9"/>
        <v>1</v>
      </c>
      <c r="J88" s="719"/>
      <c r="K88" s="24">
        <f t="shared" si="10"/>
        <v>1</v>
      </c>
      <c r="L88" s="719"/>
      <c r="M88" s="24">
        <f t="shared" si="11"/>
        <v>1</v>
      </c>
      <c r="N88" s="719"/>
      <c r="O88" s="24">
        <f t="shared" si="12"/>
        <v>1</v>
      </c>
      <c r="P88" s="719">
        <v>7</v>
      </c>
      <c r="Q88" s="24">
        <f t="shared" si="13"/>
        <v>1.03</v>
      </c>
      <c r="R88" s="715">
        <f t="shared" ca="1" si="14"/>
        <v>39486</v>
      </c>
      <c r="S88" s="361">
        <f t="shared" ref="S88:S151" ca="1" si="15">ROUND(R88*B88/10000,0)</f>
        <v>288</v>
      </c>
    </row>
    <row r="89" spans="1:19">
      <c r="A89" s="159" t="s">
        <v>3446</v>
      </c>
      <c r="B89" s="59">
        <v>81.849999999999994</v>
      </c>
      <c r="C89" s="24">
        <f t="shared" si="6"/>
        <v>1.01</v>
      </c>
      <c r="D89" s="719"/>
      <c r="E89" s="24">
        <f t="shared" si="7"/>
        <v>1</v>
      </c>
      <c r="F89" s="719"/>
      <c r="G89" s="24">
        <f t="shared" si="8"/>
        <v>1</v>
      </c>
      <c r="H89" s="719"/>
      <c r="I89" s="24">
        <f t="shared" si="9"/>
        <v>1</v>
      </c>
      <c r="J89" s="719"/>
      <c r="K89" s="24">
        <f t="shared" si="10"/>
        <v>1</v>
      </c>
      <c r="L89" s="719"/>
      <c r="M89" s="24">
        <f t="shared" si="11"/>
        <v>1</v>
      </c>
      <c r="N89" s="719"/>
      <c r="O89" s="24">
        <f t="shared" si="12"/>
        <v>1</v>
      </c>
      <c r="P89" s="719">
        <v>7</v>
      </c>
      <c r="Q89" s="24">
        <f t="shared" si="13"/>
        <v>1.03</v>
      </c>
      <c r="R89" s="715">
        <f t="shared" ca="1" si="14"/>
        <v>39486</v>
      </c>
      <c r="S89" s="361">
        <f t="shared" ca="1" si="15"/>
        <v>323</v>
      </c>
    </row>
    <row r="90" spans="1:19">
      <c r="A90" s="159" t="s">
        <v>3447</v>
      </c>
      <c r="B90" s="59">
        <v>68.75</v>
      </c>
      <c r="C90" s="24">
        <f t="shared" ref="C90:C153" si="16">IF(B90="",1,(LOOKUP(B90,$3:$3,$4:$4)-LOOKUP($B$24,$3:$3,$4:$4)+100)/100)</f>
        <v>1.01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v>7</v>
      </c>
      <c r="Q90" s="24">
        <f t="shared" ref="Q90:Q153" si="23">(SUMIF($17:$17,P90,$18:$18)-SUMIF($17:$17,$P$24,$18:$18)+100)/100</f>
        <v>1.03</v>
      </c>
      <c r="R90" s="715">
        <f t="shared" ref="R90:R153" ca="1" si="24">IF(B90="",0,ROUND($R$24*C90*E90*G90*I90*K90*M90*O90*Q90,0))</f>
        <v>39486</v>
      </c>
      <c r="S90" s="361">
        <f t="shared" ca="1" si="15"/>
        <v>271</v>
      </c>
    </row>
    <row r="91" spans="1:19">
      <c r="A91" s="159" t="s">
        <v>3448</v>
      </c>
      <c r="B91" s="59">
        <v>69.97</v>
      </c>
      <c r="C91" s="24">
        <f t="shared" si="16"/>
        <v>1.01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v>7</v>
      </c>
      <c r="Q91" s="24">
        <f t="shared" si="23"/>
        <v>1.03</v>
      </c>
      <c r="R91" s="715">
        <f t="shared" ca="1" si="24"/>
        <v>39486</v>
      </c>
      <c r="S91" s="361">
        <f t="shared" ca="1" si="15"/>
        <v>276</v>
      </c>
    </row>
    <row r="92" spans="1:19">
      <c r="A92" s="159" t="s">
        <v>3449</v>
      </c>
      <c r="B92" s="59">
        <v>107.5</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v>7</v>
      </c>
      <c r="Q92" s="24">
        <f t="shared" si="23"/>
        <v>1.03</v>
      </c>
      <c r="R92" s="715">
        <f t="shared" ca="1" si="24"/>
        <v>39095</v>
      </c>
      <c r="S92" s="361">
        <f t="shared" ca="1" si="15"/>
        <v>420</v>
      </c>
    </row>
    <row r="93" spans="1:19">
      <c r="A93" s="159" t="s">
        <v>3450</v>
      </c>
      <c r="B93" s="59">
        <v>73.87</v>
      </c>
      <c r="C93" s="24">
        <f t="shared" si="16"/>
        <v>1.01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v>7</v>
      </c>
      <c r="Q93" s="24">
        <f t="shared" si="23"/>
        <v>1.03</v>
      </c>
      <c r="R93" s="715">
        <f t="shared" ca="1" si="24"/>
        <v>39486</v>
      </c>
      <c r="S93" s="361">
        <f t="shared" ca="1" si="15"/>
        <v>292</v>
      </c>
    </row>
    <row r="94" spans="1:19">
      <c r="A94" s="159" t="s">
        <v>3451</v>
      </c>
      <c r="B94" s="59">
        <v>115.57</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v>7</v>
      </c>
      <c r="Q94" s="24">
        <f t="shared" si="23"/>
        <v>1.03</v>
      </c>
      <c r="R94" s="715">
        <f t="shared" ca="1" si="24"/>
        <v>39095</v>
      </c>
      <c r="S94" s="361">
        <f t="shared" ca="1" si="15"/>
        <v>452</v>
      </c>
    </row>
    <row r="95" spans="1:19">
      <c r="A95" s="159" t="s">
        <v>3452</v>
      </c>
      <c r="B95" s="59">
        <v>83.27</v>
      </c>
      <c r="C95" s="24">
        <f t="shared" si="16"/>
        <v>1.01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v>7</v>
      </c>
      <c r="Q95" s="24">
        <f t="shared" si="23"/>
        <v>1.03</v>
      </c>
      <c r="R95" s="715">
        <f t="shared" ca="1" si="24"/>
        <v>39486</v>
      </c>
      <c r="S95" s="361">
        <f t="shared" ca="1" si="15"/>
        <v>329</v>
      </c>
    </row>
    <row r="96" spans="1:19">
      <c r="A96" s="159" t="s">
        <v>3453</v>
      </c>
      <c r="B96" s="59">
        <v>83.27</v>
      </c>
      <c r="C96" s="24">
        <f t="shared" si="16"/>
        <v>1.01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v>7</v>
      </c>
      <c r="Q96" s="24">
        <f t="shared" si="23"/>
        <v>1.03</v>
      </c>
      <c r="R96" s="715">
        <f t="shared" ca="1" si="24"/>
        <v>39486</v>
      </c>
      <c r="S96" s="361">
        <f t="shared" ca="1" si="15"/>
        <v>329</v>
      </c>
    </row>
    <row r="97" spans="1:19">
      <c r="A97" s="159" t="s">
        <v>3454</v>
      </c>
      <c r="B97" s="59">
        <v>115.96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v>7</v>
      </c>
      <c r="Q97" s="24">
        <f t="shared" si="23"/>
        <v>1.03</v>
      </c>
      <c r="R97" s="715">
        <f t="shared" ca="1" si="24"/>
        <v>39095</v>
      </c>
      <c r="S97" s="361">
        <f t="shared" ca="1" si="15"/>
        <v>453</v>
      </c>
    </row>
    <row r="98" spans="1:19">
      <c r="A98" s="159" t="s">
        <v>3455</v>
      </c>
      <c r="B98" s="59">
        <v>87.71</v>
      </c>
      <c r="C98" s="24">
        <f t="shared" si="16"/>
        <v>1.01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v>7</v>
      </c>
      <c r="Q98" s="24">
        <f t="shared" si="23"/>
        <v>1.03</v>
      </c>
      <c r="R98" s="715">
        <f t="shared" ca="1" si="24"/>
        <v>39486</v>
      </c>
      <c r="S98" s="361">
        <f t="shared" ca="1" si="15"/>
        <v>346</v>
      </c>
    </row>
    <row r="99" spans="1:19">
      <c r="A99" s="159" t="s">
        <v>3456</v>
      </c>
      <c r="B99" s="59">
        <v>126.15</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v>7</v>
      </c>
      <c r="Q99" s="24">
        <f t="shared" si="23"/>
        <v>1.03</v>
      </c>
      <c r="R99" s="715">
        <f t="shared" ca="1" si="24"/>
        <v>39095</v>
      </c>
      <c r="S99" s="361">
        <f t="shared" ca="1" si="15"/>
        <v>493</v>
      </c>
    </row>
    <row r="100" spans="1:19">
      <c r="A100" s="159" t="s">
        <v>3457</v>
      </c>
      <c r="B100" s="59">
        <v>91.67</v>
      </c>
      <c r="C100" s="24">
        <f t="shared" si="16"/>
        <v>1.01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v>7</v>
      </c>
      <c r="Q100" s="24">
        <f t="shared" si="23"/>
        <v>1.03</v>
      </c>
      <c r="R100" s="715">
        <f t="shared" ca="1" si="24"/>
        <v>39486</v>
      </c>
      <c r="S100" s="361">
        <f t="shared" ca="1" si="15"/>
        <v>362</v>
      </c>
    </row>
    <row r="101" spans="1:19">
      <c r="A101" s="159" t="s">
        <v>3458</v>
      </c>
      <c r="B101" s="59">
        <v>76.2</v>
      </c>
      <c r="C101" s="24">
        <f t="shared" si="16"/>
        <v>1.01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v>7</v>
      </c>
      <c r="Q101" s="24">
        <f t="shared" si="23"/>
        <v>1.03</v>
      </c>
      <c r="R101" s="715">
        <f t="shared" ca="1" si="24"/>
        <v>39486</v>
      </c>
      <c r="S101" s="361">
        <f t="shared" ca="1" si="15"/>
        <v>301</v>
      </c>
    </row>
    <row r="102" spans="1:19">
      <c r="A102" s="159" t="s">
        <v>3459</v>
      </c>
      <c r="B102" s="59">
        <v>95.36</v>
      </c>
      <c r="C102" s="24">
        <f t="shared" si="16"/>
        <v>1.01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v>7</v>
      </c>
      <c r="Q102" s="24">
        <f t="shared" si="23"/>
        <v>1.03</v>
      </c>
      <c r="R102" s="715">
        <f t="shared" ca="1" si="24"/>
        <v>39486</v>
      </c>
      <c r="S102" s="361">
        <f t="shared" ca="1" si="15"/>
        <v>377</v>
      </c>
    </row>
    <row r="103" spans="1:19">
      <c r="A103" s="159" t="s">
        <v>3460</v>
      </c>
      <c r="B103" s="59">
        <v>68.849999999999994</v>
      </c>
      <c r="C103" s="24">
        <f t="shared" si="16"/>
        <v>1.01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v>7</v>
      </c>
      <c r="Q103" s="24">
        <f t="shared" si="23"/>
        <v>1.03</v>
      </c>
      <c r="R103" s="715">
        <f t="shared" ca="1" si="24"/>
        <v>39486</v>
      </c>
      <c r="S103" s="361">
        <f t="shared" ca="1" si="15"/>
        <v>272</v>
      </c>
    </row>
    <row r="104" spans="1:19">
      <c r="A104" s="159" t="s">
        <v>3461</v>
      </c>
      <c r="B104" s="59">
        <v>68.849999999999994</v>
      </c>
      <c r="C104" s="24">
        <f t="shared" si="16"/>
        <v>1.01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v>7</v>
      </c>
      <c r="Q104" s="24">
        <f t="shared" si="23"/>
        <v>1.03</v>
      </c>
      <c r="R104" s="715">
        <f t="shared" ca="1" si="24"/>
        <v>39486</v>
      </c>
      <c r="S104" s="361">
        <f t="shared" ca="1" si="15"/>
        <v>272</v>
      </c>
    </row>
    <row r="105" spans="1:19">
      <c r="A105" s="159" t="s">
        <v>3462</v>
      </c>
      <c r="B105" s="59">
        <v>94.09</v>
      </c>
      <c r="C105" s="24">
        <f t="shared" si="16"/>
        <v>1.01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v>8</v>
      </c>
      <c r="Q105" s="24">
        <f t="shared" si="23"/>
        <v>1.04</v>
      </c>
      <c r="R105" s="715">
        <f t="shared" ca="1" si="24"/>
        <v>39869</v>
      </c>
      <c r="S105" s="361">
        <f t="shared" ca="1" si="15"/>
        <v>375</v>
      </c>
    </row>
    <row r="106" spans="1:19">
      <c r="A106" s="159" t="s">
        <v>3463</v>
      </c>
      <c r="B106" s="59">
        <v>76.27</v>
      </c>
      <c r="C106" s="24">
        <f t="shared" si="16"/>
        <v>1.01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v>8</v>
      </c>
      <c r="Q106" s="24">
        <f t="shared" si="23"/>
        <v>1.04</v>
      </c>
      <c r="R106" s="715">
        <f t="shared" ca="1" si="24"/>
        <v>39869</v>
      </c>
      <c r="S106" s="361">
        <f t="shared" ca="1" si="15"/>
        <v>304</v>
      </c>
    </row>
    <row r="107" spans="1:19">
      <c r="A107" s="159" t="s">
        <v>3464</v>
      </c>
      <c r="B107" s="59">
        <v>75.760000000000005</v>
      </c>
      <c r="C107" s="24">
        <f t="shared" si="16"/>
        <v>1.01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v>8</v>
      </c>
      <c r="Q107" s="24">
        <f t="shared" si="23"/>
        <v>1.04</v>
      </c>
      <c r="R107" s="715">
        <f t="shared" ca="1" si="24"/>
        <v>39869</v>
      </c>
      <c r="S107" s="361">
        <f t="shared" ca="1" si="15"/>
        <v>302</v>
      </c>
    </row>
    <row r="108" spans="1:19">
      <c r="A108" s="159" t="s">
        <v>3465</v>
      </c>
      <c r="B108" s="59">
        <v>89.95</v>
      </c>
      <c r="C108" s="24">
        <f t="shared" si="16"/>
        <v>1.01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v>8</v>
      </c>
      <c r="Q108" s="24">
        <f t="shared" si="23"/>
        <v>1.04</v>
      </c>
      <c r="R108" s="715">
        <f t="shared" ca="1" si="24"/>
        <v>39869</v>
      </c>
      <c r="S108" s="361">
        <f t="shared" ca="1" si="15"/>
        <v>359</v>
      </c>
    </row>
    <row r="109" spans="1:19">
      <c r="A109" s="159" t="s">
        <v>3466</v>
      </c>
      <c r="B109" s="59">
        <v>99.07</v>
      </c>
      <c r="C109" s="24">
        <f t="shared" si="16"/>
        <v>1.01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v>8</v>
      </c>
      <c r="Q109" s="24">
        <f t="shared" si="23"/>
        <v>1.04</v>
      </c>
      <c r="R109" s="715">
        <f t="shared" ca="1" si="24"/>
        <v>39869</v>
      </c>
      <c r="S109" s="361">
        <f t="shared" ca="1" si="15"/>
        <v>395</v>
      </c>
    </row>
    <row r="110" spans="1:19">
      <c r="A110" s="159" t="s">
        <v>3467</v>
      </c>
      <c r="B110" s="59">
        <v>72.89</v>
      </c>
      <c r="C110" s="24">
        <f t="shared" si="16"/>
        <v>1.01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v>8</v>
      </c>
      <c r="Q110" s="24">
        <f t="shared" si="23"/>
        <v>1.04</v>
      </c>
      <c r="R110" s="715">
        <f t="shared" ca="1" si="24"/>
        <v>39869</v>
      </c>
      <c r="S110" s="361">
        <f t="shared" ca="1" si="15"/>
        <v>291</v>
      </c>
    </row>
    <row r="111" spans="1:19">
      <c r="A111" s="159" t="s">
        <v>3468</v>
      </c>
      <c r="B111" s="59">
        <v>81.849999999999994</v>
      </c>
      <c r="C111" s="24">
        <f t="shared" si="16"/>
        <v>1.01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v>8</v>
      </c>
      <c r="Q111" s="24">
        <f t="shared" si="23"/>
        <v>1.04</v>
      </c>
      <c r="R111" s="715">
        <f t="shared" ca="1" si="24"/>
        <v>39869</v>
      </c>
      <c r="S111" s="361">
        <f t="shared" ca="1" si="15"/>
        <v>326</v>
      </c>
    </row>
    <row r="112" spans="1:19">
      <c r="A112" s="159" t="s">
        <v>3469</v>
      </c>
      <c r="B112" s="59">
        <v>68.75</v>
      </c>
      <c r="C112" s="24">
        <f t="shared" si="16"/>
        <v>1.01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v>8</v>
      </c>
      <c r="Q112" s="24">
        <f t="shared" si="23"/>
        <v>1.04</v>
      </c>
      <c r="R112" s="715">
        <f t="shared" ca="1" si="24"/>
        <v>39869</v>
      </c>
      <c r="S112" s="361">
        <f t="shared" ca="1" si="15"/>
        <v>274</v>
      </c>
    </row>
    <row r="113" spans="1:19">
      <c r="A113" s="159" t="s">
        <v>3470</v>
      </c>
      <c r="B113" s="59">
        <v>69.97</v>
      </c>
      <c r="C113" s="24">
        <f t="shared" si="16"/>
        <v>1.01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v>8</v>
      </c>
      <c r="Q113" s="24">
        <f t="shared" si="23"/>
        <v>1.04</v>
      </c>
      <c r="R113" s="715">
        <f t="shared" ca="1" si="24"/>
        <v>39869</v>
      </c>
      <c r="S113" s="361">
        <f t="shared" ca="1" si="15"/>
        <v>279</v>
      </c>
    </row>
    <row r="114" spans="1:19">
      <c r="A114" s="159" t="s">
        <v>3471</v>
      </c>
      <c r="B114" s="59">
        <v>107.5</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v>8</v>
      </c>
      <c r="Q114" s="24">
        <f t="shared" si="23"/>
        <v>1.04</v>
      </c>
      <c r="R114" s="715">
        <f t="shared" ca="1" si="24"/>
        <v>39474</v>
      </c>
      <c r="S114" s="361">
        <f t="shared" ca="1" si="15"/>
        <v>424</v>
      </c>
    </row>
    <row r="115" spans="1:19">
      <c r="A115" s="159" t="s">
        <v>3472</v>
      </c>
      <c r="B115" s="59">
        <v>73.87</v>
      </c>
      <c r="C115" s="24">
        <f t="shared" si="16"/>
        <v>1.01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v>8</v>
      </c>
      <c r="Q115" s="24">
        <f t="shared" si="23"/>
        <v>1.04</v>
      </c>
      <c r="R115" s="715">
        <f t="shared" ca="1" si="24"/>
        <v>39869</v>
      </c>
      <c r="S115" s="361">
        <f t="shared" ca="1" si="15"/>
        <v>295</v>
      </c>
    </row>
    <row r="116" spans="1:19">
      <c r="A116" s="159" t="s">
        <v>3473</v>
      </c>
      <c r="B116" s="59">
        <v>115.57</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v>8</v>
      </c>
      <c r="Q116" s="24">
        <f t="shared" si="23"/>
        <v>1.04</v>
      </c>
      <c r="R116" s="715">
        <f t="shared" ca="1" si="24"/>
        <v>39474</v>
      </c>
      <c r="S116" s="361">
        <f t="shared" ca="1" si="15"/>
        <v>456</v>
      </c>
    </row>
    <row r="117" spans="1:19">
      <c r="A117" s="159" t="s">
        <v>3474</v>
      </c>
      <c r="B117" s="59">
        <v>83.27</v>
      </c>
      <c r="C117" s="24">
        <f t="shared" si="16"/>
        <v>1.01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v>8</v>
      </c>
      <c r="Q117" s="24">
        <f t="shared" si="23"/>
        <v>1.04</v>
      </c>
      <c r="R117" s="715">
        <f t="shared" ca="1" si="24"/>
        <v>39869</v>
      </c>
      <c r="S117" s="361">
        <f t="shared" ca="1" si="15"/>
        <v>332</v>
      </c>
    </row>
    <row r="118" spans="1:19">
      <c r="A118" s="159" t="s">
        <v>3475</v>
      </c>
      <c r="B118" s="59">
        <v>83.27</v>
      </c>
      <c r="C118" s="24">
        <f t="shared" si="16"/>
        <v>1.01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v>8</v>
      </c>
      <c r="Q118" s="24">
        <f t="shared" si="23"/>
        <v>1.04</v>
      </c>
      <c r="R118" s="715">
        <f t="shared" ca="1" si="24"/>
        <v>39869</v>
      </c>
      <c r="S118" s="361">
        <f t="shared" ca="1" si="15"/>
        <v>332</v>
      </c>
    </row>
    <row r="119" spans="1:19">
      <c r="A119" s="159" t="s">
        <v>3476</v>
      </c>
      <c r="B119" s="59">
        <v>115.96</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v>8</v>
      </c>
      <c r="Q119" s="24">
        <f t="shared" si="23"/>
        <v>1.04</v>
      </c>
      <c r="R119" s="715">
        <f t="shared" ca="1" si="24"/>
        <v>39474</v>
      </c>
      <c r="S119" s="361">
        <f t="shared" ca="1" si="15"/>
        <v>458</v>
      </c>
    </row>
    <row r="120" spans="1:19">
      <c r="A120" s="159" t="s">
        <v>3477</v>
      </c>
      <c r="B120" s="59">
        <v>87.71</v>
      </c>
      <c r="C120" s="24">
        <f t="shared" si="16"/>
        <v>1.01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v>8</v>
      </c>
      <c r="Q120" s="24">
        <f t="shared" si="23"/>
        <v>1.04</v>
      </c>
      <c r="R120" s="715">
        <f t="shared" ca="1" si="24"/>
        <v>39869</v>
      </c>
      <c r="S120" s="361">
        <f t="shared" ca="1" si="15"/>
        <v>350</v>
      </c>
    </row>
    <row r="121" spans="1:19">
      <c r="A121" s="159" t="s">
        <v>3478</v>
      </c>
      <c r="B121" s="59">
        <v>126.15</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v>8</v>
      </c>
      <c r="Q121" s="24">
        <f t="shared" si="23"/>
        <v>1.04</v>
      </c>
      <c r="R121" s="715">
        <f t="shared" ca="1" si="24"/>
        <v>39474</v>
      </c>
      <c r="S121" s="361">
        <f t="shared" ca="1" si="15"/>
        <v>498</v>
      </c>
    </row>
    <row r="122" spans="1:19">
      <c r="A122" s="159" t="s">
        <v>3479</v>
      </c>
      <c r="B122" s="59">
        <v>91.67</v>
      </c>
      <c r="C122" s="24">
        <f t="shared" si="16"/>
        <v>1.01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v>8</v>
      </c>
      <c r="Q122" s="24">
        <f t="shared" si="23"/>
        <v>1.04</v>
      </c>
      <c r="R122" s="715">
        <f t="shared" ca="1" si="24"/>
        <v>39869</v>
      </c>
      <c r="S122" s="361">
        <f t="shared" ca="1" si="15"/>
        <v>365</v>
      </c>
    </row>
    <row r="123" spans="1:19">
      <c r="A123" s="159" t="s">
        <v>3480</v>
      </c>
      <c r="B123" s="59">
        <v>76.2</v>
      </c>
      <c r="C123" s="24">
        <f t="shared" si="16"/>
        <v>1.01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v>8</v>
      </c>
      <c r="Q123" s="24">
        <f t="shared" si="23"/>
        <v>1.04</v>
      </c>
      <c r="R123" s="715">
        <f t="shared" ca="1" si="24"/>
        <v>39869</v>
      </c>
      <c r="S123" s="361">
        <f t="shared" ca="1" si="15"/>
        <v>304</v>
      </c>
    </row>
    <row r="124" spans="1:19">
      <c r="A124" s="159" t="s">
        <v>3481</v>
      </c>
      <c r="B124" s="59">
        <v>95.36</v>
      </c>
      <c r="C124" s="24">
        <f t="shared" si="16"/>
        <v>1.01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v>8</v>
      </c>
      <c r="Q124" s="24">
        <f t="shared" si="23"/>
        <v>1.04</v>
      </c>
      <c r="R124" s="715">
        <f t="shared" ca="1" si="24"/>
        <v>39869</v>
      </c>
      <c r="S124" s="361">
        <f t="shared" ca="1" si="15"/>
        <v>380</v>
      </c>
    </row>
    <row r="125" spans="1:19">
      <c r="A125" s="159" t="s">
        <v>3482</v>
      </c>
      <c r="B125" s="59">
        <v>68.849999999999994</v>
      </c>
      <c r="C125" s="24">
        <f t="shared" si="16"/>
        <v>1.01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v>8</v>
      </c>
      <c r="Q125" s="24">
        <f t="shared" si="23"/>
        <v>1.04</v>
      </c>
      <c r="R125" s="715">
        <f t="shared" ca="1" si="24"/>
        <v>39869</v>
      </c>
      <c r="S125" s="361">
        <f t="shared" ca="1" si="15"/>
        <v>274</v>
      </c>
    </row>
    <row r="126" spans="1:19">
      <c r="A126" s="159" t="s">
        <v>3483</v>
      </c>
      <c r="B126" s="59">
        <v>68.849999999999994</v>
      </c>
      <c r="C126" s="24">
        <f t="shared" si="16"/>
        <v>1.01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v>8</v>
      </c>
      <c r="Q126" s="24">
        <f t="shared" si="23"/>
        <v>1.04</v>
      </c>
      <c r="R126" s="715">
        <f t="shared" ca="1" si="24"/>
        <v>39869</v>
      </c>
      <c r="S126" s="361">
        <f t="shared" ca="1" si="15"/>
        <v>274</v>
      </c>
    </row>
    <row r="127" spans="1:19">
      <c r="A127" s="159" t="s">
        <v>3484</v>
      </c>
      <c r="B127" s="59">
        <v>94.09</v>
      </c>
      <c r="C127" s="24">
        <f t="shared" si="16"/>
        <v>1.01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v>9</v>
      </c>
      <c r="Q127" s="24">
        <f t="shared" si="23"/>
        <v>1.05</v>
      </c>
      <c r="R127" s="715">
        <f t="shared" ca="1" si="24"/>
        <v>40252</v>
      </c>
      <c r="S127" s="361">
        <f t="shared" ca="1" si="15"/>
        <v>379</v>
      </c>
    </row>
    <row r="128" spans="1:19">
      <c r="A128" s="159" t="s">
        <v>3485</v>
      </c>
      <c r="B128" s="59">
        <v>76.27</v>
      </c>
      <c r="C128" s="24">
        <f t="shared" si="16"/>
        <v>1.01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v>9</v>
      </c>
      <c r="Q128" s="24">
        <f t="shared" si="23"/>
        <v>1.05</v>
      </c>
      <c r="R128" s="715">
        <f t="shared" ca="1" si="24"/>
        <v>40252</v>
      </c>
      <c r="S128" s="361">
        <f t="shared" ca="1" si="15"/>
        <v>307</v>
      </c>
    </row>
    <row r="129" spans="1:19">
      <c r="A129" s="159" t="s">
        <v>3486</v>
      </c>
      <c r="B129" s="59">
        <v>75.760000000000005</v>
      </c>
      <c r="C129" s="24">
        <f t="shared" si="16"/>
        <v>1.01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v>9</v>
      </c>
      <c r="Q129" s="24">
        <f t="shared" si="23"/>
        <v>1.05</v>
      </c>
      <c r="R129" s="715">
        <f t="shared" ca="1" si="24"/>
        <v>40252</v>
      </c>
      <c r="S129" s="361">
        <f t="shared" ca="1" si="15"/>
        <v>305</v>
      </c>
    </row>
    <row r="130" spans="1:19">
      <c r="A130" s="159" t="s">
        <v>3487</v>
      </c>
      <c r="B130" s="59">
        <v>89.95</v>
      </c>
      <c r="C130" s="24">
        <f t="shared" si="16"/>
        <v>1.01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v>9</v>
      </c>
      <c r="Q130" s="24">
        <f t="shared" si="23"/>
        <v>1.05</v>
      </c>
      <c r="R130" s="715">
        <f t="shared" ca="1" si="24"/>
        <v>40252</v>
      </c>
      <c r="S130" s="361">
        <f t="shared" ca="1" si="15"/>
        <v>362</v>
      </c>
    </row>
    <row r="131" spans="1:19">
      <c r="A131" s="159" t="s">
        <v>3488</v>
      </c>
      <c r="B131" s="59">
        <v>99.07</v>
      </c>
      <c r="C131" s="24">
        <f t="shared" si="16"/>
        <v>1.01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v>9</v>
      </c>
      <c r="Q131" s="24">
        <f t="shared" si="23"/>
        <v>1.05</v>
      </c>
      <c r="R131" s="715">
        <f t="shared" ca="1" si="24"/>
        <v>40252</v>
      </c>
      <c r="S131" s="361">
        <f t="shared" ca="1" si="15"/>
        <v>399</v>
      </c>
    </row>
    <row r="132" spans="1:19">
      <c r="A132" s="159" t="s">
        <v>3489</v>
      </c>
      <c r="B132" s="59">
        <v>72.89</v>
      </c>
      <c r="C132" s="24">
        <f t="shared" si="16"/>
        <v>1.01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v>9</v>
      </c>
      <c r="Q132" s="24">
        <f t="shared" si="23"/>
        <v>1.05</v>
      </c>
      <c r="R132" s="715">
        <f t="shared" ca="1" si="24"/>
        <v>40252</v>
      </c>
      <c r="S132" s="361">
        <f t="shared" ca="1" si="15"/>
        <v>293</v>
      </c>
    </row>
    <row r="133" spans="1:19">
      <c r="A133" s="159" t="s">
        <v>3490</v>
      </c>
      <c r="B133" s="59">
        <v>81.849999999999994</v>
      </c>
      <c r="C133" s="24">
        <f t="shared" si="16"/>
        <v>1.01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v>9</v>
      </c>
      <c r="Q133" s="24">
        <f t="shared" si="23"/>
        <v>1.05</v>
      </c>
      <c r="R133" s="715">
        <f t="shared" ca="1" si="24"/>
        <v>40252</v>
      </c>
      <c r="S133" s="361">
        <f t="shared" ca="1" si="15"/>
        <v>329</v>
      </c>
    </row>
    <row r="134" spans="1:19">
      <c r="A134" s="159" t="s">
        <v>3491</v>
      </c>
      <c r="B134" s="59">
        <v>68.75</v>
      </c>
      <c r="C134" s="24">
        <f t="shared" si="16"/>
        <v>1.01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v>9</v>
      </c>
      <c r="Q134" s="24">
        <f t="shared" si="23"/>
        <v>1.05</v>
      </c>
      <c r="R134" s="715">
        <f t="shared" ca="1" si="24"/>
        <v>40252</v>
      </c>
      <c r="S134" s="361">
        <f t="shared" ca="1" si="15"/>
        <v>277</v>
      </c>
    </row>
    <row r="135" spans="1:19">
      <c r="A135" s="159" t="s">
        <v>3492</v>
      </c>
      <c r="B135" s="59">
        <v>69.97</v>
      </c>
      <c r="C135" s="24">
        <f t="shared" si="16"/>
        <v>1.01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v>9</v>
      </c>
      <c r="Q135" s="24">
        <f t="shared" si="23"/>
        <v>1.05</v>
      </c>
      <c r="R135" s="715">
        <f t="shared" ca="1" si="24"/>
        <v>40252</v>
      </c>
      <c r="S135" s="361">
        <f t="shared" ca="1" si="15"/>
        <v>282</v>
      </c>
    </row>
    <row r="136" spans="1:19">
      <c r="A136" s="159" t="s">
        <v>3493</v>
      </c>
      <c r="B136" s="59">
        <v>107.5</v>
      </c>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v>9</v>
      </c>
      <c r="Q136" s="24">
        <f t="shared" si="23"/>
        <v>1.05</v>
      </c>
      <c r="R136" s="715">
        <f t="shared" ca="1" si="24"/>
        <v>39854</v>
      </c>
      <c r="S136" s="361">
        <f t="shared" ca="1" si="15"/>
        <v>428</v>
      </c>
    </row>
    <row r="137" spans="1:19">
      <c r="A137" s="159" t="s">
        <v>3494</v>
      </c>
      <c r="B137" s="59">
        <v>73.87</v>
      </c>
      <c r="C137" s="24">
        <f t="shared" si="16"/>
        <v>1.01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v>9</v>
      </c>
      <c r="Q137" s="24">
        <f t="shared" si="23"/>
        <v>1.05</v>
      </c>
      <c r="R137" s="715">
        <f t="shared" ca="1" si="24"/>
        <v>40252</v>
      </c>
      <c r="S137" s="361">
        <f t="shared" ca="1" si="15"/>
        <v>297</v>
      </c>
    </row>
    <row r="138" spans="1:19">
      <c r="A138" s="159" t="s">
        <v>3495</v>
      </c>
      <c r="B138" s="59">
        <v>115.57</v>
      </c>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v>9</v>
      </c>
      <c r="Q138" s="24">
        <f t="shared" si="23"/>
        <v>1.05</v>
      </c>
      <c r="R138" s="715">
        <f t="shared" ca="1" si="24"/>
        <v>39854</v>
      </c>
      <c r="S138" s="361">
        <f t="shared" ca="1" si="15"/>
        <v>461</v>
      </c>
    </row>
    <row r="139" spans="1:19">
      <c r="A139" s="159" t="s">
        <v>3496</v>
      </c>
      <c r="B139" s="59">
        <v>83.27</v>
      </c>
      <c r="C139" s="24">
        <f t="shared" si="16"/>
        <v>1.01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v>9</v>
      </c>
      <c r="Q139" s="24">
        <f t="shared" si="23"/>
        <v>1.05</v>
      </c>
      <c r="R139" s="715">
        <f t="shared" ca="1" si="24"/>
        <v>40252</v>
      </c>
      <c r="S139" s="361">
        <f t="shared" ca="1" si="15"/>
        <v>335</v>
      </c>
    </row>
    <row r="140" spans="1:19">
      <c r="A140" s="159" t="s">
        <v>3497</v>
      </c>
      <c r="B140" s="59">
        <v>83.27</v>
      </c>
      <c r="C140" s="24">
        <f t="shared" si="16"/>
        <v>1.01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v>9</v>
      </c>
      <c r="Q140" s="24">
        <f t="shared" si="23"/>
        <v>1.05</v>
      </c>
      <c r="R140" s="715">
        <f t="shared" ca="1" si="24"/>
        <v>40252</v>
      </c>
      <c r="S140" s="361">
        <f t="shared" ca="1" si="15"/>
        <v>335</v>
      </c>
    </row>
    <row r="141" spans="1:19">
      <c r="A141" s="159" t="s">
        <v>3498</v>
      </c>
      <c r="B141" s="59">
        <v>115.96</v>
      </c>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v>9</v>
      </c>
      <c r="Q141" s="24">
        <f t="shared" si="23"/>
        <v>1.05</v>
      </c>
      <c r="R141" s="715">
        <f t="shared" ca="1" si="24"/>
        <v>39854</v>
      </c>
      <c r="S141" s="361">
        <f t="shared" ca="1" si="15"/>
        <v>462</v>
      </c>
    </row>
    <row r="142" spans="1:19">
      <c r="A142" s="159" t="s">
        <v>3499</v>
      </c>
      <c r="B142" s="59">
        <v>87.71</v>
      </c>
      <c r="C142" s="24">
        <f t="shared" si="16"/>
        <v>1.01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v>9</v>
      </c>
      <c r="Q142" s="24">
        <f t="shared" si="23"/>
        <v>1.05</v>
      </c>
      <c r="R142" s="715">
        <f t="shared" ca="1" si="24"/>
        <v>40252</v>
      </c>
      <c r="S142" s="361">
        <f t="shared" ca="1" si="15"/>
        <v>353</v>
      </c>
    </row>
    <row r="143" spans="1:19">
      <c r="A143" s="159" t="s">
        <v>3500</v>
      </c>
      <c r="B143" s="59">
        <v>126.15</v>
      </c>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v>9</v>
      </c>
      <c r="Q143" s="24">
        <f t="shared" si="23"/>
        <v>1.05</v>
      </c>
      <c r="R143" s="715">
        <f t="shared" ca="1" si="24"/>
        <v>39854</v>
      </c>
      <c r="S143" s="361">
        <f t="shared" ca="1" si="15"/>
        <v>503</v>
      </c>
    </row>
    <row r="144" spans="1:19">
      <c r="A144" s="159" t="s">
        <v>3501</v>
      </c>
      <c r="B144" s="59">
        <v>91.67</v>
      </c>
      <c r="C144" s="24">
        <f t="shared" si="16"/>
        <v>1.01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v>9</v>
      </c>
      <c r="Q144" s="24">
        <f t="shared" si="23"/>
        <v>1.05</v>
      </c>
      <c r="R144" s="715">
        <f t="shared" ca="1" si="24"/>
        <v>40252</v>
      </c>
      <c r="S144" s="361">
        <f t="shared" ca="1" si="15"/>
        <v>369</v>
      </c>
    </row>
    <row r="145" spans="1:19">
      <c r="A145" s="159" t="s">
        <v>3502</v>
      </c>
      <c r="B145" s="59">
        <v>76.2</v>
      </c>
      <c r="C145" s="24">
        <f t="shared" si="16"/>
        <v>1.01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v>9</v>
      </c>
      <c r="Q145" s="24">
        <f t="shared" si="23"/>
        <v>1.05</v>
      </c>
      <c r="R145" s="715">
        <f t="shared" ca="1" si="24"/>
        <v>40252</v>
      </c>
      <c r="S145" s="361">
        <f t="shared" ca="1" si="15"/>
        <v>307</v>
      </c>
    </row>
    <row r="146" spans="1:19">
      <c r="A146" s="159" t="s">
        <v>3503</v>
      </c>
      <c r="B146" s="59">
        <v>95.36</v>
      </c>
      <c r="C146" s="24">
        <f t="shared" si="16"/>
        <v>1.01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v>9</v>
      </c>
      <c r="Q146" s="24">
        <f t="shared" si="23"/>
        <v>1.05</v>
      </c>
      <c r="R146" s="715">
        <f t="shared" ca="1" si="24"/>
        <v>40252</v>
      </c>
      <c r="S146" s="361">
        <f t="shared" ca="1" si="15"/>
        <v>384</v>
      </c>
    </row>
    <row r="147" spans="1:19">
      <c r="A147" s="159" t="s">
        <v>3504</v>
      </c>
      <c r="B147" s="59">
        <v>68.849999999999994</v>
      </c>
      <c r="C147" s="24">
        <f t="shared" si="16"/>
        <v>1.01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v>9</v>
      </c>
      <c r="Q147" s="24">
        <f t="shared" si="23"/>
        <v>1.05</v>
      </c>
      <c r="R147" s="715">
        <f t="shared" ca="1" si="24"/>
        <v>40252</v>
      </c>
      <c r="S147" s="361">
        <f t="shared" ca="1" si="15"/>
        <v>277</v>
      </c>
    </row>
    <row r="148" spans="1:19">
      <c r="A148" s="159" t="s">
        <v>3505</v>
      </c>
      <c r="B148" s="59">
        <v>68.849999999999994</v>
      </c>
      <c r="C148" s="24">
        <f t="shared" si="16"/>
        <v>1.01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v>9</v>
      </c>
      <c r="Q148" s="24">
        <f t="shared" si="23"/>
        <v>1.05</v>
      </c>
      <c r="R148" s="715">
        <f t="shared" ca="1" si="24"/>
        <v>40252</v>
      </c>
      <c r="S148" s="361">
        <f t="shared" ca="1" si="15"/>
        <v>277</v>
      </c>
    </row>
    <row r="149" spans="1:19">
      <c r="A149" s="159" t="s">
        <v>3506</v>
      </c>
      <c r="B149" s="59">
        <v>94.09</v>
      </c>
      <c r="C149" s="24">
        <f t="shared" si="16"/>
        <v>1.01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v>10</v>
      </c>
      <c r="Q149" s="24">
        <f t="shared" si="23"/>
        <v>1.06</v>
      </c>
      <c r="R149" s="715">
        <f t="shared" ca="1" si="24"/>
        <v>40636</v>
      </c>
      <c r="S149" s="361">
        <f t="shared" ca="1" si="15"/>
        <v>382</v>
      </c>
    </row>
    <row r="150" spans="1:19">
      <c r="A150" s="159" t="s">
        <v>3507</v>
      </c>
      <c r="B150" s="59">
        <v>76.27</v>
      </c>
      <c r="C150" s="24">
        <f t="shared" si="16"/>
        <v>1.01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v>10</v>
      </c>
      <c r="Q150" s="24">
        <f t="shared" si="23"/>
        <v>1.06</v>
      </c>
      <c r="R150" s="715">
        <f t="shared" ca="1" si="24"/>
        <v>40636</v>
      </c>
      <c r="S150" s="361">
        <f t="shared" ca="1" si="15"/>
        <v>310</v>
      </c>
    </row>
    <row r="151" spans="1:19">
      <c r="A151" s="159" t="s">
        <v>3508</v>
      </c>
      <c r="B151" s="59">
        <v>75.760000000000005</v>
      </c>
      <c r="C151" s="24">
        <f t="shared" si="16"/>
        <v>1.01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v>10</v>
      </c>
      <c r="Q151" s="24">
        <f t="shared" si="23"/>
        <v>1.06</v>
      </c>
      <c r="R151" s="715">
        <f t="shared" ca="1" si="24"/>
        <v>40636</v>
      </c>
      <c r="S151" s="361">
        <f t="shared" ca="1" si="15"/>
        <v>308</v>
      </c>
    </row>
    <row r="152" spans="1:19">
      <c r="A152" s="159" t="s">
        <v>3509</v>
      </c>
      <c r="B152" s="59">
        <v>89.95</v>
      </c>
      <c r="C152" s="24">
        <f t="shared" si="16"/>
        <v>1.01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v>10</v>
      </c>
      <c r="Q152" s="24">
        <f t="shared" si="23"/>
        <v>1.06</v>
      </c>
      <c r="R152" s="715">
        <f t="shared" ca="1" si="24"/>
        <v>40636</v>
      </c>
      <c r="S152" s="361">
        <f t="shared" ref="S152:S215" ca="1" si="25">ROUND(R152*B152/10000,0)</f>
        <v>366</v>
      </c>
    </row>
    <row r="153" spans="1:19">
      <c r="A153" s="159" t="s">
        <v>3510</v>
      </c>
      <c r="B153" s="59">
        <v>99.07</v>
      </c>
      <c r="C153" s="24">
        <f t="shared" si="16"/>
        <v>1.01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v>10</v>
      </c>
      <c r="Q153" s="24">
        <f t="shared" si="23"/>
        <v>1.06</v>
      </c>
      <c r="R153" s="715">
        <f t="shared" ca="1" si="24"/>
        <v>40636</v>
      </c>
      <c r="S153" s="361">
        <f t="shared" ca="1" si="25"/>
        <v>403</v>
      </c>
    </row>
    <row r="154" spans="1:19">
      <c r="A154" s="159" t="s">
        <v>3511</v>
      </c>
      <c r="B154" s="59">
        <v>72.89</v>
      </c>
      <c r="C154" s="24">
        <f t="shared" ref="C154:C217" si="26">IF(B154="",1,(LOOKUP(B154,$3:$3,$4:$4)-LOOKUP($B$24,$3:$3,$4:$4)+100)/100)</f>
        <v>1.01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v>10</v>
      </c>
      <c r="Q154" s="24">
        <f t="shared" ref="Q154:Q217" si="33">(SUMIF($17:$17,P154,$18:$18)-SUMIF($17:$17,$P$24,$18:$18)+100)/100</f>
        <v>1.06</v>
      </c>
      <c r="R154" s="715">
        <f t="shared" ref="R154:R217" ca="1" si="34">IF(B154="",0,ROUND($R$24*C154*E154*G154*I154*K154*M154*O154*Q154,0))</f>
        <v>40636</v>
      </c>
      <c r="S154" s="361">
        <f t="shared" ca="1" si="25"/>
        <v>296</v>
      </c>
    </row>
    <row r="155" spans="1:19">
      <c r="A155" s="159" t="s">
        <v>3512</v>
      </c>
      <c r="B155" s="59">
        <v>81.849999999999994</v>
      </c>
      <c r="C155" s="24">
        <f t="shared" si="26"/>
        <v>1.01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v>10</v>
      </c>
      <c r="Q155" s="24">
        <f t="shared" si="33"/>
        <v>1.06</v>
      </c>
      <c r="R155" s="715">
        <f t="shared" ca="1" si="34"/>
        <v>40636</v>
      </c>
      <c r="S155" s="361">
        <f t="shared" ca="1" si="25"/>
        <v>333</v>
      </c>
    </row>
    <row r="156" spans="1:19">
      <c r="A156" s="159" t="s">
        <v>3513</v>
      </c>
      <c r="B156" s="59">
        <v>68.75</v>
      </c>
      <c r="C156" s="24">
        <f t="shared" si="26"/>
        <v>1.01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v>10</v>
      </c>
      <c r="Q156" s="24">
        <f t="shared" si="33"/>
        <v>1.06</v>
      </c>
      <c r="R156" s="715">
        <f t="shared" ca="1" si="34"/>
        <v>40636</v>
      </c>
      <c r="S156" s="361">
        <f t="shared" ca="1" si="25"/>
        <v>279</v>
      </c>
    </row>
    <row r="157" spans="1:19">
      <c r="A157" s="159" t="s">
        <v>3514</v>
      </c>
      <c r="B157" s="59">
        <v>69.97</v>
      </c>
      <c r="C157" s="24">
        <f t="shared" si="26"/>
        <v>1.01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v>10</v>
      </c>
      <c r="Q157" s="24">
        <f t="shared" si="33"/>
        <v>1.06</v>
      </c>
      <c r="R157" s="715">
        <f t="shared" ca="1" si="34"/>
        <v>40636</v>
      </c>
      <c r="S157" s="361">
        <f t="shared" ca="1" si="25"/>
        <v>284</v>
      </c>
    </row>
    <row r="158" spans="1:19">
      <c r="A158" s="159" t="s">
        <v>3515</v>
      </c>
      <c r="B158" s="59">
        <v>107.5</v>
      </c>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v>10</v>
      </c>
      <c r="Q158" s="24">
        <f t="shared" si="33"/>
        <v>1.06</v>
      </c>
      <c r="R158" s="715">
        <f t="shared" ca="1" si="34"/>
        <v>40233</v>
      </c>
      <c r="S158" s="361">
        <f t="shared" ca="1" si="25"/>
        <v>433</v>
      </c>
    </row>
    <row r="159" spans="1:19">
      <c r="A159" s="159" t="s">
        <v>3516</v>
      </c>
      <c r="B159" s="59">
        <v>73.87</v>
      </c>
      <c r="C159" s="24">
        <f t="shared" si="26"/>
        <v>1.01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v>10</v>
      </c>
      <c r="Q159" s="24">
        <f t="shared" si="33"/>
        <v>1.06</v>
      </c>
      <c r="R159" s="715">
        <f t="shared" ca="1" si="34"/>
        <v>40636</v>
      </c>
      <c r="S159" s="361">
        <f t="shared" ca="1" si="25"/>
        <v>300</v>
      </c>
    </row>
    <row r="160" spans="1:19">
      <c r="A160" s="159" t="s">
        <v>3517</v>
      </c>
      <c r="B160" s="59">
        <v>115.57</v>
      </c>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v>10</v>
      </c>
      <c r="Q160" s="24">
        <f t="shared" si="33"/>
        <v>1.06</v>
      </c>
      <c r="R160" s="715">
        <f t="shared" ca="1" si="34"/>
        <v>40233</v>
      </c>
      <c r="S160" s="361">
        <f t="shared" ca="1" si="25"/>
        <v>465</v>
      </c>
    </row>
    <row r="161" spans="1:19">
      <c r="A161" s="159" t="s">
        <v>3518</v>
      </c>
      <c r="B161" s="59">
        <v>83.27</v>
      </c>
      <c r="C161" s="24">
        <f t="shared" si="26"/>
        <v>1.01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v>10</v>
      </c>
      <c r="Q161" s="24">
        <f t="shared" si="33"/>
        <v>1.06</v>
      </c>
      <c r="R161" s="715">
        <f t="shared" ca="1" si="34"/>
        <v>40636</v>
      </c>
      <c r="S161" s="361">
        <f t="shared" ca="1" si="25"/>
        <v>338</v>
      </c>
    </row>
    <row r="162" spans="1:19">
      <c r="A162" s="159" t="s">
        <v>3519</v>
      </c>
      <c r="B162" s="59">
        <v>83.27</v>
      </c>
      <c r="C162" s="24">
        <f t="shared" si="26"/>
        <v>1.01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v>10</v>
      </c>
      <c r="Q162" s="24">
        <f t="shared" si="33"/>
        <v>1.06</v>
      </c>
      <c r="R162" s="715">
        <f t="shared" ca="1" si="34"/>
        <v>40636</v>
      </c>
      <c r="S162" s="361">
        <f t="shared" ca="1" si="25"/>
        <v>338</v>
      </c>
    </row>
    <row r="163" spans="1:19">
      <c r="A163" s="159" t="s">
        <v>3520</v>
      </c>
      <c r="B163" s="59">
        <v>115.96</v>
      </c>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v>10</v>
      </c>
      <c r="Q163" s="24">
        <f t="shared" si="33"/>
        <v>1.06</v>
      </c>
      <c r="R163" s="715">
        <f t="shared" ca="1" si="34"/>
        <v>40233</v>
      </c>
      <c r="S163" s="361">
        <f t="shared" ca="1" si="25"/>
        <v>467</v>
      </c>
    </row>
    <row r="164" spans="1:19">
      <c r="A164" s="159" t="s">
        <v>3521</v>
      </c>
      <c r="B164" s="59">
        <v>87.71</v>
      </c>
      <c r="C164" s="24">
        <f t="shared" si="26"/>
        <v>1.01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v>10</v>
      </c>
      <c r="Q164" s="24">
        <f t="shared" si="33"/>
        <v>1.06</v>
      </c>
      <c r="R164" s="715">
        <f t="shared" ca="1" si="34"/>
        <v>40636</v>
      </c>
      <c r="S164" s="361">
        <f t="shared" ca="1" si="25"/>
        <v>356</v>
      </c>
    </row>
    <row r="165" spans="1:19">
      <c r="A165" s="159" t="s">
        <v>3522</v>
      </c>
      <c r="B165" s="59">
        <v>126.15</v>
      </c>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v>10</v>
      </c>
      <c r="Q165" s="24">
        <f t="shared" si="33"/>
        <v>1.06</v>
      </c>
      <c r="R165" s="715">
        <f t="shared" ca="1" si="34"/>
        <v>40233</v>
      </c>
      <c r="S165" s="361">
        <f t="shared" ca="1" si="25"/>
        <v>508</v>
      </c>
    </row>
    <row r="166" spans="1:19">
      <c r="A166" s="159" t="s">
        <v>3523</v>
      </c>
      <c r="B166" s="59">
        <v>91.67</v>
      </c>
      <c r="C166" s="24">
        <f t="shared" si="26"/>
        <v>1.01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v>10</v>
      </c>
      <c r="Q166" s="24">
        <f t="shared" si="33"/>
        <v>1.06</v>
      </c>
      <c r="R166" s="715">
        <f t="shared" ca="1" si="34"/>
        <v>40636</v>
      </c>
      <c r="S166" s="361">
        <f t="shared" ca="1" si="25"/>
        <v>373</v>
      </c>
    </row>
    <row r="167" spans="1:19">
      <c r="A167" s="159" t="s">
        <v>3524</v>
      </c>
      <c r="B167" s="59">
        <v>76.2</v>
      </c>
      <c r="C167" s="24">
        <f t="shared" si="26"/>
        <v>1.01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v>10</v>
      </c>
      <c r="Q167" s="24">
        <f t="shared" si="33"/>
        <v>1.06</v>
      </c>
      <c r="R167" s="715">
        <f t="shared" ca="1" si="34"/>
        <v>40636</v>
      </c>
      <c r="S167" s="361">
        <f t="shared" ca="1" si="25"/>
        <v>310</v>
      </c>
    </row>
    <row r="168" spans="1:19">
      <c r="A168" s="159" t="s">
        <v>3525</v>
      </c>
      <c r="B168" s="59">
        <v>95.36</v>
      </c>
      <c r="C168" s="24">
        <f t="shared" si="26"/>
        <v>1.01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v>10</v>
      </c>
      <c r="Q168" s="24">
        <f t="shared" si="33"/>
        <v>1.06</v>
      </c>
      <c r="R168" s="715">
        <f t="shared" ca="1" si="34"/>
        <v>40636</v>
      </c>
      <c r="S168" s="361">
        <f t="shared" ca="1" si="25"/>
        <v>388</v>
      </c>
    </row>
    <row r="169" spans="1:19">
      <c r="A169" s="159" t="s">
        <v>3526</v>
      </c>
      <c r="B169" s="59">
        <v>68.849999999999994</v>
      </c>
      <c r="C169" s="24">
        <f t="shared" si="26"/>
        <v>1.01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v>10</v>
      </c>
      <c r="Q169" s="24">
        <f t="shared" si="33"/>
        <v>1.06</v>
      </c>
      <c r="R169" s="715">
        <f t="shared" ca="1" si="34"/>
        <v>40636</v>
      </c>
      <c r="S169" s="361">
        <f t="shared" ca="1" si="25"/>
        <v>280</v>
      </c>
    </row>
    <row r="170" spans="1:19">
      <c r="A170" s="159" t="s">
        <v>3527</v>
      </c>
      <c r="B170" s="59">
        <v>68.849999999999994</v>
      </c>
      <c r="C170" s="24">
        <f t="shared" si="26"/>
        <v>1.01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v>10</v>
      </c>
      <c r="Q170" s="24">
        <f t="shared" si="33"/>
        <v>1.06</v>
      </c>
      <c r="R170" s="715">
        <f t="shared" ca="1" si="34"/>
        <v>40636</v>
      </c>
      <c r="S170" s="361">
        <f t="shared" ca="1" si="25"/>
        <v>280</v>
      </c>
    </row>
    <row r="171" spans="1:19">
      <c r="A171" s="159" t="s">
        <v>3528</v>
      </c>
      <c r="B171" s="59">
        <v>94.09</v>
      </c>
      <c r="C171" s="24">
        <f t="shared" si="26"/>
        <v>1.01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v>11</v>
      </c>
      <c r="Q171" s="24">
        <f t="shared" si="33"/>
        <v>1.07</v>
      </c>
      <c r="R171" s="715">
        <f t="shared" ca="1" si="34"/>
        <v>41019</v>
      </c>
      <c r="S171" s="361">
        <f t="shared" ca="1" si="25"/>
        <v>386</v>
      </c>
    </row>
    <row r="172" spans="1:19">
      <c r="A172" s="159" t="s">
        <v>3529</v>
      </c>
      <c r="B172" s="59">
        <v>76.27</v>
      </c>
      <c r="C172" s="24">
        <f t="shared" si="26"/>
        <v>1.01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v>11</v>
      </c>
      <c r="Q172" s="24">
        <f t="shared" si="33"/>
        <v>1.07</v>
      </c>
      <c r="R172" s="715">
        <f t="shared" ca="1" si="34"/>
        <v>41019</v>
      </c>
      <c r="S172" s="361">
        <f t="shared" ca="1" si="25"/>
        <v>313</v>
      </c>
    </row>
    <row r="173" spans="1:19">
      <c r="A173" s="159" t="s">
        <v>3530</v>
      </c>
      <c r="B173" s="59">
        <v>75.760000000000005</v>
      </c>
      <c r="C173" s="24">
        <f t="shared" si="26"/>
        <v>1.01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v>11</v>
      </c>
      <c r="Q173" s="24">
        <f t="shared" si="33"/>
        <v>1.07</v>
      </c>
      <c r="R173" s="715">
        <f t="shared" ca="1" si="34"/>
        <v>41019</v>
      </c>
      <c r="S173" s="361">
        <f t="shared" ca="1" si="25"/>
        <v>311</v>
      </c>
    </row>
    <row r="174" spans="1:19">
      <c r="A174" s="159" t="s">
        <v>3531</v>
      </c>
      <c r="B174" s="59">
        <v>89.95</v>
      </c>
      <c r="C174" s="24">
        <f t="shared" si="26"/>
        <v>1.01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v>11</v>
      </c>
      <c r="Q174" s="24">
        <f t="shared" si="33"/>
        <v>1.07</v>
      </c>
      <c r="R174" s="715">
        <f t="shared" ca="1" si="34"/>
        <v>41019</v>
      </c>
      <c r="S174" s="361">
        <f t="shared" ca="1" si="25"/>
        <v>369</v>
      </c>
    </row>
    <row r="175" spans="1:19">
      <c r="A175" s="159" t="s">
        <v>3532</v>
      </c>
      <c r="B175" s="59">
        <v>99.07</v>
      </c>
      <c r="C175" s="24">
        <f t="shared" si="26"/>
        <v>1.01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v>11</v>
      </c>
      <c r="Q175" s="24">
        <f t="shared" si="33"/>
        <v>1.07</v>
      </c>
      <c r="R175" s="715">
        <f t="shared" ca="1" si="34"/>
        <v>41019</v>
      </c>
      <c r="S175" s="361">
        <f t="shared" ca="1" si="25"/>
        <v>406</v>
      </c>
    </row>
    <row r="176" spans="1:19">
      <c r="A176" s="159" t="s">
        <v>3533</v>
      </c>
      <c r="B176" s="59">
        <v>72.89</v>
      </c>
      <c r="C176" s="24">
        <f t="shared" si="26"/>
        <v>1.01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v>11</v>
      </c>
      <c r="Q176" s="24">
        <f t="shared" si="33"/>
        <v>1.07</v>
      </c>
      <c r="R176" s="715">
        <f t="shared" ca="1" si="34"/>
        <v>41019</v>
      </c>
      <c r="S176" s="361">
        <f t="shared" ca="1" si="25"/>
        <v>299</v>
      </c>
    </row>
    <row r="177" spans="1:19">
      <c r="A177" s="159" t="s">
        <v>3534</v>
      </c>
      <c r="B177" s="59">
        <v>81.849999999999994</v>
      </c>
      <c r="C177" s="24">
        <f t="shared" si="26"/>
        <v>1.01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v>11</v>
      </c>
      <c r="Q177" s="24">
        <f t="shared" si="33"/>
        <v>1.07</v>
      </c>
      <c r="R177" s="715">
        <f t="shared" ca="1" si="34"/>
        <v>41019</v>
      </c>
      <c r="S177" s="361">
        <f t="shared" ca="1" si="25"/>
        <v>336</v>
      </c>
    </row>
    <row r="178" spans="1:19">
      <c r="A178" s="159" t="s">
        <v>3535</v>
      </c>
      <c r="B178" s="59">
        <v>68.75</v>
      </c>
      <c r="C178" s="24">
        <f t="shared" si="26"/>
        <v>1.01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v>11</v>
      </c>
      <c r="Q178" s="24">
        <f t="shared" si="33"/>
        <v>1.07</v>
      </c>
      <c r="R178" s="715">
        <f t="shared" ca="1" si="34"/>
        <v>41019</v>
      </c>
      <c r="S178" s="361">
        <f t="shared" ca="1" si="25"/>
        <v>282</v>
      </c>
    </row>
    <row r="179" spans="1:19">
      <c r="A179" s="159" t="s">
        <v>3536</v>
      </c>
      <c r="B179" s="59">
        <v>69.97</v>
      </c>
      <c r="C179" s="24">
        <f t="shared" si="26"/>
        <v>1.01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v>11</v>
      </c>
      <c r="Q179" s="24">
        <f t="shared" si="33"/>
        <v>1.07</v>
      </c>
      <c r="R179" s="715">
        <f t="shared" ca="1" si="34"/>
        <v>41019</v>
      </c>
      <c r="S179" s="361">
        <f t="shared" ca="1" si="25"/>
        <v>287</v>
      </c>
    </row>
    <row r="180" spans="1:19">
      <c r="A180" s="159" t="s">
        <v>3537</v>
      </c>
      <c r="B180" s="59">
        <v>107.5</v>
      </c>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v>11</v>
      </c>
      <c r="Q180" s="24">
        <f t="shared" si="33"/>
        <v>1.07</v>
      </c>
      <c r="R180" s="715">
        <f t="shared" ca="1" si="34"/>
        <v>40613</v>
      </c>
      <c r="S180" s="361">
        <f t="shared" ca="1" si="25"/>
        <v>437</v>
      </c>
    </row>
    <row r="181" spans="1:19">
      <c r="A181" s="159" t="s">
        <v>3538</v>
      </c>
      <c r="B181" s="59">
        <v>73.87</v>
      </c>
      <c r="C181" s="24">
        <f t="shared" si="26"/>
        <v>1.01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v>11</v>
      </c>
      <c r="Q181" s="24">
        <f t="shared" si="33"/>
        <v>1.07</v>
      </c>
      <c r="R181" s="715">
        <f t="shared" ca="1" si="34"/>
        <v>41019</v>
      </c>
      <c r="S181" s="361">
        <f t="shared" ca="1" si="25"/>
        <v>303</v>
      </c>
    </row>
    <row r="182" spans="1:19">
      <c r="A182" s="159" t="s">
        <v>3539</v>
      </c>
      <c r="B182" s="59">
        <v>115.57</v>
      </c>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v>11</v>
      </c>
      <c r="Q182" s="24">
        <f t="shared" si="33"/>
        <v>1.07</v>
      </c>
      <c r="R182" s="715">
        <f t="shared" ca="1" si="34"/>
        <v>40613</v>
      </c>
      <c r="S182" s="361">
        <f t="shared" ca="1" si="25"/>
        <v>469</v>
      </c>
    </row>
    <row r="183" spans="1:19">
      <c r="A183" s="159" t="s">
        <v>3540</v>
      </c>
      <c r="B183" s="59">
        <v>83.27</v>
      </c>
      <c r="C183" s="24">
        <f t="shared" si="26"/>
        <v>1.01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v>11</v>
      </c>
      <c r="Q183" s="24">
        <f t="shared" si="33"/>
        <v>1.07</v>
      </c>
      <c r="R183" s="715">
        <f t="shared" ca="1" si="34"/>
        <v>41019</v>
      </c>
      <c r="S183" s="361">
        <f t="shared" ca="1" si="25"/>
        <v>342</v>
      </c>
    </row>
    <row r="184" spans="1:19">
      <c r="A184" s="159" t="s">
        <v>3541</v>
      </c>
      <c r="B184" s="59">
        <v>83.27</v>
      </c>
      <c r="C184" s="24">
        <f t="shared" si="26"/>
        <v>1.01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v>11</v>
      </c>
      <c r="Q184" s="24">
        <f t="shared" si="33"/>
        <v>1.07</v>
      </c>
      <c r="R184" s="715">
        <f t="shared" ca="1" si="34"/>
        <v>41019</v>
      </c>
      <c r="S184" s="361">
        <f t="shared" ca="1" si="25"/>
        <v>342</v>
      </c>
    </row>
    <row r="185" spans="1:19">
      <c r="A185" s="159" t="s">
        <v>3542</v>
      </c>
      <c r="B185" s="59">
        <v>115.96</v>
      </c>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v>11</v>
      </c>
      <c r="Q185" s="24">
        <f t="shared" si="33"/>
        <v>1.07</v>
      </c>
      <c r="R185" s="715">
        <f t="shared" ca="1" si="34"/>
        <v>40613</v>
      </c>
      <c r="S185" s="361">
        <f t="shared" ca="1" si="25"/>
        <v>471</v>
      </c>
    </row>
    <row r="186" spans="1:19">
      <c r="A186" s="159" t="s">
        <v>3543</v>
      </c>
      <c r="B186" s="59">
        <v>87.71</v>
      </c>
      <c r="C186" s="24">
        <f t="shared" si="26"/>
        <v>1.01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v>11</v>
      </c>
      <c r="Q186" s="24">
        <f t="shared" si="33"/>
        <v>1.07</v>
      </c>
      <c r="R186" s="715">
        <f t="shared" ca="1" si="34"/>
        <v>41019</v>
      </c>
      <c r="S186" s="361">
        <f t="shared" ca="1" si="25"/>
        <v>360</v>
      </c>
    </row>
    <row r="187" spans="1:19">
      <c r="A187" s="159" t="s">
        <v>3544</v>
      </c>
      <c r="B187" s="59">
        <v>126.15</v>
      </c>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v>11</v>
      </c>
      <c r="Q187" s="24">
        <f t="shared" si="33"/>
        <v>1.07</v>
      </c>
      <c r="R187" s="715">
        <f t="shared" ca="1" si="34"/>
        <v>40613</v>
      </c>
      <c r="S187" s="361">
        <f t="shared" ca="1" si="25"/>
        <v>512</v>
      </c>
    </row>
    <row r="188" spans="1:19">
      <c r="A188" s="159" t="s">
        <v>3545</v>
      </c>
      <c r="B188" s="59">
        <v>91.67</v>
      </c>
      <c r="C188" s="24">
        <f t="shared" si="26"/>
        <v>1.01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v>11</v>
      </c>
      <c r="Q188" s="24">
        <f t="shared" si="33"/>
        <v>1.07</v>
      </c>
      <c r="R188" s="715">
        <f t="shared" ca="1" si="34"/>
        <v>41019</v>
      </c>
      <c r="S188" s="361">
        <f t="shared" ca="1" si="25"/>
        <v>376</v>
      </c>
    </row>
    <row r="189" spans="1:19">
      <c r="A189" s="159" t="s">
        <v>3546</v>
      </c>
      <c r="B189" s="59">
        <v>76.2</v>
      </c>
      <c r="C189" s="24">
        <f t="shared" si="26"/>
        <v>1.01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v>11</v>
      </c>
      <c r="Q189" s="24">
        <f t="shared" si="33"/>
        <v>1.07</v>
      </c>
      <c r="R189" s="715">
        <f t="shared" ca="1" si="34"/>
        <v>41019</v>
      </c>
      <c r="S189" s="361">
        <f t="shared" ca="1" si="25"/>
        <v>313</v>
      </c>
    </row>
    <row r="190" spans="1:19">
      <c r="A190" s="159" t="s">
        <v>3547</v>
      </c>
      <c r="B190" s="59">
        <v>95.36</v>
      </c>
      <c r="C190" s="24">
        <f t="shared" si="26"/>
        <v>1.01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v>11</v>
      </c>
      <c r="Q190" s="24">
        <f t="shared" si="33"/>
        <v>1.07</v>
      </c>
      <c r="R190" s="715">
        <f t="shared" ca="1" si="34"/>
        <v>41019</v>
      </c>
      <c r="S190" s="361">
        <f t="shared" ca="1" si="25"/>
        <v>391</v>
      </c>
    </row>
    <row r="191" spans="1:19">
      <c r="A191" s="159" t="s">
        <v>3548</v>
      </c>
      <c r="B191" s="59">
        <v>68.849999999999994</v>
      </c>
      <c r="C191" s="24">
        <f t="shared" si="26"/>
        <v>1.01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v>11</v>
      </c>
      <c r="Q191" s="24">
        <f t="shared" si="33"/>
        <v>1.07</v>
      </c>
      <c r="R191" s="715">
        <f t="shared" ca="1" si="34"/>
        <v>41019</v>
      </c>
      <c r="S191" s="361">
        <f t="shared" ca="1" si="25"/>
        <v>282</v>
      </c>
    </row>
    <row r="192" spans="1:19">
      <c r="A192" s="159" t="s">
        <v>3549</v>
      </c>
      <c r="B192" s="59">
        <v>68.849999999999994</v>
      </c>
      <c r="C192" s="24">
        <f t="shared" si="26"/>
        <v>1.01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v>11</v>
      </c>
      <c r="Q192" s="24">
        <f t="shared" si="33"/>
        <v>1.07</v>
      </c>
      <c r="R192" s="715">
        <f t="shared" ca="1" si="34"/>
        <v>41019</v>
      </c>
      <c r="S192" s="361">
        <f t="shared" ca="1" si="25"/>
        <v>282</v>
      </c>
    </row>
    <row r="193" spans="1:19">
      <c r="A193" s="159" t="s">
        <v>3550</v>
      </c>
      <c r="B193" s="59">
        <v>94.09</v>
      </c>
      <c r="C193" s="24">
        <f t="shared" si="26"/>
        <v>1.01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v>12</v>
      </c>
      <c r="Q193" s="24">
        <f t="shared" si="33"/>
        <v>1.08</v>
      </c>
      <c r="R193" s="715">
        <f t="shared" ca="1" si="34"/>
        <v>41402</v>
      </c>
      <c r="S193" s="361">
        <f t="shared" ca="1" si="25"/>
        <v>390</v>
      </c>
    </row>
    <row r="194" spans="1:19">
      <c r="A194" s="159" t="s">
        <v>3551</v>
      </c>
      <c r="B194" s="59">
        <v>76.27</v>
      </c>
      <c r="C194" s="24">
        <f t="shared" si="26"/>
        <v>1.01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v>12</v>
      </c>
      <c r="Q194" s="24">
        <f t="shared" si="33"/>
        <v>1.08</v>
      </c>
      <c r="R194" s="715">
        <f t="shared" ca="1" si="34"/>
        <v>41402</v>
      </c>
      <c r="S194" s="361">
        <f t="shared" ca="1" si="25"/>
        <v>316</v>
      </c>
    </row>
    <row r="195" spans="1:19">
      <c r="A195" s="159" t="s">
        <v>3552</v>
      </c>
      <c r="B195" s="59">
        <v>75.760000000000005</v>
      </c>
      <c r="C195" s="24">
        <f t="shared" si="26"/>
        <v>1.01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v>12</v>
      </c>
      <c r="Q195" s="24">
        <f t="shared" si="33"/>
        <v>1.08</v>
      </c>
      <c r="R195" s="715">
        <f t="shared" ca="1" si="34"/>
        <v>41402</v>
      </c>
      <c r="S195" s="361">
        <f t="shared" ca="1" si="25"/>
        <v>314</v>
      </c>
    </row>
    <row r="196" spans="1:19">
      <c r="A196" s="159" t="s">
        <v>3553</v>
      </c>
      <c r="B196" s="59">
        <v>89.95</v>
      </c>
      <c r="C196" s="24">
        <f t="shared" si="26"/>
        <v>1.01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v>12</v>
      </c>
      <c r="Q196" s="24">
        <f t="shared" si="33"/>
        <v>1.08</v>
      </c>
      <c r="R196" s="715">
        <f t="shared" ca="1" si="34"/>
        <v>41402</v>
      </c>
      <c r="S196" s="361">
        <f t="shared" ca="1" si="25"/>
        <v>372</v>
      </c>
    </row>
    <row r="197" spans="1:19">
      <c r="A197" s="159" t="s">
        <v>3554</v>
      </c>
      <c r="B197" s="59">
        <v>99.07</v>
      </c>
      <c r="C197" s="24">
        <f t="shared" si="26"/>
        <v>1.01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v>12</v>
      </c>
      <c r="Q197" s="24">
        <f t="shared" si="33"/>
        <v>1.08</v>
      </c>
      <c r="R197" s="715">
        <f t="shared" ca="1" si="34"/>
        <v>41402</v>
      </c>
      <c r="S197" s="361">
        <f t="shared" ca="1" si="25"/>
        <v>410</v>
      </c>
    </row>
    <row r="198" spans="1:19">
      <c r="A198" s="159" t="s">
        <v>3555</v>
      </c>
      <c r="B198" s="59">
        <v>72.89</v>
      </c>
      <c r="C198" s="24">
        <f t="shared" si="26"/>
        <v>1.01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v>12</v>
      </c>
      <c r="Q198" s="24">
        <f t="shared" si="33"/>
        <v>1.08</v>
      </c>
      <c r="R198" s="715">
        <f t="shared" ca="1" si="34"/>
        <v>41402</v>
      </c>
      <c r="S198" s="361">
        <f t="shared" ca="1" si="25"/>
        <v>302</v>
      </c>
    </row>
    <row r="199" spans="1:19">
      <c r="A199" s="159" t="s">
        <v>3556</v>
      </c>
      <c r="B199" s="59">
        <v>81.849999999999994</v>
      </c>
      <c r="C199" s="24">
        <f t="shared" si="26"/>
        <v>1.01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v>12</v>
      </c>
      <c r="Q199" s="24">
        <f t="shared" si="33"/>
        <v>1.08</v>
      </c>
      <c r="R199" s="715">
        <f t="shared" ca="1" si="34"/>
        <v>41402</v>
      </c>
      <c r="S199" s="361">
        <f t="shared" ca="1" si="25"/>
        <v>339</v>
      </c>
    </row>
    <row r="200" spans="1:19">
      <c r="A200" s="159" t="s">
        <v>3557</v>
      </c>
      <c r="B200" s="59">
        <v>68.75</v>
      </c>
      <c r="C200" s="24">
        <f t="shared" si="26"/>
        <v>1.01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v>12</v>
      </c>
      <c r="Q200" s="24">
        <f t="shared" si="33"/>
        <v>1.08</v>
      </c>
      <c r="R200" s="715">
        <f t="shared" ca="1" si="34"/>
        <v>41402</v>
      </c>
      <c r="S200" s="361">
        <f t="shared" ca="1" si="25"/>
        <v>285</v>
      </c>
    </row>
    <row r="201" spans="1:19">
      <c r="A201" s="159" t="s">
        <v>3558</v>
      </c>
      <c r="B201" s="59">
        <v>69.97</v>
      </c>
      <c r="C201" s="24">
        <f t="shared" si="26"/>
        <v>1.01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v>12</v>
      </c>
      <c r="Q201" s="24">
        <f t="shared" si="33"/>
        <v>1.08</v>
      </c>
      <c r="R201" s="715">
        <f t="shared" ca="1" si="34"/>
        <v>41402</v>
      </c>
      <c r="S201" s="361">
        <f t="shared" ca="1" si="25"/>
        <v>290</v>
      </c>
    </row>
    <row r="202" spans="1:19">
      <c r="A202" s="159" t="s">
        <v>3559</v>
      </c>
      <c r="B202" s="59">
        <v>107.5</v>
      </c>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v>12</v>
      </c>
      <c r="Q202" s="24">
        <f t="shared" si="33"/>
        <v>1.08</v>
      </c>
      <c r="R202" s="715">
        <f t="shared" ca="1" si="34"/>
        <v>40992</v>
      </c>
      <c r="S202" s="361">
        <f t="shared" ca="1" si="25"/>
        <v>441</v>
      </c>
    </row>
    <row r="203" spans="1:19">
      <c r="A203" s="159" t="s">
        <v>3560</v>
      </c>
      <c r="B203" s="59">
        <v>73.87</v>
      </c>
      <c r="C203" s="24">
        <f t="shared" si="26"/>
        <v>1.01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v>12</v>
      </c>
      <c r="Q203" s="24">
        <f t="shared" si="33"/>
        <v>1.08</v>
      </c>
      <c r="R203" s="715">
        <f t="shared" ca="1" si="34"/>
        <v>41402</v>
      </c>
      <c r="S203" s="361">
        <f t="shared" ca="1" si="25"/>
        <v>306</v>
      </c>
    </row>
    <row r="204" spans="1:19">
      <c r="A204" s="159" t="s">
        <v>3561</v>
      </c>
      <c r="B204" s="59">
        <v>115.57</v>
      </c>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v>12</v>
      </c>
      <c r="Q204" s="24">
        <f t="shared" si="33"/>
        <v>1.08</v>
      </c>
      <c r="R204" s="715">
        <f t="shared" ca="1" si="34"/>
        <v>40992</v>
      </c>
      <c r="S204" s="361">
        <f t="shared" ca="1" si="25"/>
        <v>474</v>
      </c>
    </row>
    <row r="205" spans="1:19">
      <c r="A205" s="159" t="s">
        <v>3562</v>
      </c>
      <c r="B205" s="59">
        <v>83.27</v>
      </c>
      <c r="C205" s="24">
        <f t="shared" si="26"/>
        <v>1.01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v>12</v>
      </c>
      <c r="Q205" s="24">
        <f t="shared" si="33"/>
        <v>1.08</v>
      </c>
      <c r="R205" s="715">
        <f t="shared" ca="1" si="34"/>
        <v>41402</v>
      </c>
      <c r="S205" s="361">
        <f t="shared" ca="1" si="25"/>
        <v>345</v>
      </c>
    </row>
    <row r="206" spans="1:19">
      <c r="A206" s="159" t="s">
        <v>3563</v>
      </c>
      <c r="B206" s="59">
        <v>83.27</v>
      </c>
      <c r="C206" s="24">
        <f t="shared" si="26"/>
        <v>1.01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v>12</v>
      </c>
      <c r="Q206" s="24">
        <f t="shared" si="33"/>
        <v>1.08</v>
      </c>
      <c r="R206" s="715">
        <f t="shared" ca="1" si="34"/>
        <v>41402</v>
      </c>
      <c r="S206" s="361">
        <f t="shared" ca="1" si="25"/>
        <v>345</v>
      </c>
    </row>
    <row r="207" spans="1:19">
      <c r="A207" s="159" t="s">
        <v>3564</v>
      </c>
      <c r="B207" s="59">
        <v>115.96</v>
      </c>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v>12</v>
      </c>
      <c r="Q207" s="24">
        <f t="shared" si="33"/>
        <v>1.08</v>
      </c>
      <c r="R207" s="715">
        <f t="shared" ca="1" si="34"/>
        <v>40992</v>
      </c>
      <c r="S207" s="361">
        <f t="shared" ca="1" si="25"/>
        <v>475</v>
      </c>
    </row>
    <row r="208" spans="1:19">
      <c r="A208" s="159" t="s">
        <v>3565</v>
      </c>
      <c r="B208" s="59">
        <v>87.71</v>
      </c>
      <c r="C208" s="24">
        <f t="shared" si="26"/>
        <v>1.01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v>12</v>
      </c>
      <c r="Q208" s="24">
        <f t="shared" si="33"/>
        <v>1.08</v>
      </c>
      <c r="R208" s="715">
        <f t="shared" ca="1" si="34"/>
        <v>41402</v>
      </c>
      <c r="S208" s="361">
        <f t="shared" ca="1" si="25"/>
        <v>363</v>
      </c>
    </row>
    <row r="209" spans="1:19">
      <c r="A209" s="159" t="s">
        <v>3566</v>
      </c>
      <c r="B209" s="59">
        <v>126.15</v>
      </c>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v>12</v>
      </c>
      <c r="Q209" s="24">
        <f t="shared" si="33"/>
        <v>1.08</v>
      </c>
      <c r="R209" s="715">
        <f t="shared" ca="1" si="34"/>
        <v>40992</v>
      </c>
      <c r="S209" s="361">
        <f t="shared" ca="1" si="25"/>
        <v>517</v>
      </c>
    </row>
    <row r="210" spans="1:19">
      <c r="A210" s="159" t="s">
        <v>3567</v>
      </c>
      <c r="B210" s="59">
        <v>91.67</v>
      </c>
      <c r="C210" s="24">
        <f t="shared" si="26"/>
        <v>1.01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v>12</v>
      </c>
      <c r="Q210" s="24">
        <f t="shared" si="33"/>
        <v>1.08</v>
      </c>
      <c r="R210" s="715">
        <f t="shared" ca="1" si="34"/>
        <v>41402</v>
      </c>
      <c r="S210" s="361">
        <f t="shared" ca="1" si="25"/>
        <v>380</v>
      </c>
    </row>
    <row r="211" spans="1:19">
      <c r="A211" s="159" t="s">
        <v>3568</v>
      </c>
      <c r="B211" s="59">
        <v>76.2</v>
      </c>
      <c r="C211" s="24">
        <f t="shared" si="26"/>
        <v>1.01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v>12</v>
      </c>
      <c r="Q211" s="24">
        <f t="shared" si="33"/>
        <v>1.08</v>
      </c>
      <c r="R211" s="715">
        <f t="shared" ca="1" si="34"/>
        <v>41402</v>
      </c>
      <c r="S211" s="361">
        <f t="shared" ca="1" si="25"/>
        <v>315</v>
      </c>
    </row>
    <row r="212" spans="1:19">
      <c r="A212" s="159" t="s">
        <v>3569</v>
      </c>
      <c r="B212" s="59">
        <v>95.36</v>
      </c>
      <c r="C212" s="24">
        <f t="shared" si="26"/>
        <v>1.01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v>12</v>
      </c>
      <c r="Q212" s="24">
        <f t="shared" si="33"/>
        <v>1.08</v>
      </c>
      <c r="R212" s="715">
        <f t="shared" ca="1" si="34"/>
        <v>41402</v>
      </c>
      <c r="S212" s="361">
        <f t="shared" ca="1" si="25"/>
        <v>395</v>
      </c>
    </row>
    <row r="213" spans="1:19">
      <c r="A213" s="159" t="s">
        <v>3570</v>
      </c>
      <c r="B213" s="59">
        <v>68.849999999999994</v>
      </c>
      <c r="C213" s="24">
        <f t="shared" si="26"/>
        <v>1.01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v>12</v>
      </c>
      <c r="Q213" s="24">
        <f t="shared" si="33"/>
        <v>1.08</v>
      </c>
      <c r="R213" s="715">
        <f t="shared" ca="1" si="34"/>
        <v>41402</v>
      </c>
      <c r="S213" s="361">
        <f t="shared" ca="1" si="25"/>
        <v>285</v>
      </c>
    </row>
    <row r="214" spans="1:19">
      <c r="A214" s="159" t="s">
        <v>3571</v>
      </c>
      <c r="B214" s="59">
        <v>68.849999999999994</v>
      </c>
      <c r="C214" s="24">
        <f t="shared" si="26"/>
        <v>1.01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v>12</v>
      </c>
      <c r="Q214" s="24">
        <f t="shared" si="33"/>
        <v>1.08</v>
      </c>
      <c r="R214" s="715">
        <f t="shared" ca="1" si="34"/>
        <v>41402</v>
      </c>
      <c r="S214" s="361">
        <f t="shared" ca="1" si="25"/>
        <v>285</v>
      </c>
    </row>
    <row r="215" spans="1:19">
      <c r="A215" s="159" t="s">
        <v>3572</v>
      </c>
      <c r="B215" s="59">
        <v>94.09</v>
      </c>
      <c r="C215" s="24">
        <f t="shared" si="26"/>
        <v>1.01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v>13</v>
      </c>
      <c r="Q215" s="24">
        <f t="shared" si="33"/>
        <v>1.0900000000000001</v>
      </c>
      <c r="R215" s="715">
        <f t="shared" ca="1" si="34"/>
        <v>41786</v>
      </c>
      <c r="S215" s="361">
        <f t="shared" ca="1" si="25"/>
        <v>393</v>
      </c>
    </row>
    <row r="216" spans="1:19">
      <c r="A216" s="159" t="s">
        <v>3573</v>
      </c>
      <c r="B216" s="59">
        <v>76.27</v>
      </c>
      <c r="C216" s="24">
        <f t="shared" si="26"/>
        <v>1.01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v>13</v>
      </c>
      <c r="Q216" s="24">
        <f t="shared" si="33"/>
        <v>1.0900000000000001</v>
      </c>
      <c r="R216" s="715">
        <f t="shared" ca="1" si="34"/>
        <v>41786</v>
      </c>
      <c r="S216" s="361">
        <f t="shared" ref="S216:S279" ca="1" si="35">ROUND(R216*B216/10000,0)</f>
        <v>319</v>
      </c>
    </row>
    <row r="217" spans="1:19">
      <c r="A217" s="159" t="s">
        <v>3574</v>
      </c>
      <c r="B217" s="59">
        <v>75.760000000000005</v>
      </c>
      <c r="C217" s="24">
        <f t="shared" si="26"/>
        <v>1.01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v>13</v>
      </c>
      <c r="Q217" s="24">
        <f t="shared" si="33"/>
        <v>1.0900000000000001</v>
      </c>
      <c r="R217" s="715">
        <f t="shared" ca="1" si="34"/>
        <v>41786</v>
      </c>
      <c r="S217" s="361">
        <f t="shared" ca="1" si="35"/>
        <v>317</v>
      </c>
    </row>
    <row r="218" spans="1:19">
      <c r="A218" s="159" t="s">
        <v>3575</v>
      </c>
      <c r="B218" s="59">
        <v>89.95</v>
      </c>
      <c r="C218" s="24">
        <f t="shared" ref="C218:C281" si="36">IF(B218="",1,(LOOKUP(B218,$3:$3,$4:$4)-LOOKUP($B$24,$3:$3,$4:$4)+100)/100)</f>
        <v>1.01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v>13</v>
      </c>
      <c r="Q218" s="24">
        <f t="shared" ref="Q218:Q281" si="43">(SUMIF($17:$17,P218,$18:$18)-SUMIF($17:$17,$P$24,$18:$18)+100)/100</f>
        <v>1.0900000000000001</v>
      </c>
      <c r="R218" s="715">
        <f t="shared" ref="R218:R281" ca="1" si="44">IF(B218="",0,ROUND($R$24*C218*E218*G218*I218*K218*M218*O218*Q218,0))</f>
        <v>41786</v>
      </c>
      <c r="S218" s="361">
        <f t="shared" ca="1" si="35"/>
        <v>376</v>
      </c>
    </row>
    <row r="219" spans="1:19">
      <c r="A219" s="159" t="s">
        <v>3576</v>
      </c>
      <c r="B219" s="59">
        <v>99.07</v>
      </c>
      <c r="C219" s="24">
        <f t="shared" si="36"/>
        <v>1.01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v>13</v>
      </c>
      <c r="Q219" s="24">
        <f t="shared" si="43"/>
        <v>1.0900000000000001</v>
      </c>
      <c r="R219" s="715">
        <f t="shared" ca="1" si="44"/>
        <v>41786</v>
      </c>
      <c r="S219" s="361">
        <f t="shared" ca="1" si="35"/>
        <v>414</v>
      </c>
    </row>
    <row r="220" spans="1:19">
      <c r="A220" s="159" t="s">
        <v>3577</v>
      </c>
      <c r="B220" s="59">
        <v>72.89</v>
      </c>
      <c r="C220" s="24">
        <f t="shared" si="36"/>
        <v>1.01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v>13</v>
      </c>
      <c r="Q220" s="24">
        <f t="shared" si="43"/>
        <v>1.0900000000000001</v>
      </c>
      <c r="R220" s="715">
        <f t="shared" ca="1" si="44"/>
        <v>41786</v>
      </c>
      <c r="S220" s="361">
        <f t="shared" ca="1" si="35"/>
        <v>305</v>
      </c>
    </row>
    <row r="221" spans="1:19">
      <c r="A221" s="159" t="s">
        <v>3578</v>
      </c>
      <c r="B221" s="59">
        <v>81.849999999999994</v>
      </c>
      <c r="C221" s="24">
        <f t="shared" si="36"/>
        <v>1.01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v>13</v>
      </c>
      <c r="Q221" s="24">
        <f t="shared" si="43"/>
        <v>1.0900000000000001</v>
      </c>
      <c r="R221" s="715">
        <f t="shared" ca="1" si="44"/>
        <v>41786</v>
      </c>
      <c r="S221" s="361">
        <f t="shared" ca="1" si="35"/>
        <v>342</v>
      </c>
    </row>
    <row r="222" spans="1:19">
      <c r="A222" s="159" t="s">
        <v>3579</v>
      </c>
      <c r="B222" s="59">
        <v>68.75</v>
      </c>
      <c r="C222" s="24">
        <f t="shared" si="36"/>
        <v>1.01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v>13</v>
      </c>
      <c r="Q222" s="24">
        <f t="shared" si="43"/>
        <v>1.0900000000000001</v>
      </c>
      <c r="R222" s="715">
        <f t="shared" ca="1" si="44"/>
        <v>41786</v>
      </c>
      <c r="S222" s="361">
        <f t="shared" ca="1" si="35"/>
        <v>287</v>
      </c>
    </row>
    <row r="223" spans="1:19">
      <c r="A223" s="159" t="s">
        <v>3580</v>
      </c>
      <c r="B223" s="59">
        <v>69.97</v>
      </c>
      <c r="C223" s="24">
        <f t="shared" si="36"/>
        <v>1.01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v>13</v>
      </c>
      <c r="Q223" s="24">
        <f t="shared" si="43"/>
        <v>1.0900000000000001</v>
      </c>
      <c r="R223" s="715">
        <f t="shared" ca="1" si="44"/>
        <v>41786</v>
      </c>
      <c r="S223" s="361">
        <f t="shared" ca="1" si="35"/>
        <v>292</v>
      </c>
    </row>
    <row r="224" spans="1:19">
      <c r="A224" s="159" t="s">
        <v>3581</v>
      </c>
      <c r="B224" s="59">
        <v>107.5</v>
      </c>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v>13</v>
      </c>
      <c r="Q224" s="24">
        <f t="shared" si="43"/>
        <v>1.0900000000000001</v>
      </c>
      <c r="R224" s="715">
        <f t="shared" ca="1" si="44"/>
        <v>41372</v>
      </c>
      <c r="S224" s="361">
        <f t="shared" ca="1" si="35"/>
        <v>445</v>
      </c>
    </row>
    <row r="225" spans="1:19">
      <c r="A225" s="159" t="s">
        <v>3582</v>
      </c>
      <c r="B225" s="59">
        <v>73.87</v>
      </c>
      <c r="C225" s="24">
        <f t="shared" si="36"/>
        <v>1.01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v>13</v>
      </c>
      <c r="Q225" s="24">
        <f t="shared" si="43"/>
        <v>1.0900000000000001</v>
      </c>
      <c r="R225" s="715">
        <f t="shared" ca="1" si="44"/>
        <v>41786</v>
      </c>
      <c r="S225" s="361">
        <f t="shared" ca="1" si="35"/>
        <v>309</v>
      </c>
    </row>
    <row r="226" spans="1:19">
      <c r="A226" s="159" t="s">
        <v>3583</v>
      </c>
      <c r="B226" s="59">
        <v>115.57</v>
      </c>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v>13</v>
      </c>
      <c r="Q226" s="24">
        <f t="shared" si="43"/>
        <v>1.0900000000000001</v>
      </c>
      <c r="R226" s="715">
        <f t="shared" ca="1" si="44"/>
        <v>41372</v>
      </c>
      <c r="S226" s="361">
        <f t="shared" ca="1" si="35"/>
        <v>478</v>
      </c>
    </row>
    <row r="227" spans="1:19">
      <c r="A227" s="159" t="s">
        <v>3584</v>
      </c>
      <c r="B227" s="59">
        <v>83.27</v>
      </c>
      <c r="C227" s="24">
        <f t="shared" si="36"/>
        <v>1.01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v>13</v>
      </c>
      <c r="Q227" s="24">
        <f t="shared" si="43"/>
        <v>1.0900000000000001</v>
      </c>
      <c r="R227" s="715">
        <f t="shared" ca="1" si="44"/>
        <v>41786</v>
      </c>
      <c r="S227" s="361">
        <f t="shared" ca="1" si="35"/>
        <v>348</v>
      </c>
    </row>
    <row r="228" spans="1:19">
      <c r="A228" s="159" t="s">
        <v>3585</v>
      </c>
      <c r="B228" s="59">
        <v>83.27</v>
      </c>
      <c r="C228" s="24">
        <f t="shared" si="36"/>
        <v>1.01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v>13</v>
      </c>
      <c r="Q228" s="24">
        <f t="shared" si="43"/>
        <v>1.0900000000000001</v>
      </c>
      <c r="R228" s="715">
        <f t="shared" ca="1" si="44"/>
        <v>41786</v>
      </c>
      <c r="S228" s="361">
        <f t="shared" ca="1" si="35"/>
        <v>348</v>
      </c>
    </row>
    <row r="229" spans="1:19">
      <c r="A229" s="159" t="s">
        <v>3586</v>
      </c>
      <c r="B229" s="59">
        <v>115.96</v>
      </c>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v>13</v>
      </c>
      <c r="Q229" s="24">
        <f t="shared" si="43"/>
        <v>1.0900000000000001</v>
      </c>
      <c r="R229" s="715">
        <f t="shared" ca="1" si="44"/>
        <v>41372</v>
      </c>
      <c r="S229" s="361">
        <f t="shared" ca="1" si="35"/>
        <v>480</v>
      </c>
    </row>
    <row r="230" spans="1:19">
      <c r="A230" s="159" t="s">
        <v>3587</v>
      </c>
      <c r="B230" s="59">
        <v>87.71</v>
      </c>
      <c r="C230" s="24">
        <f t="shared" si="36"/>
        <v>1.01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v>13</v>
      </c>
      <c r="Q230" s="24">
        <f t="shared" si="43"/>
        <v>1.0900000000000001</v>
      </c>
      <c r="R230" s="715">
        <f t="shared" ca="1" si="44"/>
        <v>41786</v>
      </c>
      <c r="S230" s="361">
        <f t="shared" ca="1" si="35"/>
        <v>367</v>
      </c>
    </row>
    <row r="231" spans="1:19">
      <c r="A231" s="159" t="s">
        <v>3588</v>
      </c>
      <c r="B231" s="59">
        <v>126.15</v>
      </c>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v>13</v>
      </c>
      <c r="Q231" s="24">
        <f t="shared" si="43"/>
        <v>1.0900000000000001</v>
      </c>
      <c r="R231" s="715">
        <f t="shared" ca="1" si="44"/>
        <v>41372</v>
      </c>
      <c r="S231" s="361">
        <f t="shared" ca="1" si="35"/>
        <v>522</v>
      </c>
    </row>
    <row r="232" spans="1:19">
      <c r="A232" s="159" t="s">
        <v>3589</v>
      </c>
      <c r="B232" s="59">
        <v>91.67</v>
      </c>
      <c r="C232" s="24">
        <f t="shared" si="36"/>
        <v>1.01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v>13</v>
      </c>
      <c r="Q232" s="24">
        <f t="shared" si="43"/>
        <v>1.0900000000000001</v>
      </c>
      <c r="R232" s="715">
        <f t="shared" ca="1" si="44"/>
        <v>41786</v>
      </c>
      <c r="S232" s="361">
        <f t="shared" ca="1" si="35"/>
        <v>383</v>
      </c>
    </row>
    <row r="233" spans="1:19">
      <c r="A233" s="159" t="s">
        <v>3590</v>
      </c>
      <c r="B233" s="59">
        <v>76.2</v>
      </c>
      <c r="C233" s="24">
        <f t="shared" si="36"/>
        <v>1.01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v>13</v>
      </c>
      <c r="Q233" s="24">
        <f t="shared" si="43"/>
        <v>1.0900000000000001</v>
      </c>
      <c r="R233" s="715">
        <f t="shared" ca="1" si="44"/>
        <v>41786</v>
      </c>
      <c r="S233" s="361">
        <f t="shared" ca="1" si="35"/>
        <v>318</v>
      </c>
    </row>
    <row r="234" spans="1:19">
      <c r="A234" s="159" t="s">
        <v>3591</v>
      </c>
      <c r="B234" s="59">
        <v>95.36</v>
      </c>
      <c r="C234" s="24">
        <f t="shared" si="36"/>
        <v>1.01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v>13</v>
      </c>
      <c r="Q234" s="24">
        <f t="shared" si="43"/>
        <v>1.0900000000000001</v>
      </c>
      <c r="R234" s="715">
        <f t="shared" ca="1" si="44"/>
        <v>41786</v>
      </c>
      <c r="S234" s="361">
        <f t="shared" ca="1" si="35"/>
        <v>398</v>
      </c>
    </row>
    <row r="235" spans="1:19">
      <c r="A235" s="159" t="s">
        <v>3592</v>
      </c>
      <c r="B235" s="59">
        <v>68.849999999999994</v>
      </c>
      <c r="C235" s="24">
        <f t="shared" si="36"/>
        <v>1.01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v>13</v>
      </c>
      <c r="Q235" s="24">
        <f t="shared" si="43"/>
        <v>1.0900000000000001</v>
      </c>
      <c r="R235" s="715">
        <f t="shared" ca="1" si="44"/>
        <v>41786</v>
      </c>
      <c r="S235" s="361">
        <f t="shared" ca="1" si="35"/>
        <v>288</v>
      </c>
    </row>
    <row r="236" spans="1:19">
      <c r="A236" s="159" t="s">
        <v>3593</v>
      </c>
      <c r="B236" s="59">
        <v>68.849999999999994</v>
      </c>
      <c r="C236" s="24">
        <f t="shared" si="36"/>
        <v>1.01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v>13</v>
      </c>
      <c r="Q236" s="24">
        <f t="shared" si="43"/>
        <v>1.0900000000000001</v>
      </c>
      <c r="R236" s="715">
        <f t="shared" ca="1" si="44"/>
        <v>41786</v>
      </c>
      <c r="S236" s="361">
        <f t="shared" ca="1" si="35"/>
        <v>288</v>
      </c>
    </row>
    <row r="237" spans="1:19">
      <c r="A237" s="159" t="s">
        <v>3594</v>
      </c>
      <c r="B237" s="59">
        <v>94.09</v>
      </c>
      <c r="C237" s="24">
        <f t="shared" si="36"/>
        <v>1.01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v>14</v>
      </c>
      <c r="Q237" s="24">
        <f t="shared" si="43"/>
        <v>1.1000000000000001</v>
      </c>
      <c r="R237" s="715">
        <f t="shared" ca="1" si="44"/>
        <v>42169</v>
      </c>
      <c r="S237" s="361">
        <f t="shared" ca="1" si="35"/>
        <v>397</v>
      </c>
    </row>
    <row r="238" spans="1:19">
      <c r="A238" s="159" t="s">
        <v>3595</v>
      </c>
      <c r="B238" s="59">
        <v>76.27</v>
      </c>
      <c r="C238" s="24">
        <f t="shared" si="36"/>
        <v>1.01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v>14</v>
      </c>
      <c r="Q238" s="24">
        <f t="shared" si="43"/>
        <v>1.1000000000000001</v>
      </c>
      <c r="R238" s="715">
        <f t="shared" ca="1" si="44"/>
        <v>42169</v>
      </c>
      <c r="S238" s="361">
        <f t="shared" ca="1" si="35"/>
        <v>322</v>
      </c>
    </row>
    <row r="239" spans="1:19">
      <c r="A239" s="159" t="s">
        <v>3596</v>
      </c>
      <c r="B239" s="59">
        <v>75.760000000000005</v>
      </c>
      <c r="C239" s="24">
        <f t="shared" si="36"/>
        <v>1.01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v>14</v>
      </c>
      <c r="Q239" s="24">
        <f t="shared" si="43"/>
        <v>1.1000000000000001</v>
      </c>
      <c r="R239" s="715">
        <f t="shared" ca="1" si="44"/>
        <v>42169</v>
      </c>
      <c r="S239" s="361">
        <f t="shared" ca="1" si="35"/>
        <v>319</v>
      </c>
    </row>
    <row r="240" spans="1:19">
      <c r="A240" s="159" t="s">
        <v>3597</v>
      </c>
      <c r="B240" s="59">
        <v>89.95</v>
      </c>
      <c r="C240" s="24">
        <f t="shared" si="36"/>
        <v>1.01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v>14</v>
      </c>
      <c r="Q240" s="24">
        <f t="shared" si="43"/>
        <v>1.1000000000000001</v>
      </c>
      <c r="R240" s="715">
        <f t="shared" ca="1" si="44"/>
        <v>42169</v>
      </c>
      <c r="S240" s="361">
        <f t="shared" ca="1" si="35"/>
        <v>379</v>
      </c>
    </row>
    <row r="241" spans="1:19">
      <c r="A241" s="159" t="s">
        <v>3598</v>
      </c>
      <c r="B241" s="59">
        <v>99.07</v>
      </c>
      <c r="C241" s="24">
        <f t="shared" si="36"/>
        <v>1.01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v>14</v>
      </c>
      <c r="Q241" s="24">
        <f t="shared" si="43"/>
        <v>1.1000000000000001</v>
      </c>
      <c r="R241" s="715">
        <f t="shared" ca="1" si="44"/>
        <v>42169</v>
      </c>
      <c r="S241" s="361">
        <f t="shared" ca="1" si="35"/>
        <v>418</v>
      </c>
    </row>
    <row r="242" spans="1:19">
      <c r="A242" s="159" t="s">
        <v>3599</v>
      </c>
      <c r="B242" s="59">
        <v>72.89</v>
      </c>
      <c r="C242" s="24">
        <f t="shared" si="36"/>
        <v>1.01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v>14</v>
      </c>
      <c r="Q242" s="24">
        <f t="shared" si="43"/>
        <v>1.1000000000000001</v>
      </c>
      <c r="R242" s="715">
        <f t="shared" ca="1" si="44"/>
        <v>42169</v>
      </c>
      <c r="S242" s="361">
        <f t="shared" ca="1" si="35"/>
        <v>307</v>
      </c>
    </row>
    <row r="243" spans="1:19">
      <c r="A243" s="159" t="s">
        <v>3600</v>
      </c>
      <c r="B243" s="59">
        <v>81.849999999999994</v>
      </c>
      <c r="C243" s="24">
        <f t="shared" si="36"/>
        <v>1.01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v>14</v>
      </c>
      <c r="Q243" s="24">
        <f t="shared" si="43"/>
        <v>1.1000000000000001</v>
      </c>
      <c r="R243" s="715">
        <f t="shared" ca="1" si="44"/>
        <v>42169</v>
      </c>
      <c r="S243" s="361">
        <f t="shared" ca="1" si="35"/>
        <v>345</v>
      </c>
    </row>
    <row r="244" spans="1:19">
      <c r="A244" s="159" t="s">
        <v>3601</v>
      </c>
      <c r="B244" s="59">
        <v>68.75</v>
      </c>
      <c r="C244" s="24">
        <f t="shared" si="36"/>
        <v>1.01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v>14</v>
      </c>
      <c r="Q244" s="24">
        <f t="shared" si="43"/>
        <v>1.1000000000000001</v>
      </c>
      <c r="R244" s="715">
        <f t="shared" ca="1" si="44"/>
        <v>42169</v>
      </c>
      <c r="S244" s="361">
        <f t="shared" ca="1" si="35"/>
        <v>290</v>
      </c>
    </row>
    <row r="245" spans="1:19">
      <c r="A245" s="159" t="s">
        <v>3602</v>
      </c>
      <c r="B245" s="59">
        <v>69.97</v>
      </c>
      <c r="C245" s="24">
        <f t="shared" si="36"/>
        <v>1.01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v>14</v>
      </c>
      <c r="Q245" s="24">
        <f t="shared" si="43"/>
        <v>1.1000000000000001</v>
      </c>
      <c r="R245" s="715">
        <f t="shared" ca="1" si="44"/>
        <v>42169</v>
      </c>
      <c r="S245" s="361">
        <f t="shared" ca="1" si="35"/>
        <v>295</v>
      </c>
    </row>
    <row r="246" spans="1:19">
      <c r="A246" s="159" t="s">
        <v>3603</v>
      </c>
      <c r="B246" s="59">
        <v>107.5</v>
      </c>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v>14</v>
      </c>
      <c r="Q246" s="24">
        <f t="shared" si="43"/>
        <v>1.1000000000000001</v>
      </c>
      <c r="R246" s="715">
        <f t="shared" ca="1" si="44"/>
        <v>41752</v>
      </c>
      <c r="S246" s="361">
        <f t="shared" ca="1" si="35"/>
        <v>449</v>
      </c>
    </row>
    <row r="247" spans="1:19">
      <c r="A247" s="159" t="s">
        <v>3604</v>
      </c>
      <c r="B247" s="59">
        <v>73.87</v>
      </c>
      <c r="C247" s="24">
        <f t="shared" si="36"/>
        <v>1.01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v>14</v>
      </c>
      <c r="Q247" s="24">
        <f t="shared" si="43"/>
        <v>1.1000000000000001</v>
      </c>
      <c r="R247" s="715">
        <f t="shared" ca="1" si="44"/>
        <v>42169</v>
      </c>
      <c r="S247" s="361">
        <f t="shared" ca="1" si="35"/>
        <v>312</v>
      </c>
    </row>
    <row r="248" spans="1:19">
      <c r="A248" s="159" t="s">
        <v>3605</v>
      </c>
      <c r="B248" s="59">
        <v>115.57</v>
      </c>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v>14</v>
      </c>
      <c r="Q248" s="24">
        <f t="shared" si="43"/>
        <v>1.1000000000000001</v>
      </c>
      <c r="R248" s="715">
        <f t="shared" ca="1" si="44"/>
        <v>41752</v>
      </c>
      <c r="S248" s="361">
        <f t="shared" ca="1" si="35"/>
        <v>483</v>
      </c>
    </row>
    <row r="249" spans="1:19">
      <c r="A249" s="159" t="s">
        <v>3606</v>
      </c>
      <c r="B249" s="59">
        <v>83.27</v>
      </c>
      <c r="C249" s="24">
        <f t="shared" si="36"/>
        <v>1.01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v>14</v>
      </c>
      <c r="Q249" s="24">
        <f t="shared" si="43"/>
        <v>1.1000000000000001</v>
      </c>
      <c r="R249" s="715">
        <f t="shared" ca="1" si="44"/>
        <v>42169</v>
      </c>
      <c r="S249" s="361">
        <f t="shared" ca="1" si="35"/>
        <v>351</v>
      </c>
    </row>
    <row r="250" spans="1:19">
      <c r="A250" s="159" t="s">
        <v>3607</v>
      </c>
      <c r="B250" s="59">
        <v>83.27</v>
      </c>
      <c r="C250" s="24">
        <f t="shared" si="36"/>
        <v>1.01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v>14</v>
      </c>
      <c r="Q250" s="24">
        <f t="shared" si="43"/>
        <v>1.1000000000000001</v>
      </c>
      <c r="R250" s="715">
        <f t="shared" ca="1" si="44"/>
        <v>42169</v>
      </c>
      <c r="S250" s="361">
        <f t="shared" ca="1" si="35"/>
        <v>351</v>
      </c>
    </row>
    <row r="251" spans="1:19">
      <c r="A251" s="159" t="s">
        <v>3608</v>
      </c>
      <c r="B251" s="59">
        <v>115.96</v>
      </c>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v>14</v>
      </c>
      <c r="Q251" s="24">
        <f t="shared" si="43"/>
        <v>1.1000000000000001</v>
      </c>
      <c r="R251" s="715">
        <f t="shared" ca="1" si="44"/>
        <v>41752</v>
      </c>
      <c r="S251" s="361">
        <f t="shared" ca="1" si="35"/>
        <v>484</v>
      </c>
    </row>
    <row r="252" spans="1:19">
      <c r="A252" s="159" t="s">
        <v>3609</v>
      </c>
      <c r="B252" s="59">
        <v>87.71</v>
      </c>
      <c r="C252" s="24">
        <f t="shared" si="36"/>
        <v>1.01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v>14</v>
      </c>
      <c r="Q252" s="24">
        <f t="shared" si="43"/>
        <v>1.1000000000000001</v>
      </c>
      <c r="R252" s="715">
        <f t="shared" ca="1" si="44"/>
        <v>42169</v>
      </c>
      <c r="S252" s="361">
        <f t="shared" ca="1" si="35"/>
        <v>370</v>
      </c>
    </row>
    <row r="253" spans="1:19">
      <c r="A253" s="159" t="s">
        <v>3610</v>
      </c>
      <c r="B253" s="59">
        <v>126.15</v>
      </c>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v>14</v>
      </c>
      <c r="Q253" s="24">
        <f t="shared" si="43"/>
        <v>1.1000000000000001</v>
      </c>
      <c r="R253" s="715">
        <f t="shared" ca="1" si="44"/>
        <v>41752</v>
      </c>
      <c r="S253" s="361">
        <f t="shared" ca="1" si="35"/>
        <v>527</v>
      </c>
    </row>
    <row r="254" spans="1:19">
      <c r="A254" s="159" t="s">
        <v>3611</v>
      </c>
      <c r="B254" s="59">
        <v>91.67</v>
      </c>
      <c r="C254" s="24">
        <f t="shared" si="36"/>
        <v>1.01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v>14</v>
      </c>
      <c r="Q254" s="24">
        <f t="shared" si="43"/>
        <v>1.1000000000000001</v>
      </c>
      <c r="R254" s="715">
        <f t="shared" ca="1" si="44"/>
        <v>42169</v>
      </c>
      <c r="S254" s="361">
        <f t="shared" ca="1" si="35"/>
        <v>387</v>
      </c>
    </row>
    <row r="255" spans="1:19">
      <c r="A255" s="159" t="s">
        <v>3612</v>
      </c>
      <c r="B255" s="59">
        <v>76.2</v>
      </c>
      <c r="C255" s="24">
        <f t="shared" si="36"/>
        <v>1.01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v>14</v>
      </c>
      <c r="Q255" s="24">
        <f t="shared" si="43"/>
        <v>1.1000000000000001</v>
      </c>
      <c r="R255" s="715">
        <f t="shared" ca="1" si="44"/>
        <v>42169</v>
      </c>
      <c r="S255" s="361">
        <f t="shared" ca="1" si="35"/>
        <v>321</v>
      </c>
    </row>
    <row r="256" spans="1:19">
      <c r="A256" s="159" t="s">
        <v>3613</v>
      </c>
      <c r="B256" s="59">
        <v>95.36</v>
      </c>
      <c r="C256" s="24">
        <f t="shared" si="36"/>
        <v>1.01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v>14</v>
      </c>
      <c r="Q256" s="24">
        <f t="shared" si="43"/>
        <v>1.1000000000000001</v>
      </c>
      <c r="R256" s="715">
        <f t="shared" ca="1" si="44"/>
        <v>42169</v>
      </c>
      <c r="S256" s="361">
        <f t="shared" ca="1" si="35"/>
        <v>402</v>
      </c>
    </row>
    <row r="257" spans="1:19">
      <c r="A257" s="159" t="s">
        <v>3614</v>
      </c>
      <c r="B257" s="59">
        <v>68.849999999999994</v>
      </c>
      <c r="C257" s="24">
        <f t="shared" si="36"/>
        <v>1.01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v>14</v>
      </c>
      <c r="Q257" s="24">
        <f t="shared" si="43"/>
        <v>1.1000000000000001</v>
      </c>
      <c r="R257" s="715">
        <f t="shared" ca="1" si="44"/>
        <v>42169</v>
      </c>
      <c r="S257" s="361">
        <f t="shared" ca="1" si="35"/>
        <v>290</v>
      </c>
    </row>
    <row r="258" spans="1:19">
      <c r="A258" s="159" t="s">
        <v>3615</v>
      </c>
      <c r="B258" s="59">
        <v>68.849999999999994</v>
      </c>
      <c r="C258" s="24">
        <f t="shared" si="36"/>
        <v>1.01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v>14</v>
      </c>
      <c r="Q258" s="24">
        <f t="shared" si="43"/>
        <v>1.1000000000000001</v>
      </c>
      <c r="R258" s="715">
        <f t="shared" ca="1" si="44"/>
        <v>42169</v>
      </c>
      <c r="S258" s="361">
        <f t="shared" ca="1" si="35"/>
        <v>290</v>
      </c>
    </row>
    <row r="259" spans="1:19">
      <c r="A259" s="159" t="s">
        <v>3616</v>
      </c>
      <c r="B259" s="59">
        <v>94.09</v>
      </c>
      <c r="C259" s="24">
        <f t="shared" si="36"/>
        <v>1.01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v>15</v>
      </c>
      <c r="Q259" s="24">
        <f t="shared" si="43"/>
        <v>1.1100000000000001</v>
      </c>
      <c r="R259" s="715">
        <f t="shared" ca="1" si="44"/>
        <v>42552</v>
      </c>
      <c r="S259" s="361">
        <f t="shared" ca="1" si="35"/>
        <v>400</v>
      </c>
    </row>
    <row r="260" spans="1:19">
      <c r="A260" s="159" t="s">
        <v>3617</v>
      </c>
      <c r="B260" s="59">
        <v>76.27</v>
      </c>
      <c r="C260" s="24">
        <f t="shared" si="36"/>
        <v>1.01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v>15</v>
      </c>
      <c r="Q260" s="24">
        <f t="shared" si="43"/>
        <v>1.1100000000000001</v>
      </c>
      <c r="R260" s="715">
        <f t="shared" ca="1" si="44"/>
        <v>42552</v>
      </c>
      <c r="S260" s="361">
        <f t="shared" ca="1" si="35"/>
        <v>325</v>
      </c>
    </row>
    <row r="261" spans="1:19">
      <c r="A261" s="159" t="s">
        <v>3618</v>
      </c>
      <c r="B261" s="59">
        <v>75.760000000000005</v>
      </c>
      <c r="C261" s="24">
        <f t="shared" si="36"/>
        <v>1.01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v>15</v>
      </c>
      <c r="Q261" s="24">
        <f t="shared" si="43"/>
        <v>1.1100000000000001</v>
      </c>
      <c r="R261" s="715">
        <f t="shared" ca="1" si="44"/>
        <v>42552</v>
      </c>
      <c r="S261" s="361">
        <f t="shared" ca="1" si="35"/>
        <v>322</v>
      </c>
    </row>
    <row r="262" spans="1:19">
      <c r="A262" s="159" t="s">
        <v>3619</v>
      </c>
      <c r="B262" s="59">
        <v>89.95</v>
      </c>
      <c r="C262" s="24">
        <f t="shared" si="36"/>
        <v>1.01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v>15</v>
      </c>
      <c r="Q262" s="24">
        <f t="shared" si="43"/>
        <v>1.1100000000000001</v>
      </c>
      <c r="R262" s="715">
        <f t="shared" ca="1" si="44"/>
        <v>42552</v>
      </c>
      <c r="S262" s="361">
        <f t="shared" ca="1" si="35"/>
        <v>383</v>
      </c>
    </row>
    <row r="263" spans="1:19">
      <c r="A263" s="159" t="s">
        <v>3620</v>
      </c>
      <c r="B263" s="59">
        <v>99.07</v>
      </c>
      <c r="C263" s="24">
        <f t="shared" si="36"/>
        <v>1.01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v>15</v>
      </c>
      <c r="Q263" s="24">
        <f t="shared" si="43"/>
        <v>1.1100000000000001</v>
      </c>
      <c r="R263" s="715">
        <f t="shared" ca="1" si="44"/>
        <v>42552</v>
      </c>
      <c r="S263" s="361">
        <f t="shared" ca="1" si="35"/>
        <v>422</v>
      </c>
    </row>
    <row r="264" spans="1:19">
      <c r="A264" s="159" t="s">
        <v>3621</v>
      </c>
      <c r="B264" s="59">
        <v>72.89</v>
      </c>
      <c r="C264" s="24">
        <f t="shared" si="36"/>
        <v>1.01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v>15</v>
      </c>
      <c r="Q264" s="24">
        <f t="shared" si="43"/>
        <v>1.1100000000000001</v>
      </c>
      <c r="R264" s="715">
        <f t="shared" ca="1" si="44"/>
        <v>42552</v>
      </c>
      <c r="S264" s="361">
        <f t="shared" ca="1" si="35"/>
        <v>310</v>
      </c>
    </row>
    <row r="265" spans="1:19">
      <c r="A265" s="159" t="s">
        <v>3622</v>
      </c>
      <c r="B265" s="59">
        <v>81.849999999999994</v>
      </c>
      <c r="C265" s="24">
        <f t="shared" si="36"/>
        <v>1.01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v>15</v>
      </c>
      <c r="Q265" s="24">
        <f t="shared" si="43"/>
        <v>1.1100000000000001</v>
      </c>
      <c r="R265" s="715">
        <f t="shared" ca="1" si="44"/>
        <v>42552</v>
      </c>
      <c r="S265" s="361">
        <f t="shared" ca="1" si="35"/>
        <v>348</v>
      </c>
    </row>
    <row r="266" spans="1:19">
      <c r="A266" s="159" t="s">
        <v>3623</v>
      </c>
      <c r="B266" s="59">
        <v>68.75</v>
      </c>
      <c r="C266" s="24">
        <f t="shared" si="36"/>
        <v>1.01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v>15</v>
      </c>
      <c r="Q266" s="24">
        <f t="shared" si="43"/>
        <v>1.1100000000000001</v>
      </c>
      <c r="R266" s="715">
        <f t="shared" ca="1" si="44"/>
        <v>42552</v>
      </c>
      <c r="S266" s="361">
        <f t="shared" ca="1" si="35"/>
        <v>293</v>
      </c>
    </row>
    <row r="267" spans="1:19">
      <c r="A267" s="159" t="s">
        <v>3624</v>
      </c>
      <c r="B267" s="59">
        <v>69.97</v>
      </c>
      <c r="C267" s="24">
        <f t="shared" si="36"/>
        <v>1.01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v>15</v>
      </c>
      <c r="Q267" s="24">
        <f t="shared" si="43"/>
        <v>1.1100000000000001</v>
      </c>
      <c r="R267" s="715">
        <f t="shared" ca="1" si="44"/>
        <v>42552</v>
      </c>
      <c r="S267" s="361">
        <f t="shared" ca="1" si="35"/>
        <v>298</v>
      </c>
    </row>
    <row r="268" spans="1:19">
      <c r="A268" s="159" t="s">
        <v>3625</v>
      </c>
      <c r="B268" s="59">
        <v>107.5</v>
      </c>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v>15</v>
      </c>
      <c r="Q268" s="24">
        <f t="shared" si="43"/>
        <v>1.1100000000000001</v>
      </c>
      <c r="R268" s="715">
        <f t="shared" ca="1" si="44"/>
        <v>42131</v>
      </c>
      <c r="S268" s="361">
        <f t="shared" ca="1" si="35"/>
        <v>453</v>
      </c>
    </row>
    <row r="269" spans="1:19">
      <c r="A269" s="159" t="s">
        <v>3626</v>
      </c>
      <c r="B269" s="59">
        <v>73.87</v>
      </c>
      <c r="C269" s="24">
        <f t="shared" si="36"/>
        <v>1.01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v>15</v>
      </c>
      <c r="Q269" s="24">
        <f t="shared" si="43"/>
        <v>1.1100000000000001</v>
      </c>
      <c r="R269" s="715">
        <f t="shared" ca="1" si="44"/>
        <v>42552</v>
      </c>
      <c r="S269" s="361">
        <f t="shared" ca="1" si="35"/>
        <v>314</v>
      </c>
    </row>
    <row r="270" spans="1:19">
      <c r="A270" s="159" t="s">
        <v>3627</v>
      </c>
      <c r="B270" s="59">
        <v>115.57</v>
      </c>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v>15</v>
      </c>
      <c r="Q270" s="24">
        <f t="shared" si="43"/>
        <v>1.1100000000000001</v>
      </c>
      <c r="R270" s="715">
        <f t="shared" ca="1" si="44"/>
        <v>42131</v>
      </c>
      <c r="S270" s="361">
        <f t="shared" ca="1" si="35"/>
        <v>487</v>
      </c>
    </row>
    <row r="271" spans="1:19">
      <c r="A271" s="159" t="s">
        <v>3628</v>
      </c>
      <c r="B271" s="59">
        <v>83.27</v>
      </c>
      <c r="C271" s="24">
        <f t="shared" si="36"/>
        <v>1.01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v>15</v>
      </c>
      <c r="Q271" s="24">
        <f t="shared" si="43"/>
        <v>1.1100000000000001</v>
      </c>
      <c r="R271" s="715">
        <f t="shared" ca="1" si="44"/>
        <v>42552</v>
      </c>
      <c r="S271" s="361">
        <f t="shared" ca="1" si="35"/>
        <v>354</v>
      </c>
    </row>
    <row r="272" spans="1:19">
      <c r="A272" s="159" t="s">
        <v>3629</v>
      </c>
      <c r="B272" s="59">
        <v>83.27</v>
      </c>
      <c r="C272" s="24">
        <f t="shared" si="36"/>
        <v>1.01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v>15</v>
      </c>
      <c r="Q272" s="24">
        <f t="shared" si="43"/>
        <v>1.1100000000000001</v>
      </c>
      <c r="R272" s="715">
        <f t="shared" ca="1" si="44"/>
        <v>42552</v>
      </c>
      <c r="S272" s="361">
        <f t="shared" ca="1" si="35"/>
        <v>354</v>
      </c>
    </row>
    <row r="273" spans="1:19">
      <c r="A273" s="159" t="s">
        <v>3630</v>
      </c>
      <c r="B273" s="59">
        <v>115.96</v>
      </c>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v>15</v>
      </c>
      <c r="Q273" s="24">
        <f t="shared" si="43"/>
        <v>1.1100000000000001</v>
      </c>
      <c r="R273" s="715">
        <f t="shared" ca="1" si="44"/>
        <v>42131</v>
      </c>
      <c r="S273" s="361">
        <f t="shared" ca="1" si="35"/>
        <v>489</v>
      </c>
    </row>
    <row r="274" spans="1:19">
      <c r="A274" s="159" t="s">
        <v>3631</v>
      </c>
      <c r="B274" s="59">
        <v>87.71</v>
      </c>
      <c r="C274" s="24">
        <f t="shared" si="36"/>
        <v>1.01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v>15</v>
      </c>
      <c r="Q274" s="24">
        <f t="shared" si="43"/>
        <v>1.1100000000000001</v>
      </c>
      <c r="R274" s="715">
        <f t="shared" ca="1" si="44"/>
        <v>42552</v>
      </c>
      <c r="S274" s="361">
        <f t="shared" ca="1" si="35"/>
        <v>373</v>
      </c>
    </row>
    <row r="275" spans="1:19">
      <c r="A275" s="159" t="s">
        <v>3632</v>
      </c>
      <c r="B275" s="59">
        <v>126.15</v>
      </c>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v>15</v>
      </c>
      <c r="Q275" s="24">
        <f t="shared" si="43"/>
        <v>1.1100000000000001</v>
      </c>
      <c r="R275" s="715">
        <f t="shared" ca="1" si="44"/>
        <v>42131</v>
      </c>
      <c r="S275" s="361">
        <f t="shared" ca="1" si="35"/>
        <v>531</v>
      </c>
    </row>
    <row r="276" spans="1:19">
      <c r="A276" s="159" t="s">
        <v>3633</v>
      </c>
      <c r="B276" s="59">
        <v>91.67</v>
      </c>
      <c r="C276" s="24">
        <f t="shared" si="36"/>
        <v>1.01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v>15</v>
      </c>
      <c r="Q276" s="24">
        <f t="shared" si="43"/>
        <v>1.1100000000000001</v>
      </c>
      <c r="R276" s="715">
        <f t="shared" ca="1" si="44"/>
        <v>42552</v>
      </c>
      <c r="S276" s="361">
        <f t="shared" ca="1" si="35"/>
        <v>390</v>
      </c>
    </row>
    <row r="277" spans="1:19">
      <c r="A277" s="159" t="s">
        <v>3634</v>
      </c>
      <c r="B277" s="59">
        <v>76.2</v>
      </c>
      <c r="C277" s="24">
        <f t="shared" si="36"/>
        <v>1.01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v>15</v>
      </c>
      <c r="Q277" s="24">
        <f t="shared" si="43"/>
        <v>1.1100000000000001</v>
      </c>
      <c r="R277" s="715">
        <f t="shared" ca="1" si="44"/>
        <v>42552</v>
      </c>
      <c r="S277" s="361">
        <f t="shared" ca="1" si="35"/>
        <v>324</v>
      </c>
    </row>
    <row r="278" spans="1:19">
      <c r="A278" s="159" t="s">
        <v>3635</v>
      </c>
      <c r="B278" s="59">
        <v>95.36</v>
      </c>
      <c r="C278" s="24">
        <f t="shared" si="36"/>
        <v>1.01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v>15</v>
      </c>
      <c r="Q278" s="24">
        <f t="shared" si="43"/>
        <v>1.1100000000000001</v>
      </c>
      <c r="R278" s="715">
        <f t="shared" ca="1" si="44"/>
        <v>42552</v>
      </c>
      <c r="S278" s="361">
        <f t="shared" ca="1" si="35"/>
        <v>406</v>
      </c>
    </row>
    <row r="279" spans="1:19">
      <c r="A279" s="159" t="s">
        <v>3636</v>
      </c>
      <c r="B279" s="59">
        <v>68.849999999999994</v>
      </c>
      <c r="C279" s="24">
        <f t="shared" si="36"/>
        <v>1.01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v>15</v>
      </c>
      <c r="Q279" s="24">
        <f t="shared" si="43"/>
        <v>1.1100000000000001</v>
      </c>
      <c r="R279" s="715">
        <f t="shared" ca="1" si="44"/>
        <v>42552</v>
      </c>
      <c r="S279" s="361">
        <f t="shared" ca="1" si="35"/>
        <v>293</v>
      </c>
    </row>
    <row r="280" spans="1:19">
      <c r="A280" s="159" t="s">
        <v>3637</v>
      </c>
      <c r="B280" s="59">
        <v>68.849999999999994</v>
      </c>
      <c r="C280" s="24">
        <f t="shared" si="36"/>
        <v>1.01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v>15</v>
      </c>
      <c r="Q280" s="24">
        <f t="shared" si="43"/>
        <v>1.1100000000000001</v>
      </c>
      <c r="R280" s="715">
        <f t="shared" ca="1" si="44"/>
        <v>42552</v>
      </c>
      <c r="S280" s="361">
        <f t="shared" ref="S280:S343" ca="1" si="45">ROUND(R280*B280/10000,0)</f>
        <v>293</v>
      </c>
    </row>
    <row r="281" spans="1:19">
      <c r="A281" s="159" t="s">
        <v>3638</v>
      </c>
      <c r="B281" s="59">
        <v>94.09</v>
      </c>
      <c r="C281" s="24">
        <f t="shared" si="36"/>
        <v>1.01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v>16</v>
      </c>
      <c r="Q281" s="24">
        <f t="shared" si="43"/>
        <v>1.1200000000000001</v>
      </c>
      <c r="R281" s="715">
        <f t="shared" ca="1" si="44"/>
        <v>42936</v>
      </c>
      <c r="S281" s="361">
        <f t="shared" ca="1" si="45"/>
        <v>404</v>
      </c>
    </row>
    <row r="282" spans="1:19">
      <c r="A282" s="159" t="s">
        <v>3639</v>
      </c>
      <c r="B282" s="59">
        <v>76.27</v>
      </c>
      <c r="C282" s="24">
        <f t="shared" ref="C282:C345" si="46">IF(B282="",1,(LOOKUP(B282,$3:$3,$4:$4)-LOOKUP($B$24,$3:$3,$4:$4)+100)/100)</f>
        <v>1.01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v>16</v>
      </c>
      <c r="Q282" s="24">
        <f t="shared" ref="Q282:Q345" si="53">(SUMIF($17:$17,P282,$18:$18)-SUMIF($17:$17,$P$24,$18:$18)+100)/100</f>
        <v>1.1200000000000001</v>
      </c>
      <c r="R282" s="715">
        <f t="shared" ref="R282:R345" ca="1" si="54">IF(B282="",0,ROUND($R$24*C282*E282*G282*I282*K282*M282*O282*Q282,0))</f>
        <v>42936</v>
      </c>
      <c r="S282" s="361">
        <f t="shared" ca="1" si="45"/>
        <v>327</v>
      </c>
    </row>
    <row r="283" spans="1:19">
      <c r="A283" s="159" t="s">
        <v>3640</v>
      </c>
      <c r="B283" s="59">
        <v>75.760000000000005</v>
      </c>
      <c r="C283" s="24">
        <f t="shared" si="46"/>
        <v>1.01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v>16</v>
      </c>
      <c r="Q283" s="24">
        <f t="shared" si="53"/>
        <v>1.1200000000000001</v>
      </c>
      <c r="R283" s="715">
        <f t="shared" ca="1" si="54"/>
        <v>42936</v>
      </c>
      <c r="S283" s="361">
        <f t="shared" ca="1" si="45"/>
        <v>325</v>
      </c>
    </row>
    <row r="284" spans="1:19">
      <c r="A284" s="159" t="s">
        <v>3641</v>
      </c>
      <c r="B284" s="59">
        <v>89.95</v>
      </c>
      <c r="C284" s="24">
        <f t="shared" si="46"/>
        <v>1.01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v>16</v>
      </c>
      <c r="Q284" s="24">
        <f t="shared" si="53"/>
        <v>1.1200000000000001</v>
      </c>
      <c r="R284" s="715">
        <f t="shared" ca="1" si="54"/>
        <v>42936</v>
      </c>
      <c r="S284" s="361">
        <f t="shared" ca="1" si="45"/>
        <v>386</v>
      </c>
    </row>
    <row r="285" spans="1:19">
      <c r="A285" s="159" t="s">
        <v>3642</v>
      </c>
      <c r="B285" s="59">
        <v>99.07</v>
      </c>
      <c r="C285" s="24">
        <f t="shared" si="46"/>
        <v>1.01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v>16</v>
      </c>
      <c r="Q285" s="24">
        <f t="shared" si="53"/>
        <v>1.1200000000000001</v>
      </c>
      <c r="R285" s="715">
        <f t="shared" ca="1" si="54"/>
        <v>42936</v>
      </c>
      <c r="S285" s="361">
        <f t="shared" ca="1" si="45"/>
        <v>425</v>
      </c>
    </row>
    <row r="286" spans="1:19">
      <c r="A286" s="159" t="s">
        <v>3643</v>
      </c>
      <c r="B286" s="59">
        <v>72.89</v>
      </c>
      <c r="C286" s="24">
        <f t="shared" si="46"/>
        <v>1.01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v>16</v>
      </c>
      <c r="Q286" s="24">
        <f t="shared" si="53"/>
        <v>1.1200000000000001</v>
      </c>
      <c r="R286" s="715">
        <f t="shared" ca="1" si="54"/>
        <v>42936</v>
      </c>
      <c r="S286" s="361">
        <f t="shared" ca="1" si="45"/>
        <v>313</v>
      </c>
    </row>
    <row r="287" spans="1:19">
      <c r="A287" s="159" t="s">
        <v>3644</v>
      </c>
      <c r="B287" s="59">
        <v>81.849999999999994</v>
      </c>
      <c r="C287" s="24">
        <f t="shared" si="46"/>
        <v>1.01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v>16</v>
      </c>
      <c r="Q287" s="24">
        <f t="shared" si="53"/>
        <v>1.1200000000000001</v>
      </c>
      <c r="R287" s="715">
        <f t="shared" ca="1" si="54"/>
        <v>42936</v>
      </c>
      <c r="S287" s="361">
        <f t="shared" ca="1" si="45"/>
        <v>351</v>
      </c>
    </row>
    <row r="288" spans="1:19">
      <c r="A288" s="159" t="s">
        <v>3645</v>
      </c>
      <c r="B288" s="59">
        <v>68.75</v>
      </c>
      <c r="C288" s="24">
        <f t="shared" si="46"/>
        <v>1.01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v>16</v>
      </c>
      <c r="Q288" s="24">
        <f t="shared" si="53"/>
        <v>1.1200000000000001</v>
      </c>
      <c r="R288" s="715">
        <f t="shared" ca="1" si="54"/>
        <v>42936</v>
      </c>
      <c r="S288" s="361">
        <f t="shared" ca="1" si="45"/>
        <v>295</v>
      </c>
    </row>
    <row r="289" spans="1:19">
      <c r="A289" s="159" t="s">
        <v>3646</v>
      </c>
      <c r="B289" s="59">
        <v>69.97</v>
      </c>
      <c r="C289" s="24">
        <f t="shared" si="46"/>
        <v>1.01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v>16</v>
      </c>
      <c r="Q289" s="24">
        <f t="shared" si="53"/>
        <v>1.1200000000000001</v>
      </c>
      <c r="R289" s="715">
        <f t="shared" ca="1" si="54"/>
        <v>42936</v>
      </c>
      <c r="S289" s="361">
        <f t="shared" ca="1" si="45"/>
        <v>300</v>
      </c>
    </row>
    <row r="290" spans="1:19">
      <c r="A290" s="159" t="s">
        <v>3647</v>
      </c>
      <c r="B290" s="59">
        <v>107.5</v>
      </c>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v>16</v>
      </c>
      <c r="Q290" s="24">
        <f t="shared" si="53"/>
        <v>1.1200000000000001</v>
      </c>
      <c r="R290" s="715">
        <f t="shared" ca="1" si="54"/>
        <v>42511</v>
      </c>
      <c r="S290" s="361">
        <f t="shared" ca="1" si="45"/>
        <v>457</v>
      </c>
    </row>
    <row r="291" spans="1:19">
      <c r="A291" s="159" t="s">
        <v>3648</v>
      </c>
      <c r="B291" s="59">
        <v>73.87</v>
      </c>
      <c r="C291" s="24">
        <f t="shared" si="46"/>
        <v>1.01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v>16</v>
      </c>
      <c r="Q291" s="24">
        <f t="shared" si="53"/>
        <v>1.1200000000000001</v>
      </c>
      <c r="R291" s="715">
        <f t="shared" ca="1" si="54"/>
        <v>42936</v>
      </c>
      <c r="S291" s="361">
        <f t="shared" ca="1" si="45"/>
        <v>317</v>
      </c>
    </row>
    <row r="292" spans="1:19">
      <c r="A292" s="159" t="s">
        <v>3649</v>
      </c>
      <c r="B292" s="59">
        <v>115.57</v>
      </c>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v>16</v>
      </c>
      <c r="Q292" s="24">
        <f t="shared" si="53"/>
        <v>1.1200000000000001</v>
      </c>
      <c r="R292" s="715">
        <f t="shared" ca="1" si="54"/>
        <v>42511</v>
      </c>
      <c r="S292" s="361">
        <f t="shared" ca="1" si="45"/>
        <v>491</v>
      </c>
    </row>
    <row r="293" spans="1:19">
      <c r="A293" s="159" t="s">
        <v>3650</v>
      </c>
      <c r="B293" s="59">
        <v>83.27</v>
      </c>
      <c r="C293" s="24">
        <f t="shared" si="46"/>
        <v>1.01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v>16</v>
      </c>
      <c r="Q293" s="24">
        <f t="shared" si="53"/>
        <v>1.1200000000000001</v>
      </c>
      <c r="R293" s="715">
        <f t="shared" ca="1" si="54"/>
        <v>42936</v>
      </c>
      <c r="S293" s="361">
        <f t="shared" ca="1" si="45"/>
        <v>358</v>
      </c>
    </row>
    <row r="294" spans="1:19">
      <c r="A294" s="159" t="s">
        <v>3651</v>
      </c>
      <c r="B294" s="59">
        <v>83.27</v>
      </c>
      <c r="C294" s="24">
        <f t="shared" si="46"/>
        <v>1.01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v>16</v>
      </c>
      <c r="Q294" s="24">
        <f t="shared" si="53"/>
        <v>1.1200000000000001</v>
      </c>
      <c r="R294" s="715">
        <f t="shared" ca="1" si="54"/>
        <v>42936</v>
      </c>
      <c r="S294" s="361">
        <f t="shared" ca="1" si="45"/>
        <v>358</v>
      </c>
    </row>
    <row r="295" spans="1:19">
      <c r="A295" s="159" t="s">
        <v>3652</v>
      </c>
      <c r="B295" s="59">
        <v>115.96</v>
      </c>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v>16</v>
      </c>
      <c r="Q295" s="24">
        <f t="shared" si="53"/>
        <v>1.1200000000000001</v>
      </c>
      <c r="R295" s="715">
        <f t="shared" ca="1" si="54"/>
        <v>42511</v>
      </c>
      <c r="S295" s="361">
        <f t="shared" ca="1" si="45"/>
        <v>493</v>
      </c>
    </row>
    <row r="296" spans="1:19">
      <c r="A296" s="159" t="s">
        <v>3653</v>
      </c>
      <c r="B296" s="59">
        <v>87.71</v>
      </c>
      <c r="C296" s="24">
        <f t="shared" si="46"/>
        <v>1.01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v>16</v>
      </c>
      <c r="Q296" s="24">
        <f t="shared" si="53"/>
        <v>1.1200000000000001</v>
      </c>
      <c r="R296" s="715">
        <f t="shared" ca="1" si="54"/>
        <v>42936</v>
      </c>
      <c r="S296" s="361">
        <f t="shared" ca="1" si="45"/>
        <v>377</v>
      </c>
    </row>
    <row r="297" spans="1:19">
      <c r="A297" s="159" t="s">
        <v>3654</v>
      </c>
      <c r="B297" s="59">
        <v>126.15</v>
      </c>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v>16</v>
      </c>
      <c r="Q297" s="24">
        <f t="shared" si="53"/>
        <v>1.1200000000000001</v>
      </c>
      <c r="R297" s="715">
        <f t="shared" ca="1" si="54"/>
        <v>42511</v>
      </c>
      <c r="S297" s="361">
        <f t="shared" ca="1" si="45"/>
        <v>536</v>
      </c>
    </row>
    <row r="298" spans="1:19">
      <c r="A298" s="159" t="s">
        <v>3655</v>
      </c>
      <c r="B298" s="59">
        <v>91.67</v>
      </c>
      <c r="C298" s="24">
        <f t="shared" si="46"/>
        <v>1.01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v>16</v>
      </c>
      <c r="Q298" s="24">
        <f t="shared" si="53"/>
        <v>1.1200000000000001</v>
      </c>
      <c r="R298" s="715">
        <f t="shared" ca="1" si="54"/>
        <v>42936</v>
      </c>
      <c r="S298" s="361">
        <f t="shared" ca="1" si="45"/>
        <v>394</v>
      </c>
    </row>
    <row r="299" spans="1:19">
      <c r="A299" s="159" t="s">
        <v>3656</v>
      </c>
      <c r="B299" s="59">
        <v>76.2</v>
      </c>
      <c r="C299" s="24">
        <f t="shared" si="46"/>
        <v>1.01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v>16</v>
      </c>
      <c r="Q299" s="24">
        <f t="shared" si="53"/>
        <v>1.1200000000000001</v>
      </c>
      <c r="R299" s="715">
        <f t="shared" ca="1" si="54"/>
        <v>42936</v>
      </c>
      <c r="S299" s="361">
        <f t="shared" ca="1" si="45"/>
        <v>327</v>
      </c>
    </row>
    <row r="300" spans="1:19">
      <c r="A300" s="159" t="s">
        <v>3657</v>
      </c>
      <c r="B300" s="59">
        <v>95.36</v>
      </c>
      <c r="C300" s="24">
        <f t="shared" si="46"/>
        <v>1.01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v>16</v>
      </c>
      <c r="Q300" s="24">
        <f t="shared" si="53"/>
        <v>1.1200000000000001</v>
      </c>
      <c r="R300" s="715">
        <f t="shared" ca="1" si="54"/>
        <v>42936</v>
      </c>
      <c r="S300" s="361">
        <f t="shared" ca="1" si="45"/>
        <v>409</v>
      </c>
    </row>
    <row r="301" spans="1:19">
      <c r="A301" s="159" t="s">
        <v>3658</v>
      </c>
      <c r="B301" s="59">
        <v>68.849999999999994</v>
      </c>
      <c r="C301" s="24">
        <f t="shared" si="46"/>
        <v>1.01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v>16</v>
      </c>
      <c r="Q301" s="24">
        <f t="shared" si="53"/>
        <v>1.1200000000000001</v>
      </c>
      <c r="R301" s="715">
        <f t="shared" ca="1" si="54"/>
        <v>42936</v>
      </c>
      <c r="S301" s="361">
        <f t="shared" ca="1" si="45"/>
        <v>296</v>
      </c>
    </row>
    <row r="302" spans="1:19">
      <c r="A302" s="159" t="s">
        <v>3659</v>
      </c>
      <c r="B302" s="59">
        <v>68.849999999999994</v>
      </c>
      <c r="C302" s="24">
        <f t="shared" si="46"/>
        <v>1.01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v>16</v>
      </c>
      <c r="Q302" s="24">
        <f t="shared" si="53"/>
        <v>1.1200000000000001</v>
      </c>
      <c r="R302" s="715">
        <f t="shared" ca="1" si="54"/>
        <v>42936</v>
      </c>
      <c r="S302" s="361">
        <f t="shared" ca="1" si="45"/>
        <v>296</v>
      </c>
    </row>
    <row r="303" spans="1:19">
      <c r="A303" s="159" t="s">
        <v>3660</v>
      </c>
      <c r="B303" s="59">
        <v>94.09</v>
      </c>
      <c r="C303" s="24">
        <f t="shared" si="46"/>
        <v>1.01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v>17</v>
      </c>
      <c r="Q303" s="24">
        <f t="shared" si="53"/>
        <v>1.1299999999999999</v>
      </c>
      <c r="R303" s="715">
        <f t="shared" ca="1" si="54"/>
        <v>43319</v>
      </c>
      <c r="S303" s="361">
        <f t="shared" ca="1" si="45"/>
        <v>408</v>
      </c>
    </row>
    <row r="304" spans="1:19">
      <c r="A304" s="159" t="s">
        <v>3661</v>
      </c>
      <c r="B304" s="59">
        <v>76.27</v>
      </c>
      <c r="C304" s="24">
        <f t="shared" si="46"/>
        <v>1.01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v>17</v>
      </c>
      <c r="Q304" s="24">
        <f t="shared" si="53"/>
        <v>1.1299999999999999</v>
      </c>
      <c r="R304" s="715">
        <f t="shared" ca="1" si="54"/>
        <v>43319</v>
      </c>
      <c r="S304" s="361">
        <f t="shared" ca="1" si="45"/>
        <v>330</v>
      </c>
    </row>
    <row r="305" spans="1:19">
      <c r="A305" s="159" t="s">
        <v>3662</v>
      </c>
      <c r="B305" s="59">
        <v>75.760000000000005</v>
      </c>
      <c r="C305" s="24">
        <f t="shared" si="46"/>
        <v>1.01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v>17</v>
      </c>
      <c r="Q305" s="24">
        <f t="shared" si="53"/>
        <v>1.1299999999999999</v>
      </c>
      <c r="R305" s="715">
        <f t="shared" ca="1" si="54"/>
        <v>43319</v>
      </c>
      <c r="S305" s="361">
        <f t="shared" ca="1" si="45"/>
        <v>328</v>
      </c>
    </row>
    <row r="306" spans="1:19">
      <c r="A306" s="159" t="s">
        <v>3663</v>
      </c>
      <c r="B306" s="59">
        <v>89.95</v>
      </c>
      <c r="C306" s="24">
        <f t="shared" si="46"/>
        <v>1.01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v>17</v>
      </c>
      <c r="Q306" s="24">
        <f t="shared" si="53"/>
        <v>1.1299999999999999</v>
      </c>
      <c r="R306" s="715">
        <f t="shared" ca="1" si="54"/>
        <v>43319</v>
      </c>
      <c r="S306" s="361">
        <f t="shared" ca="1" si="45"/>
        <v>390</v>
      </c>
    </row>
    <row r="307" spans="1:19">
      <c r="A307" s="159" t="s">
        <v>3664</v>
      </c>
      <c r="B307" s="59">
        <v>99.07</v>
      </c>
      <c r="C307" s="24">
        <f t="shared" si="46"/>
        <v>1.01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v>17</v>
      </c>
      <c r="Q307" s="24">
        <f t="shared" si="53"/>
        <v>1.1299999999999999</v>
      </c>
      <c r="R307" s="715">
        <f t="shared" ca="1" si="54"/>
        <v>43319</v>
      </c>
      <c r="S307" s="361">
        <f t="shared" ca="1" si="45"/>
        <v>429</v>
      </c>
    </row>
    <row r="308" spans="1:19">
      <c r="A308" s="159" t="s">
        <v>3665</v>
      </c>
      <c r="B308" s="59">
        <v>72.89</v>
      </c>
      <c r="C308" s="24">
        <f t="shared" si="46"/>
        <v>1.01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v>17</v>
      </c>
      <c r="Q308" s="24">
        <f t="shared" si="53"/>
        <v>1.1299999999999999</v>
      </c>
      <c r="R308" s="715">
        <f t="shared" ca="1" si="54"/>
        <v>43319</v>
      </c>
      <c r="S308" s="361">
        <f t="shared" ca="1" si="45"/>
        <v>316</v>
      </c>
    </row>
    <row r="309" spans="1:19">
      <c r="A309" s="159" t="s">
        <v>3666</v>
      </c>
      <c r="B309" s="59">
        <v>81.849999999999994</v>
      </c>
      <c r="C309" s="24">
        <f t="shared" si="46"/>
        <v>1.01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v>17</v>
      </c>
      <c r="Q309" s="24">
        <f t="shared" si="53"/>
        <v>1.1299999999999999</v>
      </c>
      <c r="R309" s="715">
        <f t="shared" ca="1" si="54"/>
        <v>43319</v>
      </c>
      <c r="S309" s="361">
        <f t="shared" ca="1" si="45"/>
        <v>355</v>
      </c>
    </row>
    <row r="310" spans="1:19">
      <c r="A310" s="159" t="s">
        <v>3667</v>
      </c>
      <c r="B310" s="59">
        <v>68.75</v>
      </c>
      <c r="C310" s="24">
        <f t="shared" si="46"/>
        <v>1.01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v>17</v>
      </c>
      <c r="Q310" s="24">
        <f t="shared" si="53"/>
        <v>1.1299999999999999</v>
      </c>
      <c r="R310" s="715">
        <f t="shared" ca="1" si="54"/>
        <v>43319</v>
      </c>
      <c r="S310" s="361">
        <f t="shared" ca="1" si="45"/>
        <v>298</v>
      </c>
    </row>
    <row r="311" spans="1:19">
      <c r="A311" s="159" t="s">
        <v>3668</v>
      </c>
      <c r="B311" s="59">
        <v>69.97</v>
      </c>
      <c r="C311" s="24">
        <f t="shared" si="46"/>
        <v>1.01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v>17</v>
      </c>
      <c r="Q311" s="24">
        <f t="shared" si="53"/>
        <v>1.1299999999999999</v>
      </c>
      <c r="R311" s="715">
        <f t="shared" ca="1" si="54"/>
        <v>43319</v>
      </c>
      <c r="S311" s="361">
        <f t="shared" ca="1" si="45"/>
        <v>303</v>
      </c>
    </row>
    <row r="312" spans="1:19">
      <c r="A312" s="159" t="s">
        <v>3669</v>
      </c>
      <c r="B312" s="59">
        <v>107.5</v>
      </c>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v>17</v>
      </c>
      <c r="Q312" s="24">
        <f t="shared" si="53"/>
        <v>1.1299999999999999</v>
      </c>
      <c r="R312" s="715">
        <f t="shared" ca="1" si="54"/>
        <v>42890</v>
      </c>
      <c r="S312" s="361">
        <f t="shared" ca="1" si="45"/>
        <v>461</v>
      </c>
    </row>
    <row r="313" spans="1:19">
      <c r="A313" s="159" t="s">
        <v>3670</v>
      </c>
      <c r="B313" s="59">
        <v>73.87</v>
      </c>
      <c r="C313" s="24">
        <f t="shared" si="46"/>
        <v>1.01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v>17</v>
      </c>
      <c r="Q313" s="24">
        <f t="shared" si="53"/>
        <v>1.1299999999999999</v>
      </c>
      <c r="R313" s="715">
        <f t="shared" ca="1" si="54"/>
        <v>43319</v>
      </c>
      <c r="S313" s="361">
        <f t="shared" ca="1" si="45"/>
        <v>320</v>
      </c>
    </row>
    <row r="314" spans="1:19">
      <c r="A314" s="159" t="s">
        <v>3671</v>
      </c>
      <c r="B314" s="59">
        <v>115.57</v>
      </c>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v>17</v>
      </c>
      <c r="Q314" s="24">
        <f t="shared" si="53"/>
        <v>1.1299999999999999</v>
      </c>
      <c r="R314" s="715">
        <f t="shared" ca="1" si="54"/>
        <v>42890</v>
      </c>
      <c r="S314" s="361">
        <f t="shared" ca="1" si="45"/>
        <v>496</v>
      </c>
    </row>
    <row r="315" spans="1:19">
      <c r="A315" s="159" t="s">
        <v>3672</v>
      </c>
      <c r="B315" s="59">
        <v>83.27</v>
      </c>
      <c r="C315" s="24">
        <f t="shared" si="46"/>
        <v>1.01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v>17</v>
      </c>
      <c r="Q315" s="24">
        <f t="shared" si="53"/>
        <v>1.1299999999999999</v>
      </c>
      <c r="R315" s="715">
        <f t="shared" ca="1" si="54"/>
        <v>43319</v>
      </c>
      <c r="S315" s="361">
        <f t="shared" ca="1" si="45"/>
        <v>361</v>
      </c>
    </row>
    <row r="316" spans="1:19">
      <c r="A316" s="159" t="s">
        <v>3673</v>
      </c>
      <c r="B316" s="59">
        <v>83.27</v>
      </c>
      <c r="C316" s="24">
        <f t="shared" si="46"/>
        <v>1.01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v>17</v>
      </c>
      <c r="Q316" s="24">
        <f t="shared" si="53"/>
        <v>1.1299999999999999</v>
      </c>
      <c r="R316" s="715">
        <f t="shared" ca="1" si="54"/>
        <v>43319</v>
      </c>
      <c r="S316" s="361">
        <f t="shared" ca="1" si="45"/>
        <v>361</v>
      </c>
    </row>
    <row r="317" spans="1:19">
      <c r="A317" s="159" t="s">
        <v>3674</v>
      </c>
      <c r="B317" s="59">
        <v>115.96</v>
      </c>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v>17</v>
      </c>
      <c r="Q317" s="24">
        <f t="shared" si="53"/>
        <v>1.1299999999999999</v>
      </c>
      <c r="R317" s="715">
        <f t="shared" ca="1" si="54"/>
        <v>42890</v>
      </c>
      <c r="S317" s="361">
        <f t="shared" ca="1" si="45"/>
        <v>497</v>
      </c>
    </row>
    <row r="318" spans="1:19">
      <c r="A318" s="159" t="s">
        <v>3675</v>
      </c>
      <c r="B318" s="59">
        <v>87.71</v>
      </c>
      <c r="C318" s="24">
        <f t="shared" si="46"/>
        <v>1.01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v>17</v>
      </c>
      <c r="Q318" s="24">
        <f t="shared" si="53"/>
        <v>1.1299999999999999</v>
      </c>
      <c r="R318" s="715">
        <f t="shared" ca="1" si="54"/>
        <v>43319</v>
      </c>
      <c r="S318" s="361">
        <f t="shared" ca="1" si="45"/>
        <v>380</v>
      </c>
    </row>
    <row r="319" spans="1:19">
      <c r="A319" s="159" t="s">
        <v>3676</v>
      </c>
      <c r="B319" s="59">
        <v>126.15</v>
      </c>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v>17</v>
      </c>
      <c r="Q319" s="24">
        <f t="shared" si="53"/>
        <v>1.1299999999999999</v>
      </c>
      <c r="R319" s="715">
        <f t="shared" ca="1" si="54"/>
        <v>42890</v>
      </c>
      <c r="S319" s="361">
        <f t="shared" ca="1" si="45"/>
        <v>541</v>
      </c>
    </row>
    <row r="320" spans="1:19">
      <c r="A320" s="159" t="s">
        <v>3677</v>
      </c>
      <c r="B320" s="59">
        <v>91.67</v>
      </c>
      <c r="C320" s="24">
        <f t="shared" si="46"/>
        <v>1.01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v>17</v>
      </c>
      <c r="Q320" s="24">
        <f t="shared" si="53"/>
        <v>1.1299999999999999</v>
      </c>
      <c r="R320" s="715">
        <f t="shared" ca="1" si="54"/>
        <v>43319</v>
      </c>
      <c r="S320" s="361">
        <f t="shared" ca="1" si="45"/>
        <v>397</v>
      </c>
    </row>
    <row r="321" spans="1:19">
      <c r="A321" s="159" t="s">
        <v>3678</v>
      </c>
      <c r="B321" s="59">
        <v>76.2</v>
      </c>
      <c r="C321" s="24">
        <f t="shared" si="46"/>
        <v>1.01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v>17</v>
      </c>
      <c r="Q321" s="24">
        <f t="shared" si="53"/>
        <v>1.1299999999999999</v>
      </c>
      <c r="R321" s="715">
        <f t="shared" ca="1" si="54"/>
        <v>43319</v>
      </c>
      <c r="S321" s="361">
        <f t="shared" ca="1" si="45"/>
        <v>330</v>
      </c>
    </row>
    <row r="322" spans="1:19">
      <c r="A322" s="159" t="s">
        <v>3679</v>
      </c>
      <c r="B322" s="59">
        <v>95.36</v>
      </c>
      <c r="C322" s="24">
        <f t="shared" si="46"/>
        <v>1.01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v>17</v>
      </c>
      <c r="Q322" s="24">
        <f t="shared" si="53"/>
        <v>1.1299999999999999</v>
      </c>
      <c r="R322" s="715">
        <f t="shared" ca="1" si="54"/>
        <v>43319</v>
      </c>
      <c r="S322" s="361">
        <f t="shared" ca="1" si="45"/>
        <v>413</v>
      </c>
    </row>
    <row r="323" spans="1:19">
      <c r="A323" s="159" t="s">
        <v>3680</v>
      </c>
      <c r="B323" s="59">
        <v>68.849999999999994</v>
      </c>
      <c r="C323" s="24">
        <f t="shared" si="46"/>
        <v>1.01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v>17</v>
      </c>
      <c r="Q323" s="24">
        <f t="shared" si="53"/>
        <v>1.1299999999999999</v>
      </c>
      <c r="R323" s="715">
        <f t="shared" ca="1" si="54"/>
        <v>43319</v>
      </c>
      <c r="S323" s="361">
        <f t="shared" ca="1" si="45"/>
        <v>298</v>
      </c>
    </row>
    <row r="324" spans="1:19">
      <c r="A324" s="159" t="s">
        <v>3681</v>
      </c>
      <c r="B324" s="59">
        <v>68.849999999999994</v>
      </c>
      <c r="C324" s="24">
        <f t="shared" si="46"/>
        <v>1.01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v>17</v>
      </c>
      <c r="Q324" s="24">
        <f t="shared" si="53"/>
        <v>1.1299999999999999</v>
      </c>
      <c r="R324" s="715">
        <f t="shared" ca="1" si="54"/>
        <v>43319</v>
      </c>
      <c r="S324" s="361">
        <f t="shared" ca="1" si="45"/>
        <v>298</v>
      </c>
    </row>
    <row r="325" spans="1:19">
      <c r="A325" s="159" t="s">
        <v>3682</v>
      </c>
      <c r="B325" s="59">
        <v>94.09</v>
      </c>
      <c r="C325" s="24">
        <f t="shared" si="46"/>
        <v>1.01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v>18</v>
      </c>
      <c r="Q325" s="24">
        <f t="shared" si="53"/>
        <v>1.1399999999999999</v>
      </c>
      <c r="R325" s="715">
        <f t="shared" ca="1" si="54"/>
        <v>43703</v>
      </c>
      <c r="S325" s="361">
        <f t="shared" ca="1" si="45"/>
        <v>411</v>
      </c>
    </row>
    <row r="326" spans="1:19">
      <c r="A326" s="159" t="s">
        <v>3683</v>
      </c>
      <c r="B326" s="59">
        <v>76.27</v>
      </c>
      <c r="C326" s="24">
        <f t="shared" si="46"/>
        <v>1.01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v>18</v>
      </c>
      <c r="Q326" s="24">
        <f t="shared" si="53"/>
        <v>1.1399999999999999</v>
      </c>
      <c r="R326" s="715">
        <f t="shared" ca="1" si="54"/>
        <v>43703</v>
      </c>
      <c r="S326" s="361">
        <f t="shared" ca="1" si="45"/>
        <v>333</v>
      </c>
    </row>
    <row r="327" spans="1:19">
      <c r="A327" s="159" t="s">
        <v>3684</v>
      </c>
      <c r="B327" s="59">
        <v>75.760000000000005</v>
      </c>
      <c r="C327" s="24">
        <f t="shared" si="46"/>
        <v>1.01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v>18</v>
      </c>
      <c r="Q327" s="24">
        <f t="shared" si="53"/>
        <v>1.1399999999999999</v>
      </c>
      <c r="R327" s="715">
        <f t="shared" ca="1" si="54"/>
        <v>43703</v>
      </c>
      <c r="S327" s="361">
        <f t="shared" ca="1" si="45"/>
        <v>331</v>
      </c>
    </row>
    <row r="328" spans="1:19">
      <c r="A328" s="159" t="s">
        <v>3685</v>
      </c>
      <c r="B328" s="59">
        <v>89.95</v>
      </c>
      <c r="C328" s="24">
        <f t="shared" si="46"/>
        <v>1.01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v>18</v>
      </c>
      <c r="Q328" s="24">
        <f t="shared" si="53"/>
        <v>1.1399999999999999</v>
      </c>
      <c r="R328" s="715">
        <f t="shared" ca="1" si="54"/>
        <v>43703</v>
      </c>
      <c r="S328" s="361">
        <f t="shared" ca="1" si="45"/>
        <v>393</v>
      </c>
    </row>
    <row r="329" spans="1:19">
      <c r="A329" s="159" t="s">
        <v>3686</v>
      </c>
      <c r="B329" s="59">
        <v>99.07</v>
      </c>
      <c r="C329" s="24">
        <f t="shared" si="46"/>
        <v>1.01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v>18</v>
      </c>
      <c r="Q329" s="24">
        <f t="shared" si="53"/>
        <v>1.1399999999999999</v>
      </c>
      <c r="R329" s="715">
        <f t="shared" ca="1" si="54"/>
        <v>43703</v>
      </c>
      <c r="S329" s="361">
        <f t="shared" ca="1" si="45"/>
        <v>433</v>
      </c>
    </row>
    <row r="330" spans="1:19">
      <c r="A330" s="159" t="s">
        <v>3687</v>
      </c>
      <c r="B330" s="59">
        <v>72.89</v>
      </c>
      <c r="C330" s="24">
        <f t="shared" si="46"/>
        <v>1.01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v>18</v>
      </c>
      <c r="Q330" s="24">
        <f t="shared" si="53"/>
        <v>1.1399999999999999</v>
      </c>
      <c r="R330" s="715">
        <f t="shared" ca="1" si="54"/>
        <v>43703</v>
      </c>
      <c r="S330" s="361">
        <f t="shared" ca="1" si="45"/>
        <v>319</v>
      </c>
    </row>
    <row r="331" spans="1:19">
      <c r="A331" s="159" t="s">
        <v>3688</v>
      </c>
      <c r="B331" s="59">
        <v>81.849999999999994</v>
      </c>
      <c r="C331" s="24">
        <f t="shared" si="46"/>
        <v>1.01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v>18</v>
      </c>
      <c r="Q331" s="24">
        <f t="shared" si="53"/>
        <v>1.1399999999999999</v>
      </c>
      <c r="R331" s="715">
        <f t="shared" ca="1" si="54"/>
        <v>43703</v>
      </c>
      <c r="S331" s="361">
        <f t="shared" ca="1" si="45"/>
        <v>358</v>
      </c>
    </row>
    <row r="332" spans="1:19">
      <c r="A332" s="159" t="s">
        <v>3689</v>
      </c>
      <c r="B332" s="59">
        <v>68.75</v>
      </c>
      <c r="C332" s="24">
        <f t="shared" si="46"/>
        <v>1.01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v>18</v>
      </c>
      <c r="Q332" s="24">
        <f t="shared" si="53"/>
        <v>1.1399999999999999</v>
      </c>
      <c r="R332" s="715">
        <f t="shared" ca="1" si="54"/>
        <v>43703</v>
      </c>
      <c r="S332" s="361">
        <f t="shared" ca="1" si="45"/>
        <v>300</v>
      </c>
    </row>
    <row r="333" spans="1:19">
      <c r="A333" s="159" t="s">
        <v>3690</v>
      </c>
      <c r="B333" s="59">
        <v>69.97</v>
      </c>
      <c r="C333" s="24">
        <f t="shared" si="46"/>
        <v>1.01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v>18</v>
      </c>
      <c r="Q333" s="24">
        <f t="shared" si="53"/>
        <v>1.1399999999999999</v>
      </c>
      <c r="R333" s="715">
        <f t="shared" ca="1" si="54"/>
        <v>43703</v>
      </c>
      <c r="S333" s="361">
        <f t="shared" ca="1" si="45"/>
        <v>306</v>
      </c>
    </row>
    <row r="334" spans="1:19">
      <c r="A334" s="159" t="s">
        <v>3691</v>
      </c>
      <c r="B334" s="59">
        <v>107.5</v>
      </c>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v>18</v>
      </c>
      <c r="Q334" s="24">
        <f t="shared" si="53"/>
        <v>1.1399999999999999</v>
      </c>
      <c r="R334" s="715">
        <f t="shared" ca="1" si="54"/>
        <v>43270</v>
      </c>
      <c r="S334" s="361">
        <f t="shared" ca="1" si="45"/>
        <v>465</v>
      </c>
    </row>
    <row r="335" spans="1:19">
      <c r="A335" s="159" t="s">
        <v>3692</v>
      </c>
      <c r="B335" s="59">
        <v>73.87</v>
      </c>
      <c r="C335" s="24">
        <f t="shared" si="46"/>
        <v>1.01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v>18</v>
      </c>
      <c r="Q335" s="24">
        <f t="shared" si="53"/>
        <v>1.1399999999999999</v>
      </c>
      <c r="R335" s="715">
        <f t="shared" ca="1" si="54"/>
        <v>43703</v>
      </c>
      <c r="S335" s="361">
        <f t="shared" ca="1" si="45"/>
        <v>323</v>
      </c>
    </row>
    <row r="336" spans="1:19">
      <c r="A336" s="159" t="s">
        <v>3693</v>
      </c>
      <c r="B336" s="59">
        <v>115.57</v>
      </c>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v>18</v>
      </c>
      <c r="Q336" s="24">
        <f t="shared" si="53"/>
        <v>1.1399999999999999</v>
      </c>
      <c r="R336" s="715">
        <f t="shared" ca="1" si="54"/>
        <v>43270</v>
      </c>
      <c r="S336" s="361">
        <f t="shared" ca="1" si="45"/>
        <v>500</v>
      </c>
    </row>
    <row r="337" spans="1:19">
      <c r="A337" s="159" t="s">
        <v>3694</v>
      </c>
      <c r="B337" s="59">
        <v>83.27</v>
      </c>
      <c r="C337" s="24">
        <f t="shared" si="46"/>
        <v>1.01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v>18</v>
      </c>
      <c r="Q337" s="24">
        <f t="shared" si="53"/>
        <v>1.1399999999999999</v>
      </c>
      <c r="R337" s="715">
        <f t="shared" ca="1" si="54"/>
        <v>43703</v>
      </c>
      <c r="S337" s="361">
        <f t="shared" ca="1" si="45"/>
        <v>364</v>
      </c>
    </row>
    <row r="338" spans="1:19">
      <c r="A338" s="159" t="s">
        <v>3695</v>
      </c>
      <c r="B338" s="59">
        <v>83.27</v>
      </c>
      <c r="C338" s="24">
        <f t="shared" si="46"/>
        <v>1.01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v>18</v>
      </c>
      <c r="Q338" s="24">
        <f t="shared" si="53"/>
        <v>1.1399999999999999</v>
      </c>
      <c r="R338" s="715">
        <f t="shared" ca="1" si="54"/>
        <v>43703</v>
      </c>
      <c r="S338" s="361">
        <f t="shared" ca="1" si="45"/>
        <v>364</v>
      </c>
    </row>
    <row r="339" spans="1:19">
      <c r="A339" s="159" t="s">
        <v>3696</v>
      </c>
      <c r="B339" s="59">
        <v>115.96</v>
      </c>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v>18</v>
      </c>
      <c r="Q339" s="24">
        <f t="shared" si="53"/>
        <v>1.1399999999999999</v>
      </c>
      <c r="R339" s="715">
        <f t="shared" ca="1" si="54"/>
        <v>43270</v>
      </c>
      <c r="S339" s="361">
        <f t="shared" ca="1" si="45"/>
        <v>502</v>
      </c>
    </row>
    <row r="340" spans="1:19">
      <c r="A340" s="159" t="s">
        <v>3697</v>
      </c>
      <c r="B340" s="59">
        <v>87.71</v>
      </c>
      <c r="C340" s="24">
        <f t="shared" si="46"/>
        <v>1.01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v>18</v>
      </c>
      <c r="Q340" s="24">
        <f t="shared" si="53"/>
        <v>1.1399999999999999</v>
      </c>
      <c r="R340" s="715">
        <f t="shared" ca="1" si="54"/>
        <v>43703</v>
      </c>
      <c r="S340" s="361">
        <f t="shared" ca="1" si="45"/>
        <v>383</v>
      </c>
    </row>
    <row r="341" spans="1:19">
      <c r="A341" s="159" t="s">
        <v>3698</v>
      </c>
      <c r="B341" s="59">
        <v>126.15</v>
      </c>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v>18</v>
      </c>
      <c r="Q341" s="24">
        <f t="shared" si="53"/>
        <v>1.1399999999999999</v>
      </c>
      <c r="R341" s="715">
        <f t="shared" ca="1" si="54"/>
        <v>43270</v>
      </c>
      <c r="S341" s="361">
        <f t="shared" ca="1" si="45"/>
        <v>546</v>
      </c>
    </row>
    <row r="342" spans="1:19">
      <c r="A342" s="159" t="s">
        <v>3699</v>
      </c>
      <c r="B342" s="59">
        <v>91.67</v>
      </c>
      <c r="C342" s="24">
        <f t="shared" si="46"/>
        <v>1.01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v>18</v>
      </c>
      <c r="Q342" s="24">
        <f t="shared" si="53"/>
        <v>1.1399999999999999</v>
      </c>
      <c r="R342" s="715">
        <f t="shared" ca="1" si="54"/>
        <v>43703</v>
      </c>
      <c r="S342" s="361">
        <f t="shared" ca="1" si="45"/>
        <v>401</v>
      </c>
    </row>
    <row r="343" spans="1:19">
      <c r="A343" s="159" t="s">
        <v>3700</v>
      </c>
      <c r="B343" s="59">
        <v>76.2</v>
      </c>
      <c r="C343" s="24">
        <f t="shared" si="46"/>
        <v>1.01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v>18</v>
      </c>
      <c r="Q343" s="24">
        <f t="shared" si="53"/>
        <v>1.1399999999999999</v>
      </c>
      <c r="R343" s="715">
        <f t="shared" ca="1" si="54"/>
        <v>43703</v>
      </c>
      <c r="S343" s="361">
        <f t="shared" ca="1" si="45"/>
        <v>333</v>
      </c>
    </row>
    <row r="344" spans="1:19">
      <c r="A344" s="159" t="s">
        <v>3701</v>
      </c>
      <c r="B344" s="59">
        <v>95.36</v>
      </c>
      <c r="C344" s="24">
        <f t="shared" si="46"/>
        <v>1.01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v>18</v>
      </c>
      <c r="Q344" s="24">
        <f t="shared" si="53"/>
        <v>1.1399999999999999</v>
      </c>
      <c r="R344" s="715">
        <f t="shared" ca="1" si="54"/>
        <v>43703</v>
      </c>
      <c r="S344" s="361">
        <f t="shared" ref="S344:S407" ca="1" si="55">ROUND(R344*B344/10000,0)</f>
        <v>417</v>
      </c>
    </row>
    <row r="345" spans="1:19">
      <c r="A345" s="159" t="s">
        <v>3702</v>
      </c>
      <c r="B345" s="59">
        <v>68.849999999999994</v>
      </c>
      <c r="C345" s="24">
        <f t="shared" si="46"/>
        <v>1.01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v>18</v>
      </c>
      <c r="Q345" s="24">
        <f t="shared" si="53"/>
        <v>1.1399999999999999</v>
      </c>
      <c r="R345" s="715">
        <f t="shared" ca="1" si="54"/>
        <v>43703</v>
      </c>
      <c r="S345" s="361">
        <f t="shared" ca="1" si="55"/>
        <v>301</v>
      </c>
    </row>
    <row r="346" spans="1:19">
      <c r="A346" s="159" t="s">
        <v>3703</v>
      </c>
      <c r="B346" s="59">
        <v>68.849999999999994</v>
      </c>
      <c r="C346" s="24">
        <f t="shared" ref="C346:C409" si="56">IF(B346="",1,(LOOKUP(B346,$3:$3,$4:$4)-LOOKUP($B$24,$3:$3,$4:$4)+100)/100)</f>
        <v>1.01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v>18</v>
      </c>
      <c r="Q346" s="24">
        <f t="shared" ref="Q346:Q409" si="63">(SUMIF($17:$17,P346,$18:$18)-SUMIF($17:$17,$P$24,$18:$18)+100)/100</f>
        <v>1.1399999999999999</v>
      </c>
      <c r="R346" s="715">
        <f t="shared" ref="R346:R409" ca="1" si="64">IF(B346="",0,ROUND($R$24*C346*E346*G346*I346*K346*M346*O346*Q346,0))</f>
        <v>43703</v>
      </c>
      <c r="S346" s="361">
        <f t="shared" ca="1" si="55"/>
        <v>301</v>
      </c>
    </row>
    <row r="347" spans="1:19">
      <c r="A347" s="159"/>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51" t="s">
        <v>1662</v>
      </c>
      <c r="B1" s="3051"/>
      <c r="C1" s="3051"/>
      <c r="D1" s="3051"/>
    </row>
    <row r="2" spans="1:4" ht="18">
      <c r="A2" s="3052" t="s">
        <v>1646</v>
      </c>
      <c r="B2" s="3052"/>
      <c r="C2" s="3052"/>
      <c r="D2" s="3052"/>
    </row>
    <row r="3" spans="1:4" ht="18.75">
      <c r="A3" s="1974" t="s">
        <v>1647</v>
      </c>
      <c r="B3" s="1974" t="s">
        <v>1648</v>
      </c>
      <c r="C3" s="1974" t="s">
        <v>1649</v>
      </c>
      <c r="D3" s="1974" t="s">
        <v>1650</v>
      </c>
    </row>
    <row r="4" spans="1:4" ht="56.25" customHeight="1">
      <c r="A4" s="1975" t="str">
        <f>项目基本情况!B4</f>
        <v>王鹏</v>
      </c>
      <c r="B4" s="1976">
        <f ca="1">项目基本情况!C4</f>
        <v>1120050019</v>
      </c>
      <c r="C4" s="1977"/>
      <c r="D4" s="1978" t="s">
        <v>1651</v>
      </c>
    </row>
    <row r="5" spans="1:4" ht="56.25" customHeight="1">
      <c r="A5" s="1975" t="str">
        <f>项目基本情况!D4</f>
        <v>郑燚</v>
      </c>
      <c r="B5" s="1976">
        <f ca="1">项目基本情况!E4</f>
        <v>1120070131</v>
      </c>
      <c r="C5" s="1979"/>
      <c r="D5" s="1978" t="s">
        <v>1651</v>
      </c>
    </row>
    <row r="6" spans="1:4" ht="18">
      <c r="A6" s="3052" t="s">
        <v>1652</v>
      </c>
      <c r="B6" s="3052"/>
      <c r="C6" s="3052"/>
      <c r="D6" s="3052"/>
    </row>
    <row r="7" spans="1:4" ht="18.75">
      <c r="A7" s="1974" t="s">
        <v>1647</v>
      </c>
      <c r="B7" s="1976" t="s">
        <v>1653</v>
      </c>
      <c r="C7" s="1974" t="s">
        <v>1649</v>
      </c>
      <c r="D7" s="1974" t="s">
        <v>1650</v>
      </c>
    </row>
    <row r="8" spans="1:4" ht="56.25" customHeight="1">
      <c r="A8" s="1980" t="s">
        <v>869</v>
      </c>
      <c r="B8" s="1980" t="s">
        <v>1</v>
      </c>
      <c r="C8" s="1977"/>
      <c r="D8" s="1978" t="s">
        <v>1651</v>
      </c>
    </row>
    <row r="9" spans="1:4">
      <c r="A9" s="727"/>
      <c r="B9" s="727"/>
      <c r="C9" s="727"/>
      <c r="D9" s="727"/>
    </row>
    <row r="10" spans="1:4" ht="18.75">
      <c r="A10" s="1981" t="s">
        <v>1654</v>
      </c>
      <c r="B10" s="727"/>
      <c r="C10" s="727"/>
      <c r="D10" s="727"/>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IF(项目基本情况!B8="抵押",'结果表-商业'!K120,"——")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8" sqref="D18"/>
      <selection pane="bottomLeft" activeCell="D18" sqref="D18"/>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65" t="s">
        <v>1669</v>
      </c>
      <c r="B15" s="3060" t="s">
        <v>136</v>
      </c>
      <c r="C15" s="3061"/>
    </row>
    <row r="16" spans="1:7" ht="13.5">
      <c r="A16" s="3066"/>
      <c r="B16" s="3060" t="s">
        <v>69</v>
      </c>
      <c r="C16" s="3061"/>
    </row>
    <row r="17" spans="1:3" ht="13.5">
      <c r="A17" s="3066"/>
      <c r="B17" s="3063" t="s">
        <v>1670</v>
      </c>
      <c r="C17" s="1997" t="s">
        <v>1669</v>
      </c>
    </row>
    <row r="18" spans="1:3" ht="13.5">
      <c r="A18" s="3066"/>
      <c r="B18" s="3063"/>
      <c r="C18" s="1997" t="s">
        <v>1671</v>
      </c>
    </row>
    <row r="19" spans="1:3" ht="13.5">
      <c r="A19" s="3066"/>
      <c r="B19" s="3063"/>
      <c r="C19" s="1997" t="s">
        <v>1672</v>
      </c>
    </row>
    <row r="20" spans="1:3" ht="13.5">
      <c r="A20" s="3067"/>
      <c r="B20" s="3062" t="s">
        <v>1673</v>
      </c>
      <c r="C20" s="3061"/>
    </row>
    <row r="21" spans="1:3" ht="13.5">
      <c r="A21" s="1998" t="s">
        <v>1674</v>
      </c>
      <c r="B21" s="1999"/>
      <c r="C21" s="2000"/>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7" t="s">
        <v>1680</v>
      </c>
    </row>
    <row r="26" spans="1:3" ht="13.5">
      <c r="A26" s="3064"/>
      <c r="B26" s="3063"/>
      <c r="C26" s="1997" t="s">
        <v>1681</v>
      </c>
    </row>
    <row r="27" spans="1:3" ht="13.5">
      <c r="A27" s="3064"/>
      <c r="B27" s="3063"/>
      <c r="C27" s="1997" t="s">
        <v>1682</v>
      </c>
    </row>
    <row r="28" spans="1:3" ht="13.5">
      <c r="A28" s="3064"/>
      <c r="B28" s="3063"/>
      <c r="C28" s="1997" t="s">
        <v>1683</v>
      </c>
    </row>
    <row r="29" spans="1:3" ht="13.5">
      <c r="A29" s="3064"/>
      <c r="B29" s="3063"/>
      <c r="C29" s="1997" t="s">
        <v>1684</v>
      </c>
    </row>
    <row r="30" spans="1:3" ht="13.5">
      <c r="A30" s="3064"/>
      <c r="B30" s="3063"/>
      <c r="C30" s="1997" t="s">
        <v>1685</v>
      </c>
    </row>
    <row r="31" spans="1:3" ht="13.5">
      <c r="A31" s="3064"/>
      <c r="B31" s="3063"/>
      <c r="C31" s="1997" t="s">
        <v>1686</v>
      </c>
    </row>
    <row r="32" spans="1:3" ht="13.5">
      <c r="A32" s="3064"/>
      <c r="B32" s="3063"/>
      <c r="C32" s="1997" t="s">
        <v>1687</v>
      </c>
    </row>
    <row r="33" spans="1:3" ht="13.5">
      <c r="A33" s="3064"/>
      <c r="B33" s="3063"/>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43236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43359</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t="s">
        <v>3042</v>
      </c>
      <c r="B12" s="1021">
        <v>1120110054</v>
      </c>
      <c r="C12" s="2956">
        <v>43937</v>
      </c>
      <c r="D12" s="1700" t="s">
        <v>3042</v>
      </c>
      <c r="E12" s="1021">
        <v>2008110060</v>
      </c>
      <c r="F12" s="1029">
        <v>47177</v>
      </c>
    </row>
    <row r="13" spans="1:6" ht="24" customHeight="1">
      <c r="A13" s="1700" t="s">
        <v>840</v>
      </c>
      <c r="B13" s="1021">
        <f ca="1">IF(C13&lt;B2,"已过期",1120070131)</f>
        <v>1120070131</v>
      </c>
      <c r="C13" s="2342">
        <v>43814</v>
      </c>
      <c r="D13" s="2345" t="s">
        <v>840</v>
      </c>
      <c r="E13" s="1021">
        <v>2014110011</v>
      </c>
      <c r="F13" s="1029">
        <v>49302</v>
      </c>
    </row>
    <row r="14" spans="1:6" ht="24" customHeight="1">
      <c r="A14" s="1700" t="s">
        <v>841</v>
      </c>
      <c r="B14" s="1021">
        <f ca="1">IF(C14&lt;B2,"已过期",1120130020)</f>
        <v>1120130020</v>
      </c>
      <c r="C14" s="2342">
        <v>43622</v>
      </c>
      <c r="D14" s="2345"/>
      <c r="E14" s="1021"/>
      <c r="F14" s="1021"/>
    </row>
    <row r="15" spans="1:6" ht="24" customHeight="1">
      <c r="A15" s="1701" t="s">
        <v>1149</v>
      </c>
      <c r="B15" s="1021">
        <v>1120070085</v>
      </c>
      <c r="C15" s="2342">
        <v>43814</v>
      </c>
      <c r="D15" s="2346" t="s">
        <v>1149</v>
      </c>
      <c r="E15" s="1021">
        <v>2004110128</v>
      </c>
      <c r="F15" s="1022">
        <v>47118</v>
      </c>
    </row>
    <row r="16" spans="1:6" ht="24" customHeight="1">
      <c r="A16" s="1700" t="s">
        <v>842</v>
      </c>
      <c r="B16" s="1021">
        <f ca="1">IF(C16&lt;B2,"已过期",1120140022)</f>
        <v>1120140022</v>
      </c>
      <c r="C16" s="2342">
        <v>44029</v>
      </c>
      <c r="D16" s="2345" t="s">
        <v>842</v>
      </c>
      <c r="E16" s="1021">
        <f ca="1">IF(F16&lt;B2,"已过期",2008110059)</f>
        <v>2008110059</v>
      </c>
      <c r="F16" s="1029">
        <v>47177</v>
      </c>
    </row>
    <row r="17" spans="1:7" ht="24" customHeight="1">
      <c r="A17" s="1700"/>
      <c r="B17" s="1021"/>
      <c r="C17" s="2342"/>
      <c r="D17" s="2345"/>
      <c r="E17" s="1021"/>
      <c r="F17" s="1029"/>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843</v>
      </c>
      <c r="E21" s="1021">
        <f ca="1">IF(F21&lt;B2,"已过期",2011110090)</f>
        <v>2011110090</v>
      </c>
      <c r="F21" s="1029">
        <v>48302</v>
      </c>
    </row>
    <row r="22" spans="1:7" ht="24" customHeight="1">
      <c r="A22" s="1700" t="s">
        <v>844</v>
      </c>
      <c r="B22" s="1021">
        <f ca="1">IF(C22&lt;B2,"已过期",1120020033)</f>
        <v>1120020033</v>
      </c>
      <c r="C22" s="2342">
        <v>43304</v>
      </c>
      <c r="D22" s="2345" t="s">
        <v>844</v>
      </c>
      <c r="E22" s="1021">
        <f ca="1">IF(F22&lt;B2,"已过期",2000110137)</f>
        <v>2000110137</v>
      </c>
      <c r="F22" s="1029">
        <v>46387</v>
      </c>
    </row>
    <row r="23" spans="1:7" ht="24" customHeight="1">
      <c r="A23" s="1700" t="s">
        <v>845</v>
      </c>
      <c r="B23" s="1021">
        <f ca="1">IF(C23&lt;B2,"已过期",1120130048)</f>
        <v>1120130048</v>
      </c>
      <c r="C23" s="2342">
        <v>43686</v>
      </c>
      <c r="D23" s="2345"/>
      <c r="E23" s="1021"/>
      <c r="F23" s="1021"/>
    </row>
    <row r="24" spans="1:7" s="1023" customFormat="1" ht="24" customHeight="1">
      <c r="A24" s="1701" t="s">
        <v>1333</v>
      </c>
      <c r="B24" s="1701" t="s">
        <v>1333</v>
      </c>
      <c r="C24" s="2343" t="s">
        <v>1333</v>
      </c>
      <c r="D24" s="2346" t="s">
        <v>1333</v>
      </c>
      <c r="E24" s="1701" t="s">
        <v>1333</v>
      </c>
      <c r="F24" s="1701" t="s">
        <v>1333</v>
      </c>
    </row>
    <row r="25" spans="1:7" ht="24" customHeight="1">
      <c r="A25" s="3068" t="s">
        <v>846</v>
      </c>
      <c r="B25" s="3068"/>
      <c r="C25" s="3068"/>
      <c r="D25" s="3068"/>
      <c r="E25" s="3068"/>
      <c r="F25" s="3068"/>
      <c r="G25" s="3068"/>
    </row>
    <row r="26" spans="1:7" s="1024" customFormat="1" ht="24" customHeight="1">
      <c r="A26" s="3069" t="s">
        <v>847</v>
      </c>
      <c r="B26" s="3069"/>
      <c r="C26" s="3070"/>
      <c r="D26" s="3071" t="s">
        <v>848</v>
      </c>
      <c r="E26" s="3069"/>
      <c r="F26" s="3069"/>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21" priority="62">
      <formula>AND($C28-TODAY()&lt;30,TODAY()&lt;$C28)</formula>
    </cfRule>
  </conditionalFormatting>
  <conditionalFormatting sqref="C28 F4">
    <cfRule type="cellIs" dxfId="220" priority="64" stopIfTrue="1" operator="lessThan">
      <formula>$B$2</formula>
    </cfRule>
  </conditionalFormatting>
  <conditionalFormatting sqref="C5">
    <cfRule type="expression" dxfId="219" priority="59">
      <formula>AND($C5-TODAY()&lt;30,TODAY()&lt;$C5)</formula>
    </cfRule>
  </conditionalFormatting>
  <conditionalFormatting sqref="C5 F5">
    <cfRule type="cellIs" dxfId="218" priority="60" stopIfTrue="1" operator="lessThan">
      <formula>$B$2</formula>
    </cfRule>
  </conditionalFormatting>
  <conditionalFormatting sqref="F6 F8 F10">
    <cfRule type="cellIs" dxfId="217" priority="58" stopIfTrue="1" operator="lessThan">
      <formula>$B$2</formula>
    </cfRule>
  </conditionalFormatting>
  <conditionalFormatting sqref="C4:C11 C13:C23">
    <cfRule type="expression" dxfId="216" priority="56">
      <formula>AND($C4-TODAY()&lt;30,TODAY()&lt;$C4)</formula>
    </cfRule>
  </conditionalFormatting>
  <conditionalFormatting sqref="F7 F9 F11 C4:C11 C13:C23">
    <cfRule type="cellIs" dxfId="215" priority="57" stopIfTrue="1" operator="lessThan">
      <formula>$B$2</formula>
    </cfRule>
  </conditionalFormatting>
  <conditionalFormatting sqref="C14">
    <cfRule type="expression" dxfId="214" priority="50">
      <formula>AND($C14-TODAY()&lt;30,TODAY()&lt;$C14)</formula>
    </cfRule>
  </conditionalFormatting>
  <conditionalFormatting sqref="C14">
    <cfRule type="cellIs" dxfId="213" priority="51" stopIfTrue="1" operator="lessThan">
      <formula>$B$2</formula>
    </cfRule>
  </conditionalFormatting>
  <conditionalFormatting sqref="C16">
    <cfRule type="expression" dxfId="212" priority="48">
      <formula>AND($C16-TODAY()&lt;30,TODAY()&lt;$C16)</formula>
    </cfRule>
  </conditionalFormatting>
  <conditionalFormatting sqref="C16">
    <cfRule type="cellIs" dxfId="211" priority="49" stopIfTrue="1" operator="lessThan">
      <formula>$B$2</formula>
    </cfRule>
  </conditionalFormatting>
  <conditionalFormatting sqref="C18">
    <cfRule type="expression" dxfId="210" priority="46">
      <formula>AND($C18-TODAY()&lt;30,TODAY()&lt;$C18)</formula>
    </cfRule>
  </conditionalFormatting>
  <conditionalFormatting sqref="C18">
    <cfRule type="cellIs" dxfId="209" priority="47" stopIfTrue="1" operator="lessThan">
      <formula>$B$2</formula>
    </cfRule>
  </conditionalFormatting>
  <conditionalFormatting sqref="C20">
    <cfRule type="expression" dxfId="208" priority="44">
      <formula>AND($C20-TODAY()&lt;30,TODAY()&lt;$C20)</formula>
    </cfRule>
  </conditionalFormatting>
  <conditionalFormatting sqref="C20">
    <cfRule type="cellIs" dxfId="207" priority="45" stopIfTrue="1" operator="lessThan">
      <formula>$B$2</formula>
    </cfRule>
  </conditionalFormatting>
  <conditionalFormatting sqref="C22">
    <cfRule type="expression" dxfId="206" priority="42">
      <formula>AND($C22-TODAY()&lt;30,TODAY()&lt;$C22)</formula>
    </cfRule>
  </conditionalFormatting>
  <conditionalFormatting sqref="C22">
    <cfRule type="cellIs" dxfId="205" priority="43" stopIfTrue="1" operator="lessThan">
      <formula>$B$2</formula>
    </cfRule>
  </conditionalFormatting>
  <conditionalFormatting sqref="C15">
    <cfRule type="expression" dxfId="204" priority="40">
      <formula>AND($C15-TODAY()&lt;30,TODAY()&lt;$C15)</formula>
    </cfRule>
  </conditionalFormatting>
  <conditionalFormatting sqref="C15">
    <cfRule type="cellIs" dxfId="203" priority="41" stopIfTrue="1" operator="lessThan">
      <formula>$B$2</formula>
    </cfRule>
  </conditionalFormatting>
  <conditionalFormatting sqref="C17">
    <cfRule type="expression" dxfId="202" priority="38">
      <formula>AND($C17-TODAY()&lt;30,TODAY()&lt;$C17)</formula>
    </cfRule>
  </conditionalFormatting>
  <conditionalFormatting sqref="C17">
    <cfRule type="cellIs" dxfId="201" priority="39" stopIfTrue="1" operator="lessThan">
      <formula>$B$2</formula>
    </cfRule>
  </conditionalFormatting>
  <conditionalFormatting sqref="C19">
    <cfRule type="expression" dxfId="200" priority="36">
      <formula>AND($C19-TODAY()&lt;30,TODAY()&lt;$C19)</formula>
    </cfRule>
  </conditionalFormatting>
  <conditionalFormatting sqref="C19">
    <cfRule type="cellIs" dxfId="199" priority="37" stopIfTrue="1" operator="lessThan">
      <formula>$B$2</formula>
    </cfRule>
  </conditionalFormatting>
  <conditionalFormatting sqref="C21">
    <cfRule type="expression" dxfId="198" priority="34">
      <formula>AND($C21-TODAY()&lt;30,TODAY()&lt;$C21)</formula>
    </cfRule>
  </conditionalFormatting>
  <conditionalFormatting sqref="C21">
    <cfRule type="cellIs" dxfId="197" priority="35" stopIfTrue="1" operator="lessThan">
      <formula>$B$2</formula>
    </cfRule>
  </conditionalFormatting>
  <conditionalFormatting sqref="C23">
    <cfRule type="expression" dxfId="196" priority="32">
      <formula>AND($C23-TODAY()&lt;30,TODAY()&lt;$C23)</formula>
    </cfRule>
  </conditionalFormatting>
  <conditionalFormatting sqref="C23">
    <cfRule type="cellIs" dxfId="195" priority="33" stopIfTrue="1" operator="lessThan">
      <formula>$B$2</formula>
    </cfRule>
  </conditionalFormatting>
  <conditionalFormatting sqref="F16">
    <cfRule type="cellIs" dxfId="194" priority="30" stopIfTrue="1" operator="lessThan">
      <formula>$B$2</formula>
    </cfRule>
  </conditionalFormatting>
  <conditionalFormatting sqref="F18">
    <cfRule type="cellIs" dxfId="193" priority="29" stopIfTrue="1" operator="lessThan">
      <formula>$B$2</formula>
    </cfRule>
  </conditionalFormatting>
  <conditionalFormatting sqref="F22">
    <cfRule type="cellIs" dxfId="192" priority="28" stopIfTrue="1" operator="lessThan">
      <formula>$B$2</formula>
    </cfRule>
  </conditionalFormatting>
  <conditionalFormatting sqref="F21">
    <cfRule type="cellIs" dxfId="191" priority="27" stopIfTrue="1" operator="lessThan">
      <formula>$B$2</formula>
    </cfRule>
  </conditionalFormatting>
  <conditionalFormatting sqref="F17">
    <cfRule type="cellIs" dxfId="190" priority="26" stopIfTrue="1" operator="lessThan">
      <formula>$B$2</formula>
    </cfRule>
  </conditionalFormatting>
  <conditionalFormatting sqref="B4:B11 E4:E11 B16:B23 E16:E23 B13:B14 E13:E14">
    <cfRule type="cellIs" dxfId="189" priority="25" stopIfTrue="1" operator="equal">
      <formula>"已过期"</formula>
    </cfRule>
  </conditionalFormatting>
  <conditionalFormatting sqref="A24:F24">
    <cfRule type="cellIs" dxfId="188" priority="21" stopIfTrue="1" operator="equal">
      <formula>"已过期"</formula>
    </cfRule>
  </conditionalFormatting>
  <conditionalFormatting sqref="F28">
    <cfRule type="expression" dxfId="187" priority="19">
      <formula>AND($E28-TODAY()&lt;30,TODAY()&lt;$E28)</formula>
    </cfRule>
  </conditionalFormatting>
  <conditionalFormatting sqref="F28">
    <cfRule type="cellIs" dxfId="186" priority="20" stopIfTrue="1" operator="lessThan">
      <formula>$B$2</formula>
    </cfRule>
  </conditionalFormatting>
  <conditionalFormatting sqref="F29">
    <cfRule type="expression" dxfId="185" priority="15" stopIfTrue="1">
      <formula>AND($E29-TODAY()&lt;30,TODAY()&lt;$E29)</formula>
    </cfRule>
  </conditionalFormatting>
  <conditionalFormatting sqref="F29">
    <cfRule type="cellIs" dxfId="184" priority="16" stopIfTrue="1" operator="lessThan">
      <formula>$B$2</formula>
    </cfRule>
  </conditionalFormatting>
  <conditionalFormatting sqref="B15">
    <cfRule type="cellIs" dxfId="183" priority="13" stopIfTrue="1" operator="equal">
      <formula>"已过期"</formula>
    </cfRule>
  </conditionalFormatting>
  <conditionalFormatting sqref="A15">
    <cfRule type="cellIs" dxfId="182" priority="12" stopIfTrue="1" operator="equal">
      <formula>"已过期"</formula>
    </cfRule>
  </conditionalFormatting>
  <conditionalFormatting sqref="C15">
    <cfRule type="expression" dxfId="181" priority="11">
      <formula>AND($C15-TODAY()&lt;30,TODAY()&lt;$C15)</formula>
    </cfRule>
  </conditionalFormatting>
  <conditionalFormatting sqref="E15">
    <cfRule type="cellIs" dxfId="180" priority="10" stopIfTrue="1" operator="equal">
      <formula>"已过期"</formula>
    </cfRule>
  </conditionalFormatting>
  <conditionalFormatting sqref="D15">
    <cfRule type="cellIs" dxfId="179" priority="9" stopIfTrue="1" operator="equal">
      <formula>"已过期"</formula>
    </cfRule>
  </conditionalFormatting>
  <conditionalFormatting sqref="F13">
    <cfRule type="cellIs" dxfId="178" priority="8" stopIfTrue="1" operator="lessThan">
      <formula>$B$2</formula>
    </cfRule>
  </conditionalFormatting>
  <conditionalFormatting sqref="C12">
    <cfRule type="expression" dxfId="177" priority="6">
      <formula>AND($C12-TODAY()&lt;30,TODAY()&lt;$C12)</formula>
    </cfRule>
  </conditionalFormatting>
  <conditionalFormatting sqref="C12">
    <cfRule type="cellIs" dxfId="176" priority="7" stopIfTrue="1" operator="lessThan">
      <formula>$B$2</formula>
    </cfRule>
  </conditionalFormatting>
  <conditionalFormatting sqref="C12">
    <cfRule type="expression" dxfId="175" priority="4">
      <formula>AND($C12-TODAY()&lt;30,TODAY()&lt;$C12)</formula>
    </cfRule>
  </conditionalFormatting>
  <conditionalFormatting sqref="C12">
    <cfRule type="cellIs" dxfId="174" priority="5" stopIfTrue="1" operator="lessThan">
      <formula>$B$2</formula>
    </cfRule>
  </conditionalFormatting>
  <conditionalFormatting sqref="B12">
    <cfRule type="cellIs" dxfId="173" priority="3" stopIfTrue="1" operator="equal">
      <formula>"已过期"</formula>
    </cfRule>
  </conditionalFormatting>
  <conditionalFormatting sqref="E12">
    <cfRule type="cellIs" dxfId="172" priority="2" stopIfTrue="1" operator="equal">
      <formula>"已过期"</formula>
    </cfRule>
  </conditionalFormatting>
  <conditionalFormatting sqref="F12">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结果表-商业</vt:lpstr>
      <vt:lpstr>成本法</vt:lpstr>
      <vt:lpstr>成本法 (元)</vt:lpstr>
      <vt:lpstr>假设开发法</vt:lpstr>
      <vt:lpstr>土地比较法-住宅、综合</vt:lpstr>
      <vt:lpstr>基准地价修正-商业</vt:lpstr>
      <vt:lpstr>基准地价修正-办公</vt:lpstr>
      <vt:lpstr>比较法-商业</vt:lpstr>
      <vt:lpstr>收益法-商业</vt:lpstr>
      <vt:lpstr>收益法-商业2</vt:lpstr>
      <vt:lpstr>典型户型修正-商业</vt:lpstr>
      <vt:lpstr>结果表-办公</vt:lpstr>
      <vt:lpstr>比较法-办公</vt:lpstr>
      <vt:lpstr>收益法-办公</vt:lpstr>
      <vt:lpstr>收益法-办公2</vt:lpstr>
      <vt:lpstr>收益法（汇总）</vt:lpstr>
      <vt:lpstr>酒店收入计算</vt:lpstr>
      <vt:lpstr>比较法-住宅</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典型户型修正-办公</vt:lpstr>
      <vt:lpstr>案例</vt:lpstr>
      <vt:lpstr>'比较法-办公'!Print_Area</vt:lpstr>
      <vt:lpstr>估价师及机构信息!Print_Area</vt:lpstr>
      <vt:lpstr>'结果表-商业'!Print_Area</vt:lpstr>
      <vt:lpstr>'收益法-办公'!Print_Area</vt:lpstr>
      <vt:lpstr>'收益法-办公2'!Print_Area</vt:lpstr>
      <vt:lpstr>'收益法-商业'!Print_Area</vt:lpstr>
      <vt:lpstr>'收益法-商业2'!Print_Area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2018-05-16T02:00:49Z</dcterms:modified>
</cp:coreProperties>
</file>