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I15" i="74" l="1"/>
  <c r="H15" i="74"/>
  <c r="D4" i="77" l="1"/>
  <c r="C34" i="40"/>
  <c r="O20" i="1"/>
  <c r="O19" i="1"/>
  <c r="N6" i="1"/>
  <c r="A3" i="3" l="1"/>
  <c r="L20" i="1"/>
  <c r="L19" i="1"/>
  <c r="F19" i="6"/>
  <c r="AN4" i="78"/>
  <c r="AN3" i="78"/>
  <c r="AN2" i="78"/>
  <c r="L1" i="73"/>
  <c r="J1" i="73"/>
  <c r="E1" i="73"/>
  <c r="C1" i="73"/>
  <c r="C48" i="11"/>
  <c r="G41" i="11"/>
  <c r="C40" i="11"/>
  <c r="F38" i="11"/>
  <c r="E37" i="11"/>
  <c r="F36" i="11"/>
  <c r="F35" i="11"/>
  <c r="F34" i="11"/>
  <c r="C36" i="11" s="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7" i="9"/>
  <c r="C76" i="9"/>
  <c r="C74" i="9" s="1"/>
  <c r="D68" i="9"/>
  <c r="F59" i="9"/>
  <c r="E59" i="9"/>
  <c r="N55" i="9" s="1"/>
  <c r="D59" i="9"/>
  <c r="N56" i="9"/>
  <c r="M56" i="9"/>
  <c r="K56" i="9"/>
  <c r="J56" i="9"/>
  <c r="F56" i="9"/>
  <c r="O55" i="9"/>
  <c r="M55" i="9"/>
  <c r="K55" i="9"/>
  <c r="J55" i="9"/>
  <c r="J57" i="9" s="1"/>
  <c r="J59" i="9" s="1"/>
  <c r="J61" i="9" s="1"/>
  <c r="I55" i="9"/>
  <c r="F55" i="9"/>
  <c r="O54" i="9"/>
  <c r="N54" i="9"/>
  <c r="F54" i="9"/>
  <c r="O53" i="9"/>
  <c r="N53" i="9"/>
  <c r="F53" i="9"/>
  <c r="F52" i="9"/>
  <c r="K49" i="9"/>
  <c r="F48" i="9"/>
  <c r="O52" i="9" s="1"/>
  <c r="E48" i="9"/>
  <c r="N52" i="9" s="1"/>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E16" i="74"/>
  <c r="F16" i="74"/>
  <c r="I14" i="74"/>
  <c r="B8" i="74"/>
  <c r="B3" i="74"/>
  <c r="C24" i="20"/>
  <c r="C22" i="20"/>
  <c r="C21" i="20"/>
  <c r="G20" i="20"/>
  <c r="C20" i="20"/>
  <c r="G19" i="20"/>
  <c r="G18" i="20"/>
  <c r="C18" i="20"/>
  <c r="C17" i="20"/>
  <c r="G16" i="20"/>
  <c r="C16" i="20"/>
  <c r="G15" i="20"/>
  <c r="C15" i="20"/>
  <c r="B52" i="1"/>
  <c r="B43" i="1"/>
  <c r="C42" i="1"/>
  <c r="B41" i="1"/>
  <c r="B31" i="1"/>
  <c r="B24" i="1"/>
  <c r="B23" i="1"/>
  <c r="B22" i="1"/>
  <c r="C2" i="77"/>
  <c r="D2" i="77" s="1"/>
  <c r="C1" i="77"/>
  <c r="D1" i="77" s="1"/>
  <c r="P14" i="1"/>
  <c r="O14" i="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O16" i="1" s="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43" i="67"/>
  <c r="M6" i="67"/>
  <c r="F5" i="73"/>
  <c r="F7" i="15"/>
  <c r="B11" i="76"/>
  <c r="F26" i="67"/>
  <c r="M9" i="67"/>
  <c r="F26" i="15"/>
  <c r="D5" i="73"/>
  <c r="F16" i="15"/>
  <c r="F7" i="67"/>
  <c r="C76" i="15"/>
  <c r="F42" i="67"/>
  <c r="M23" i="15"/>
  <c r="M24" i="15"/>
  <c r="F6" i="67"/>
  <c r="F4" i="73"/>
  <c r="M22" i="67"/>
  <c r="D2" i="34"/>
  <c r="F13" i="67"/>
  <c r="M21" i="67"/>
  <c r="E11" i="76"/>
  <c r="M8" i="67"/>
  <c r="AO10" i="1"/>
  <c r="M29" i="15"/>
  <c r="D3" i="73"/>
  <c r="F9" i="15"/>
  <c r="M26" i="67"/>
  <c r="M6" i="15"/>
  <c r="B13" i="76"/>
  <c r="B8" i="76"/>
  <c r="M24" i="67"/>
  <c r="F37" i="67"/>
  <c r="F36" i="15"/>
  <c r="E13" i="76"/>
  <c r="AO13" i="1"/>
  <c r="F8" i="67"/>
  <c r="L48" i="67"/>
  <c r="F42" i="15"/>
  <c r="E9" i="76"/>
  <c r="M9" i="15"/>
  <c r="J15" i="67"/>
  <c r="F41" i="67"/>
  <c r="B10" i="76"/>
  <c r="F7" i="73"/>
  <c r="E12" i="76"/>
  <c r="M22" i="15"/>
  <c r="F6" i="73"/>
  <c r="AO12" i="1"/>
  <c r="F9" i="67"/>
  <c r="F40" i="15"/>
  <c r="D2" i="36"/>
  <c r="E10" i="76"/>
  <c r="AO8" i="1"/>
  <c r="B12" i="76"/>
  <c r="M26" i="15"/>
  <c r="L47" i="15"/>
  <c r="L48" i="15"/>
  <c r="M28" i="67"/>
  <c r="M27" i="15"/>
  <c r="D7" i="73"/>
  <c r="B9" i="76"/>
  <c r="AO11" i="1"/>
  <c r="C76" i="67"/>
  <c r="M28" i="15"/>
  <c r="E2" i="69"/>
  <c r="AO9" i="1"/>
  <c r="E7" i="76"/>
  <c r="M23" i="67"/>
  <c r="J15" i="15"/>
  <c r="D2" i="37"/>
  <c r="E8" i="76"/>
  <c r="M29" i="67"/>
  <c r="F16" i="67"/>
  <c r="M8" i="15"/>
  <c r="M27" i="67"/>
  <c r="D2" i="21"/>
  <c r="F3" i="73"/>
  <c r="F8" i="15"/>
  <c r="F40" i="67"/>
  <c r="D6" i="73"/>
  <c r="F37" i="15"/>
  <c r="D4" i="73"/>
  <c r="AO7" i="1"/>
  <c r="L47" i="67"/>
  <c r="F6" i="15"/>
  <c r="F36" i="67"/>
  <c r="E2" i="68"/>
  <c r="D2" i="35"/>
  <c r="F20" i="31"/>
  <c r="F35" i="67"/>
  <c r="B7" i="76"/>
  <c r="F38" i="67"/>
  <c r="F43" i="15"/>
  <c r="F38" i="15"/>
  <c r="D2" i="33"/>
  <c r="C94" i="9" l="1"/>
  <c r="D3" i="77"/>
  <c r="Q20" i="1"/>
  <c r="Q19" i="1"/>
  <c r="Q21" i="1" s="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15"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c r="L58" i="15"/>
  <c r="N59" i="15"/>
  <c r="L60" i="15"/>
  <c r="J59" i="15"/>
  <c r="L57" i="15"/>
  <c r="L56" i="15"/>
  <c r="J60" i="15"/>
  <c r="Q48" i="15" s="1"/>
  <c r="J57" i="15"/>
  <c r="J55" i="15" s="1"/>
  <c r="J58" i="15" s="1"/>
  <c r="Q50" i="15" s="1"/>
  <c r="I54" i="15"/>
  <c r="J53" i="15"/>
  <c r="L46"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6" i="67"/>
  <c r="C17" i="67"/>
  <c r="G1" i="73"/>
  <c r="C14" i="67"/>
  <c r="C16" i="15"/>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Q74" i="67"/>
  <c r="Q61" i="67"/>
  <c r="F1" i="15"/>
  <c r="Q52" i="15"/>
  <c r="Q66" i="15"/>
  <c r="Q57" i="15"/>
  <c r="Q73" i="15"/>
  <c r="Q60" i="15"/>
  <c r="AE6" i="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L21" i="1" s="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F41" i="15"/>
  <c r="F69" i="15" l="1"/>
  <c r="J29" i="15"/>
  <c r="C21" i="12"/>
  <c r="C22" i="12" s="1"/>
  <c r="C30" i="12" s="1"/>
  <c r="C28" i="12" s="1"/>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17" i="15"/>
  <c r="C27" i="12" l="1"/>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T42" i="40" s="1"/>
  <c r="G42" i="40" s="1"/>
  <c r="U34" i="40"/>
  <c r="AA34" i="40"/>
  <c r="R42" i="40" s="1"/>
  <c r="S34" i="40"/>
  <c r="W34" i="40"/>
  <c r="AC34" i="40"/>
  <c r="V42" i="40" s="1"/>
  <c r="I42" i="40" s="1"/>
  <c r="Q49" i="67"/>
  <c r="C36" i="67"/>
  <c r="J19" i="67"/>
  <c r="J17" i="67" s="1"/>
  <c r="J14" i="67"/>
  <c r="C13" i="67"/>
  <c r="C57" i="67"/>
  <c r="C33" i="67"/>
  <c r="C31" i="67" s="1"/>
  <c r="J59" i="67"/>
  <c r="J60" i="67" s="1"/>
  <c r="C22" i="11"/>
  <c r="C31" i="11" s="1"/>
  <c r="C22" i="69"/>
  <c r="C31" i="69" s="1"/>
  <c r="C14" i="15"/>
  <c r="F13" i="15"/>
  <c r="I5" i="6" l="1"/>
  <c r="C39" i="69"/>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L51" i="67"/>
  <c r="B6" i="76"/>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M21" i="15"/>
  <c r="F35" i="15"/>
  <c r="C29" i="15" l="1"/>
  <c r="J20" i="15"/>
  <c r="F63" i="15"/>
  <c r="C62" i="15" s="1"/>
  <c r="C34" i="15"/>
  <c r="C31" i="15" s="1"/>
  <c r="R16" i="1"/>
  <c r="C56" i="11"/>
  <c r="C57" i="11" s="1"/>
  <c r="C49" i="68"/>
  <c r="C51" i="68" s="1"/>
  <c r="C6" i="68"/>
  <c r="B3" i="40"/>
  <c r="Q57" i="67"/>
  <c r="Q62" i="67" s="1"/>
  <c r="Q66" i="67"/>
  <c r="Q75" i="67" s="1"/>
  <c r="B3" i="67"/>
  <c r="B2" i="67"/>
  <c r="J19" i="15" l="1"/>
  <c r="J17" i="15" s="1"/>
  <c r="Q49" i="15"/>
  <c r="C13" i="15"/>
  <c r="C36" i="15"/>
  <c r="C57" i="15"/>
  <c r="J14" i="15"/>
  <c r="C7" i="68"/>
  <c r="C5" i="68" s="1"/>
  <c r="C61" i="15" l="1"/>
  <c r="C59" i="15" s="1"/>
  <c r="C64" i="15"/>
  <c r="C56" i="15"/>
  <c r="C65" i="15" s="1"/>
  <c r="Q70" i="15"/>
  <c r="C75" i="15"/>
  <c r="C37" i="15"/>
  <c r="C30" i="15" s="1"/>
  <c r="C39" i="15" s="1"/>
  <c r="J13" i="15"/>
  <c r="J23" i="15" s="1"/>
  <c r="J22" i="15"/>
  <c r="C20" i="68"/>
  <c r="C25" i="68" s="1"/>
  <c r="C23" i="68"/>
  <c r="L51" i="15"/>
  <c r="J16" i="15" l="1"/>
  <c r="J25" i="15" s="1"/>
  <c r="Q67" i="15"/>
  <c r="C80" i="15"/>
  <c r="C79" i="15" s="1"/>
  <c r="C58" i="15"/>
  <c r="C67" i="15" s="1"/>
  <c r="C68" i="15" s="1"/>
  <c r="Q69" i="15"/>
  <c r="Q68" i="15" s="1"/>
  <c r="C40" i="15"/>
  <c r="C22" i="68"/>
  <c r="C28" i="68"/>
  <c r="C27" i="68" s="1"/>
  <c r="Q47" i="15" l="1"/>
  <c r="Q53" i="15" s="1"/>
  <c r="Q65" i="15"/>
  <c r="Q75" i="15" s="1"/>
  <c r="C43" i="15"/>
  <c r="C83" i="15"/>
  <c r="C82" i="15" s="1"/>
  <c r="Q56" i="15"/>
  <c r="Q62" i="15" s="1"/>
  <c r="B2" i="15"/>
  <c r="C71" i="15"/>
  <c r="C46" i="15"/>
  <c r="C31" i="68"/>
  <c r="C52" i="68" s="1"/>
  <c r="B2" i="68" s="1"/>
  <c r="C19" i="9"/>
  <c r="AO6" i="1"/>
  <c r="D19" i="9"/>
  <c r="B6" i="70" l="1"/>
  <c r="B2" i="70" s="1"/>
  <c r="B3" i="70" s="1"/>
  <c r="D102" i="9"/>
  <c r="D21" i="9"/>
  <c r="B3" i="15"/>
  <c r="C57" i="68"/>
  <c r="C56" i="68" s="1"/>
  <c r="C102" i="9"/>
  <c r="C21" i="9"/>
  <c r="G19" i="9"/>
  <c r="D22" i="9"/>
  <c r="B3" i="68"/>
  <c r="D35" i="9"/>
  <c r="D34" i="9"/>
  <c r="D20" i="9"/>
  <c r="C20" i="9"/>
  <c r="D103" i="9" l="1"/>
  <c r="C103" i="9"/>
  <c r="G20" i="9"/>
  <c r="G21" i="9"/>
  <c r="C32" i="9"/>
  <c r="H118" i="9" l="1"/>
  <c r="C35" i="9"/>
  <c r="F118" i="9" s="1"/>
  <c r="H119" i="9" l="1"/>
  <c r="H5" i="52" s="1"/>
  <c r="D14" i="74"/>
  <c r="C104" i="9"/>
  <c r="H101" i="9"/>
  <c r="I118" i="9"/>
  <c r="H4" i="52"/>
  <c r="F119" i="9"/>
  <c r="F5" i="52" s="1"/>
  <c r="B53" i="72" s="1"/>
  <c r="F4" i="52"/>
  <c r="B51" i="72" s="1"/>
  <c r="G118" i="9"/>
  <c r="G4" i="52" s="1"/>
  <c r="B52" i="72" s="1"/>
  <c r="C34" i="9"/>
  <c r="D118" i="9" s="1"/>
  <c r="J118" i="9" s="1"/>
  <c r="C105" i="9" l="1"/>
  <c r="I4" i="52"/>
  <c r="E118" i="9"/>
  <c r="E4" i="52" s="1"/>
  <c r="B48" i="72" s="1"/>
  <c r="H102" i="9"/>
  <c r="D7" i="53" s="1"/>
  <c r="B21" i="72" s="1"/>
  <c r="D4" i="52"/>
  <c r="B47" i="72" s="1"/>
  <c r="D119" i="9"/>
  <c r="D5" i="52" s="1"/>
  <c r="B49" i="72" s="1"/>
  <c r="H107" i="9"/>
  <c r="D5" i="53"/>
  <c r="D45" i="9"/>
  <c r="M48" i="9"/>
  <c r="F14" i="74"/>
  <c r="E14" i="74"/>
  <c r="D6" i="53" l="1"/>
  <c r="B22" i="72" s="1"/>
  <c r="B20" i="72"/>
  <c r="C85" i="9"/>
  <c r="C64" i="9"/>
  <c r="C63" i="9" s="1"/>
  <c r="C67" i="9" s="1"/>
  <c r="C68" i="9" s="1"/>
  <c r="D54" i="9" s="1"/>
  <c r="D53" i="9"/>
  <c r="D52" i="9"/>
  <c r="C93" i="9"/>
  <c r="C86" i="9" s="1"/>
  <c r="C72" i="9"/>
  <c r="C78" i="9"/>
  <c r="C73" i="9" s="1"/>
  <c r="D55" i="9"/>
  <c r="M53" i="9" s="1"/>
  <c r="H108" i="9"/>
  <c r="D15" i="53" s="1"/>
  <c r="B31" i="72" s="1"/>
  <c r="D13" i="53"/>
  <c r="D122" i="9"/>
  <c r="M49" i="9"/>
  <c r="G14" i="74" l="1"/>
  <c r="D8" i="52"/>
  <c r="D123" i="9"/>
  <c r="D9" i="52" s="1"/>
  <c r="L68" i="9"/>
  <c r="M68" i="9" s="1"/>
  <c r="L63" i="9"/>
  <c r="M63" i="9" s="1"/>
  <c r="L64" i="9"/>
  <c r="M64" i="9" s="1"/>
  <c r="L67" i="9"/>
  <c r="M67" i="9" s="1"/>
  <c r="L66" i="9"/>
  <c r="M66" i="9" s="1"/>
  <c r="L65" i="9"/>
  <c r="M65" i="9" s="1"/>
  <c r="D14" i="53"/>
  <c r="B32" i="72" s="1"/>
  <c r="B30" i="72"/>
  <c r="C79" i="9"/>
  <c r="C95" i="9"/>
  <c r="M69" i="9" l="1"/>
  <c r="N69" i="9" s="1"/>
  <c r="C96" i="9"/>
  <c r="E96" i="9" s="1"/>
  <c r="E97" i="9" s="1"/>
  <c r="C80" i="9"/>
  <c r="E80" i="9" s="1"/>
  <c r="E81" i="9" s="1"/>
  <c r="C81" i="9" l="1"/>
  <c r="C97" i="9"/>
  <c r="D58" i="9" s="1"/>
  <c r="D56" i="9" s="1"/>
  <c r="M54" i="9" s="1"/>
  <c r="N57" i="9" s="1"/>
  <c r="P57" i="9" l="1"/>
  <c r="N58" i="9"/>
  <c r="N59" i="9"/>
  <c r="N60" i="9" l="1"/>
  <c r="N61" i="9"/>
  <c r="B15" i="74" l="1"/>
  <c r="B1" i="74" s="1"/>
  <c r="C8" i="74" l="1"/>
  <c r="C7" i="74"/>
  <c r="C15" i="74"/>
  <c r="B2" i="74" s="1"/>
  <c r="D8" i="74" l="1"/>
  <c r="D7" i="74"/>
  <c r="D15" i="74" l="1"/>
  <c r="F15" i="74" l="1"/>
  <c r="E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<sst xmlns="http://schemas.openxmlformats.org/spreadsheetml/2006/main" count="9308" uniqueCount="2747">
  <si>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</si>
  <si>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</si>
  <si>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</si>
  <si>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</si>
  <si>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</si>
  <si>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</si>
  <si>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</si>
  <si>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</si>
  <si>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</si>
  <si>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</si>
  <si>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</si>
  <si>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</si>
  <si>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</si>
  <si>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</si>
  <si>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</si>
  <si>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</si>
  <si>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</si>
  <si>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</si>
  <si>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</si>
  <si>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</si>
  <si>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</si>
  <si>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</si>
  <si>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</si>
  <si>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</si>
  <si>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</si>
  <si>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</si>
  <si>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</si>
  <si>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</si>
  <si>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</si>
  <si>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</si>
  <si>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</si>
  <si>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</si>
  <si>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</si>
  <si>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</si>
  <si>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</si>
  <si>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</si>
  <si>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</si>
  <si>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</si>
  <si>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</si>
  <si>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</si>
  <si>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</si>
  <si>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</si>
  <si>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</si>
  <si>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</si>
  <si>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</si>
  <si>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</si>
  <si>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</si>
  <si>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</si>
  <si>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</si>
  <si>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</si>
  <si>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</si>
  <si>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</si>
  <si>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</si>
  <si>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</si>
  <si>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</si>
  <si>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</si>
  <si>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</si>
  <si>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</si>
  <si>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</si>
  <si>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</si>
  <si>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</si>
  <si>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</si>
  <si>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</si>
  <si>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</si>
  <si>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</si>
  <si>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</si>
  <si>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</si>
  <si>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</si>
  <si>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</si>
  <si>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</si>
  <si>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</si>
  <si>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</si>
  <si>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</si>
  <si>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</si>
  <si>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</si>
  <si>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</si>
  <si>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</si>
  <si>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</si>
  <si>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</si>
  <si>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</si>
  <si>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</si>
  <si>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</si>
  <si>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</si>
  <si>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</si>
  <si>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</si>
  <si>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</si>
  <si>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</si>
  <si>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</si>
  <si>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</si>
  <si>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</si>
  <si>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</si>
  <si>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</si>
  <si>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</si>
  <si>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</si>
  <si>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</si>
  <si>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</si>
  <si>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</si>
  <si>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</si>
  <si>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</si>
  <si>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</si>
  <si>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</si>
  <si>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</si>
  <si>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</si>
  <si>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</si>
  <si>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</si>
  <si>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</si>
  <si>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</si>
  <si>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</si>
  <si>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</si>
  <si>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</si>
  <si>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</si>
  <si>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</si>
  <si>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</si>
  <si>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</si>
  <si>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</si>
  <si>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</si>
  <si>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</si>
  <si>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</si>
  <si>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</si>
  <si>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</si>
  <si>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</si>
  <si>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</si>
  <si>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</si>
  <si>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</si>
  <si>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</si>
  <si>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</si>
  <si>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</si>
  <si>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</si>
  <si>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</si>
  <si>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</si>
  <si>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</si>
  <si>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</si>
  <si>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</si>
  <si>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</si>
  <si>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</si>
  <si>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</si>
  <si>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</si>
  <si>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</si>
  <si>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</si>
  <si>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</si>
  <si>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</si>
  <si>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</si>
  <si>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</si>
  <si>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</si>
  <si>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</si>
  <si>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</si>
  <si>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</si>
  <si>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</si>
  <si>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</si>
  <si>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</si>
  <si>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</si>
  <si>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</si>
  <si>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</si>
  <si>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</si>
  <si>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</si>
  <si>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</si>
  <si>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</si>
  <si>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</si>
  <si>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</si>
  <si>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</si>
  <si>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</si>
  <si>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</si>
  <si>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</si>
  <si>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</si>
  <si>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</si>
  <si>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</si>
  <si>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</si>
  <si>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</si>
  <si>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</si>
  <si>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</si>
  <si>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</si>
  <si>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</si>
  <si>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</si>
  <si>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</si>
  <si>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</si>
  <si>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</si>
  <si>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</si>
  <si>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</si>
  <si>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</si>
  <si>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</si>
  <si>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</si>
  <si>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</si>
  <si>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</si>
  <si>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</si>
  <si>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</si>
  <si>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</si>
  <si>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</si>
  <si>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</si>
  <si>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</si>
  <si>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</si>
  <si>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</si>
  <si>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</si>
  <si>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</si>
  <si>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</si>
  <si>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</si>
  <si>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</si>
  <si>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</si>
  <si>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</si>
  <si>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</si>
  <si>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</si>
  <si>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</si>
  <si>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</si>
  <si>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</si>
  <si>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</si>
  <si>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</si>
  <si>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</si>
  <si>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</si>
  <si>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</si>
  <si>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</si>
  <si>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</si>
  <si>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</si>
  <si>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</si>
  <si>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</si>
  <si>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</si>
  <si>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</si>
  <si>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</si>
  <si>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</si>
  <si>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</si>
  <si>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</si>
  <si>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</si>
  <si>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</si>
  <si>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</si>
  <si>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</si>
  <si>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</si>
  <si>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</si>
  <si>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</si>
  <si>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</si>
  <si>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</si>
  <si>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</si>
  <si>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</si>
  <si>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</si>
  <si>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</si>
  <si>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</si>
  <si>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</si>
  <si>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</si>
  <si>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</si>
  <si>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</si>
  <si>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</si>
  <si>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</si>
  <si>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</si>
  <si>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</si>
  <si>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</si>
  <si>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</si>
  <si>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</si>
  <si>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</si>
  <si>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</si>
  <si>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</si>
  <si>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</si>
  <si>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</si>
  <si>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</si>
  <si>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</si>
  <si>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</si>
  <si>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</si>
  <si>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</si>
  <si>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</si>
  <si>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</si>
  <si>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</si>
  <si>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</si>
  <si>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</si>
  <si>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</si>
  <si>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</si>
  <si>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</si>
  <si>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</si>
  <si>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</si>
  <si>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</si>
  <si>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</si>
  <si>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</si>
  <si>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</si>
  <si>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</si>
  <si>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</si>
  <si>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</si>
  <si>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</si>
  <si>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</si>
  <si>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</si>
  <si>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</si>
  <si>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</si>
  <si>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</si>
  <si>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</si>
  <si>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</si>
  <si>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</si>
  <si>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</si>
  <si>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</si>
  <si>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</si>
  <si>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</si>
  <si>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</si>
  <si>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</si>
  <si>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</si>
  <si>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</si>
  <si>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</si>
  <si>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</si>
  <si>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</si>
  <si>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</si>
  <si>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</si>
  <si>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</si>
  <si>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</si>
  <si>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</si>
  <si>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</si>
  <si>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</si>
  <si>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</si>
  <si>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</si>
  <si>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</si>
  <si>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</si>
  <si>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</si>
  <si>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</si>
  <si>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</si>
  <si>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</si>
  <si>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</si>
  <si>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</si>
  <si>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</si>
  <si>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</si>
  <si>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</si>
  <si>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</si>
  <si>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</si>
  <si>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</si>
  <si>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</si>
  <si>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</si>
  <si>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</si>
  <si>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</si>
  <si>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</si>
  <si>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</si>
  <si>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</si>
  <si>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</si>
  <si>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</si>
  <si>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</si>
  <si>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</si>
  <si>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</si>
  <si>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</si>
  <si>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</si>
  <si>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</si>
  <si>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</si>
  <si>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</si>
  <si>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</si>
  <si>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</si>
  <si>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</si>
  <si>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</si>
  <si>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</si>
  <si>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</si>
  <si>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</si>
  <si>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</si>
  <si>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</si>
  <si>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</si>
  <si>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</si>
  <si>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</si>
  <si>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</si>
  <si>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</si>
  <si>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</si>
  <si>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</si>
  <si>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</si>
  <si>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</si>
  <si>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</si>
  <si>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</si>
  <si>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</si>
  <si>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</si>
  <si>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</si>
  <si>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</si>
  <si>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</si>
  <si>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</si>
  <si>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</si>
  <si>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</si>
  <si>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</si>
  <si>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</si>
  <si>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</si>
  <si>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</si>
  <si>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</si>
  <si>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</si>
  <si>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</si>
  <si>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</si>
  <si>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</si>
  <si>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</si>
  <si>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</si>
  <si>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</si>
  <si>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</si>
  <si>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</si>
  <si>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</si>
  <si>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</si>
  <si>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</si>
  <si>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</si>
  <si>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</si>
  <si>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</si>
  <si>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</si>
  <si>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</si>
  <si>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</si>
  <si>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</si>
  <si>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</si>
  <si>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</si>
  <si>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</si>
  <si>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</si>
  <si>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</si>
  <si>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</si>
  <si>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</si>
  <si>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</si>
  <si>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</si>
  <si>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</si>
  <si>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</si>
  <si>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</si>
  <si>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</si>
  <si>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</si>
  <si>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</si>
  <si>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</si>
  <si>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</si>
  <si>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</si>
  <si>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</si>
  <si>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</si>
  <si>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</si>
  <si>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</si>
  <si>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</si>
  <si>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</si>
  <si>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</si>
  <si>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</si>
  <si>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</si>
  <si>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</si>
  <si>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</si>
  <si>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</si>
  <si>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</si>
  <si>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</si>
  <si>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</si>
  <si>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</si>
  <si>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</si>
  <si>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</si>
  <si>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</si>
  <si>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</si>
  <si>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</si>
  <si>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</si>
  <si>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</si>
  <si>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</si>
  <si>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</si>
  <si>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</si>
  <si>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</si>
  <si>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</si>
  <si>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</si>
  <si>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</si>
  <si>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</si>
  <si>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</si>
  <si>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</si>
  <si>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</si>
  <si>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</si>
  <si>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</si>
  <si>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</si>
  <si>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</si>
  <si>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</si>
  <si>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</si>
  <si>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</si>
  <si>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</si>
  <si>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</si>
  <si>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</si>
  <si>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</si>
  <si>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</si>
  <si>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</si>
  <si>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</si>
  <si>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</si>
  <si>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</si>
  <si>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</si>
  <si>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</si>
  <si>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</si>
  <si>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</si>
  <si>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</si>
  <si>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</si>
  <si>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</si>
  <si>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</si>
  <si>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</si>
  <si>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</si>
  <si>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</si>
  <si>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</si>
  <si>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</si>
  <si>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</si>
  <si>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</si>
  <si>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</si>
  <si>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</si>
  <si>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</si>
  <si>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</si>
  <si>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</si>
  <si>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</si>
  <si>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</si>
  <si>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</si>
  <si>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</si>
  <si>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</si>
  <si>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</si>
  <si>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</si>
  <si>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</si>
  <si>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</si>
  <si>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</si>
  <si>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</si>
  <si>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</si>
  <si>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</si>
  <si>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</si>
  <si>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</si>
  <si>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</si>
  <si>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</si>
  <si>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</si>
  <si>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</si>
  <si>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</si>
  <si>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</si>
  <si>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</si>
  <si>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</si>
  <si>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</si>
  <si>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</si>
  <si>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</si>
  <si>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</si>
  <si>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</si>
  <si>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</si>
  <si>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</si>
  <si>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</si>
  <si>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</si>
  <si>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</si>
  <si>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</si>
  <si>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</si>
  <si>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</si>
  <si>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</si>
  <si>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</si>
  <si>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</si>
  <si>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</si>
  <si>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</si>
  <si>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</si>
  <si>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</si>
  <si>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</si>
  <si>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</si>
  <si>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</si>
  <si>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</si>
  <si>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</si>
  <si>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</si>
  <si>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</si>
  <si>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</si>
  <si>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</si>
  <si>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</si>
  <si>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</si>
  <si>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</si>
  <si>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</si>
  <si>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</si>
  <si>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</si>
  <si>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</si>
  <si>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</si>
  <si>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</si>
  <si>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</si>
  <si>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</si>
  <si>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</si>
  <si>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</si>
  <si>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</si>
  <si>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</si>
  <si>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</si>
  <si>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</si>
  <si>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</si>
  <si>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</si>
  <si>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</si>
  <si>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</si>
  <si>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</si>
  <si>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</si>
  <si>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</si>
  <si>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</si>
  <si>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</si>
  <si>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</si>
  <si>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</si>
  <si>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</si>
  <si>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</si>
  <si>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</si>
  <si>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</si>
  <si>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</si>
  <si>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</si>
  <si>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</si>
  <si>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</si>
  <si>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</si>
  <si>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</si>
  <si>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</si>
  <si>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</si>
  <si>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</si>
  <si>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</si>
  <si>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</si>
  <si>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</si>
  <si>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</si>
  <si>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</si>
  <si>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</si>
  <si>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</si>
  <si>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</si>
  <si>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</si>
  <si>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</si>
  <si>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</si>
  <si>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</si>
  <si>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</si>
  <si>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</si>
  <si>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</si>
  <si>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</si>
  <si>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</si>
  <si>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</si>
  <si>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</si>
  <si>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</si>
  <si>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</si>
  <si>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</si>
  <si>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</si>
  <si>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</si>
  <si>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</si>
  <si>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</si>
  <si>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</si>
  <si>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</si>
  <si>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</si>
  <si>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</si>
  <si>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</si>
  <si>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</si>
  <si>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</si>
  <si>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</si>
  <si>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</si>
  <si>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</si>
  <si>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</si>
  <si>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</si>
  <si>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</si>
  <si>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</si>
  <si>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</si>
  <si>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</si>
  <si>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</si>
  <si>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</si>
  <si>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</si>
  <si>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</si>
  <si>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</si>
  <si>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</si>
  <si>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</si>
  <si>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</si>
  <si>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</si>
  <si>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</si>
  <si>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</si>
  <si>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</si>
  <si>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</si>
  <si>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</si>
  <si>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</si>
  <si>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</si>
  <si>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</si>
  <si>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</si>
  <si>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</si>
  <si>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</si>
  <si>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</si>
  <si>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</si>
  <si>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</si>
  <si>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</si>
  <si>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</si>
  <si>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</si>
  <si>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</si>
  <si>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</si>
  <si>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</si>
  <si>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</si>
  <si>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</si>
  <si>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</si>
  <si>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</si>
  <si>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</si>
  <si>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</si>
  <si>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</si>
  <si>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</si>
  <si>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</si>
  <si>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</si>
  <si>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</si>
  <si>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</si>
  <si>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</si>
  <si>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</si>
  <si>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</si>
  <si>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</si>
  <si>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</si>
  <si>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</si>
  <si>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</si>
  <si>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</si>
  <si>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</si>
  <si>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</si>
  <si>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</si>
  <si>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</si>
  <si>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</si>
  <si>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</si>
  <si>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</si>
  <si>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</si>
  <si>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</si>
  <si>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</si>
  <si>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</si>
  <si>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</si>
  <si>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</si>
  <si>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</si>
  <si>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</si>
  <si>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</si>
  <si>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</si>
  <si>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</si>
  <si>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</si>
  <si>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</si>
  <si>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</si>
  <si>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</si>
  <si>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</si>
  <si>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</si>
  <si>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</si>
  <si>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</si>
  <si>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</si>
  <si>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</si>
  <si>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</si>
  <si>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</si>
  <si>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</si>
  <si>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</si>
  <si>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</si>
  <si>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</si>
  <si>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</si>
  <si>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</si>
  <si>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</si>
  <si>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</si>
  <si>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</si>
  <si>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</si>
  <si>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</si>
  <si>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</si>
  <si>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</si>
  <si>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</si>
  <si>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</si>
  <si>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</si>
  <si>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</si>
  <si>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</si>
  <si>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</si>
  <si>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</si>
  <si>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</si>
  <si>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</si>
  <si>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</si>
  <si>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</si>
  <si>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</si>
  <si>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</si>
  <si>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</si>
  <si>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</si>
  <si>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</si>
  <si>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</si>
  <si>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</si>
  <si>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</si>
  <si>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</si>
  <si>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</si>
  <si>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</si>
  <si>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</si>
  <si>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</si>
  <si>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</si>
  <si>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</si>
  <si>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</si>
  <si>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</si>
  <si>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</si>
  <si>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</si>
  <si>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</si>
  <si>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</si>
  <si>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</si>
  <si>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</si>
  <si>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</si>
  <si>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</si>
  <si>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</si>
  <si>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</si>
  <si>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</si>
  <si>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</si>
  <si>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</si>
  <si>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</si>
  <si>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</si>
  <si>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</si>
  <si>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</si>
  <si>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</si>
  <si>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</si>
  <si>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</si>
  <si>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</si>
  <si>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</si>
  <si>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</si>
  <si>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</si>
  <si>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</si>
  <si>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</si>
  <si>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</si>
  <si>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</si>
  <si>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</si>
  <si>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</si>
  <si>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</si>
  <si>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</si>
  <si>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</si>
  <si>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</si>
  <si>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</si>
  <si>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</si>
  <si>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</si>
  <si>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</si>
  <si>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</si>
  <si>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</si>
  <si>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</si>
  <si>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</si>
  <si>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</si>
  <si>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</si>
  <si>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</si>
  <si>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</si>
  <si>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</si>
  <si>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</si>
  <si>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</si>
  <si>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</si>
  <si>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</si>
  <si>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</si>
  <si>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</si>
  <si>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</si>
  <si>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</si>
  <si>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</si>
  <si>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</si>
  <si>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</si>
  <si>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</si>
  <si>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</si>
  <si>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</si>
  <si>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</si>
  <si>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</si>
  <si>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</si>
  <si>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</si>
  <si>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</si>
  <si>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</si>
  <si>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</si>
  <si>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</si>
  <si>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</si>
  <si>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</si>
  <si>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</si>
  <si>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</si>
  <si>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</si>
  <si>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</si>
  <si>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</si>
  <si>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</si>
  <si>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</si>
  <si>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</si>
  <si>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</si>
  <si>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</si>
  <si>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</si>
  <si>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</si>
  <si>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</si>
  <si>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</si>
  <si>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</si>
  <si>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</si>
  <si>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</si>
  <si>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</si>
  <si>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</si>
  <si>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</si>
  <si>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</si>
  <si>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</si>
  <si>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</si>
  <si>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</si>
  <si>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</si>
  <si>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</si>
  <si>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</si>
  <si>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</si>
  <si>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</si>
  <si>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</si>
  <si>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</si>
  <si>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</si>
  <si>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</si>
  <si>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</si>
  <si>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</si>
  <si>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</si>
  <si>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</si>
  <si>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</si>
  <si>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</si>
  <si>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</si>
  <si>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</si>
  <si>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</si>
  <si>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</si>
  <si>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</si>
  <si>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</si>
  <si>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</si>
  <si>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</si>
  <si>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</si>
  <si>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</si>
  <si>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</si>
  <si>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</si>
  <si>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</si>
  <si>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</si>
  <si>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</si>
  <si>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</si>
  <si>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</si>
  <si>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</si>
  <si>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</si>
  <si>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</si>
  <si>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</si>
  <si>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</si>
  <si>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</si>
  <si>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</si>
  <si>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</si>
  <si>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</si>
  <si>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</si>
  <si>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</si>
  <si>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</si>
  <si>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</si>
  <si>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</si>
  <si>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</si>
  <si>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</si>
  <si>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</si>
  <si>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</si>
  <si>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</si>
  <si>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</si>
  <si>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</si>
  <si>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</si>
  <si>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</si>
  <si>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</si>
  <si>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</si>
  <si>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</si>
  <si>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</si>
  <si>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</si>
  <si>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</si>
  <si>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</si>
  <si>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</si>
  <si>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</si>
  <si>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</si>
  <si>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</si>
  <si>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</si>
  <si>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</si>
  <si>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</si>
  <si>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</si>
  <si>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</si>
  <si>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</si>
  <si>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</si>
  <si>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</si>
  <si>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</si>
  <si>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</si>
  <si>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</si>
  <si>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</si>
  <si>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</si>
  <si>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</si>
  <si>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</si>
  <si>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</si>
  <si>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</si>
  <si>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</si>
  <si>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</si>
  <si>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</si>
  <si>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</si>
  <si>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</si>
  <si>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</si>
  <si>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</si>
  <si>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</si>
  <si>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</si>
  <si>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</si>
  <si>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</si>
  <si>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</si>
  <si>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</si>
  <si>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</si>
  <si>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</si>
  <si>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</si>
  <si>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</si>
  <si>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</si>
  <si>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</si>
  <si>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</si>
  <si>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</si>
  <si>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</si>
  <si>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</si>
  <si>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</si>
  <si>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</si>
  <si>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</si>
  <si>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</si>
  <si>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</si>
  <si>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</si>
  <si>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</si>
  <si>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</si>
  <si>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</si>
  <si>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</si>
  <si>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</si>
  <si>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</si>
  <si>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</si>
  <si>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</si>
  <si>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</si>
  <si>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</si>
  <si>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</si>
  <si>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</si>
  <si>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</si>
  <si>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</si>
  <si>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</si>
  <si>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</si>
  <si>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</si>
  <si>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</si>
  <si>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</si>
  <si>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</si>
  <si>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</si>
  <si>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</si>
  <si>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</si>
  <si>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</si>
  <si>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</si>
  <si>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</si>
  <si>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</si>
  <si>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</si>
  <si>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</si>
  <si>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</si>
  <si>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</si>
  <si>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</si>
  <si>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</si>
  <si>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</si>
  <si>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</si>
  <si>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</si>
  <si>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</si>
  <si>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</si>
  <si>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</si>
  <si>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</si>
  <si>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</si>
  <si>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</si>
  <si>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</si>
  <si>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</si>
  <si>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</si>
  <si>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</si>
  <si>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</si>
  <si>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</si>
  <si>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</si>
  <si>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</si>
  <si>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</si>
  <si>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</si>
  <si>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</si>
  <si>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</si>
  <si>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</si>
  <si>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</si>
  <si>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</si>
  <si>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</si>
  <si>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</si>
  <si>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</si>
  <si>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</si>
  <si>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</si>
  <si>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</si>
  <si>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</si>
  <si>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</si>
  <si>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</si>
  <si>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</si>
  <si>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</si>
  <si>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</si>
  <si>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</si>
  <si>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</si>
  <si>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</si>
  <si>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</si>
  <si>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</si>
  <si>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</si>
  <si>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</si>
  <si>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</si>
  <si>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</si>
  <si>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</si>
  <si>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</si>
  <si>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</si>
  <si>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</si>
  <si>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</si>
  <si>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</si>
  <si>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</si>
  <si>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</si>
  <si>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</si>
  <si>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</si>
  <si>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</si>
  <si>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</si>
  <si>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</si>
  <si>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</si>
  <si>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</si>
  <si>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</si>
  <si>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</si>
  <si>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</si>
  <si>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</si>
  <si>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</si>
  <si>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</si>
  <si>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</si>
  <si>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</si>
  <si>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</si>
  <si>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</si>
  <si>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</si>
  <si>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</si>
  <si>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</si>
  <si>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</si>
  <si>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</si>
  <si>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</si>
  <si>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</si>
  <si>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</si>
  <si>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</si>
  <si>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</si>
  <si>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</si>
  <si>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</si>
  <si>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</si>
  <si>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</si>
  <si>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</si>
  <si>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</si>
  <si>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</si>
  <si>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</si>
  <si>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</si>
  <si>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</si>
  <si>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</si>
  <si>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</si>
  <si>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</si>
  <si>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</si>
  <si>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</si>
  <si>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</si>
  <si>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</si>
  <si>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</si>
  <si>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</si>
  <si>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</si>
  <si>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</si>
  <si>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</si>
  <si>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</si>
  <si>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</si>
  <si>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</si>
  <si>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</si>
  <si>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</si>
  <si>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</si>
  <si>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</si>
  <si>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</si>
  <si>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</si>
  <si>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</si>
  <si>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</si>
  <si>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</si>
  <si>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</si>
  <si>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</si>
  <si>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</si>
  <si>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</si>
  <si>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</si>
  <si>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</si>
  <si>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</si>
  <si>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</si>
  <si>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</si>
  <si>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</si>
  <si>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</si>
  <si>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</si>
  <si>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</si>
  <si>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</si>
  <si>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</si>
  <si>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</si>
  <si>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</si>
  <si>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</si>
  <si>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</si>
  <si>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</si>
  <si>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</si>
  <si>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</si>
  <si>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</si>
  <si>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</si>
  <si>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</si>
  <si>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</si>
  <si>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</si>
  <si>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</si>
  <si>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</si>
  <si>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</si>
  <si>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</si>
  <si>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</si>
  <si>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</si>
  <si>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</si>
  <si>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</si>
  <si>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</si>
  <si>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</si>
  <si>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</si>
  <si>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</si>
  <si>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</si>
  <si>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</si>
  <si>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</si>
  <si>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</si>
  <si>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</si>
  <si>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</si>
  <si>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</si>
  <si>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</si>
  <si>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</si>
  <si>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</si>
  <si>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</si>
  <si>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</si>
  <si>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</si>
  <si>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</si>
  <si>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</si>
  <si>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</si>
  <si>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</si>
  <si>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</si>
  <si>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</si>
  <si>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</si>
  <si>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</si>
  <si>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</si>
  <si>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</si>
  <si>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</si>
  <si>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</si>
  <si>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</si>
  <si>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</si>
  <si>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</si>
  <si>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</si>
  <si>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</si>
  <si>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</si>
  <si>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</si>
  <si>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</si>
  <si>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</si>
  <si>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</si>
  <si>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</si>
  <si>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</si>
  <si>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</si>
  <si>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</si>
  <si>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</si>
  <si>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</si>
  <si>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</si>
  <si>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</si>
  <si>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</si>
  <si>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</si>
  <si>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</si>
  <si>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</si>
  <si>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</si>
  <si>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</si>
  <si>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</si>
  <si>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</si>
  <si>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</si>
  <si>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</si>
  <si>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</si>
  <si>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</si>
  <si>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</si>
  <si>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</si>
  <si>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</si>
  <si>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</si>
  <si>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</si>
  <si>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</si>
  <si>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</si>
  <si>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</si>
  <si>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</si>
  <si>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</si>
  <si>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</si>
  <si>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</si>
  <si>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</si>
  <si>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</si>
  <si>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</si>
  <si>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</si>
  <si>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</si>
  <si>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</si>
  <si>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</si>
  <si>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</si>
  <si>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</si>
  <si>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</si>
  <si>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</si>
  <si>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</si>
  <si>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</si>
  <si>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</si>
  <si>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</si>
  <si>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</si>
  <si>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</si>
  <si>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</si>
  <si>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</si>
  <si>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</si>
  <si>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</si>
  <si>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</si>
  <si>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</si>
  <si>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</si>
  <si>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</si>
  <si>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</si>
  <si>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</si>
  <si>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</si>
  <si>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</si>
  <si>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</si>
  <si>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</si>
  <si>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</si>
  <si>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</si>
  <si>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</si>
  <si>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</si>
  <si>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</si>
  <si>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</si>
  <si>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</si>
  <si>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</si>
  <si>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</si>
  <si>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</si>
  <si>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</si>
  <si>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</si>
  <si>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</si>
  <si>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</si>
  <si>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</si>
  <si>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</si>
  <si>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</si>
  <si>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</si>
  <si>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</si>
  <si>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</si>
  <si>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</si>
  <si>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</si>
  <si>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</si>
  <si>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</si>
  <si>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</si>
  <si>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</si>
  <si>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</si>
  <si>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</si>
  <si>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</si>
  <si>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</si>
  <si>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</si>
  <si>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</si>
  <si>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</si>
  <si>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</si>
  <si>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</si>
  <si>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</si>
  <si>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</si>
  <si>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</si>
  <si>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</si>
  <si>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</si>
  <si>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</si>
  <si>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</si>
  <si>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</si>
  <si>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</si>
  <si>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</si>
  <si>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</si>
  <si>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</si>
  <si>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</si>
  <si>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</si>
  <si>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</si>
  <si>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</si>
  <si>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</si>
  <si>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</si>
  <si>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</si>
  <si>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</si>
  <si>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</si>
  <si>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</si>
  <si>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</si>
  <si>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</si>
  <si>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</si>
  <si>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</si>
  <si>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</si>
  <si>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</si>
  <si>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</si>
  <si>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</si>
  <si>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</si>
  <si>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</si>
  <si>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</si>
  <si>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</si>
  <si>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</si>
  <si>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</si>
  <si>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</si>
  <si>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</si>
  <si>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</si>
  <si>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</si>
  <si>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</si>
  <si>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</si>
  <si>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</si>
  <si>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</si>
  <si>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</si>
  <si>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</si>
  <si>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</si>
  <si>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</si>
  <si>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</si>
  <si>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</si>
  <si>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</si>
  <si>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</si>
  <si>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</si>
  <si>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</si>
  <si>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</si>
  <si>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</si>
  <si>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</si>
  <si>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</si>
  <si>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</si>
  <si>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</si>
  <si>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</si>
  <si>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</si>
  <si>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</si>
  <si>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</si>
  <si>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</si>
  <si>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</si>
  <si>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</si>
  <si>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</si>
  <si>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</si>
  <si>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</si>
  <si>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</si>
  <si>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</si>
  <si>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</si>
  <si>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</si>
  <si>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</si>
  <si>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</si>
  <si>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</si>
  <si>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</si>
  <si>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</si>
  <si>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</si>
  <si>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</si>
  <si>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</si>
  <si>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</si>
  <si>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</si>
  <si>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</si>
  <si>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</si>
  <si>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</si>
  <si>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</si>
  <si>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</si>
  <si>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</si>
  <si>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</si>
  <si>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</si>
  <si>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</si>
  <si>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</si>
  <si>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</si>
  <si>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</si>
  <si>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</si>
  <si>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</si>
  <si>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</si>
  <si>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</si>
  <si>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</si>
  <si>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</si>
  <si>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</si>
  <si>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</si>
  <si>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</si>
  <si>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</si>
  <si>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</si>
  <si>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</si>
  <si>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</si>
  <si>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</si>
  <si>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</si>
  <si>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</si>
  <si>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</si>
  <si>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</si>
  <si>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</si>
  <si>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</si>
  <si>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</si>
  <si>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</si>
  <si>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</si>
  <si>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</si>
  <si>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</si>
  <si>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</si>
  <si>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</si>
  <si>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</si>
  <si>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</si>
  <si>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</si>
  <si>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</si>
  <si>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</si>
  <si>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</si>
  <si>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</si>
  <si>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</si>
  <si>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</si>
  <si>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</si>
  <si>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</si>
  <si>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</si>
  <si>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</si>
  <si>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</si>
  <si>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</si>
  <si>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</si>
  <si>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</si>
  <si>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</si>
  <si>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</si>
  <si>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</si>
  <si>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</si>
  <si>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</si>
  <si>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</si>
  <si>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</si>
  <si>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</si>
  <si>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</si>
  <si>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</si>
  <si>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</si>
  <si>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</si>
  <si>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</si>
  <si>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</si>
  <si>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</si>
  <si>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</si>
  <si>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</si>
  <si>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</si>
  <si>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</si>
  <si>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</si>
  <si>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</si>
  <si>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</si>
  <si>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</si>
  <si>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</si>
  <si>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</si>
  <si>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</si>
  <si>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</si>
  <si>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</si>
  <si>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</si>
  <si>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</si>
  <si>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</si>
  <si>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</si>
  <si>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</si>
  <si>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</si>
  <si>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</si>
  <si>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</si>
  <si>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</si>
  <si>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</si>
  <si>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</si>
  <si>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</si>
  <si>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</si>
  <si>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</si>
  <si>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</si>
  <si>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</si>
  <si>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</si>
  <si>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</si>
  <si>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</si>
  <si>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</si>
  <si>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</si>
  <si>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</si>
  <si>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</si>
  <si>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</si>
  <si>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</si>
  <si>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</si>
  <si>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</si>
  <si>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</si>
  <si>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</si>
  <si>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</si>
  <si>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</si>
  <si>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</si>
  <si>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</si>
  <si>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</si>
  <si>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</si>
  <si>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</si>
  <si>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</si>
  <si>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</si>
  <si>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</si>
  <si>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</si>
  <si>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</si>
  <si>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</si>
  <si>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</si>
  <si>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</si>
  <si>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</si>
  <si>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</si>
  <si>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</si>
  <si>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</si>
  <si>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</si>
  <si>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</si>
  <si>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</si>
  <si>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</si>
  <si>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</si>
  <si>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</si>
  <si>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</si>
  <si>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</si>
  <si>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</si>
  <si>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</si>
  <si>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</si>
  <si>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</si>
  <si>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</si>
  <si>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</si>
  <si>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</si>
  <si>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</si>
  <si>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</si>
  <si>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</si>
  <si>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</si>
  <si>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</si>
  <si>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</si>
  <si>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</si>
  <si>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</si>
  <si>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</si>
  <si>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</si>
  <si>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</si>
  <si>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</si>
  <si>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</si>
  <si>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</si>
  <si>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</si>
  <si>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</si>
  <si>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</si>
  <si>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</si>
  <si>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</si>
  <si>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</si>
  <si>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</si>
  <si>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</si>
  <si>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</si>
  <si>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</si>
  <si>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</si>
  <si>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</si>
  <si>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</si>
  <si>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</si>
  <si>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</si>
  <si>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</si>
  <si>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</si>
  <si>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</si>
  <si>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</si>
  <si>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</si>
  <si>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</si>
  <si>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</si>
  <si>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</si>
  <si>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</si>
  <si>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</si>
  <si>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</si>
  <si>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</si>
  <si>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</si>
  <si>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</si>
  <si>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</si>
  <si>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</si>
  <si>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</si>
  <si>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</si>
  <si>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</si>
  <si>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</si>
  <si>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</si>
  <si>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</si>
  <si>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</si>
  <si>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</si>
  <si>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</si>
  <si>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</si>
  <si>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</si>
  <si>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</si>
  <si>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</si>
  <si>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</si>
  <si>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</si>
  <si>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</si>
  <si>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</si>
  <si>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</si>
  <si>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</si>
  <si>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</si>
  <si>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</si>
  <si>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</si>
  <si>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</si>
  <si>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</si>
  <si>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</si>
  <si>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</si>
  <si>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</si>
  <si>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</si>
  <si>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</si>
  <si>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</si>
  <si>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</si>
  <si>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</si>
  <si>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</si>
  <si>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</si>
  <si>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</si>
  <si>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</si>
  <si>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</si>
  <si>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</si>
  <si>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</si>
  <si>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</si>
  <si>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</si>
  <si>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</si>
  <si>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</si>
  <si>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</si>
  <si>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</si>
  <si>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</si>
  <si>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</si>
  <si>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</si>
  <si>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</si>
  <si>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</si>
  <si>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</si>
  <si>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</si>
  <si>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</si>
  <si>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</si>
  <si>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</si>
  <si>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</si>
  <si>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</si>
  <si>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</si>
  <si>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</si>
  <si>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</si>
  <si>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</si>
  <si>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</si>
  <si>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</si>
  <si>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</si>
  <si>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</si>
  <si>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</si>
  <si>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</si>
  <si>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</si>
  <si>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</si>
  <si>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</si>
  <si>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</si>
  <si>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</si>
  <si>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</si>
  <si>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</si>
  <si>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</si>
  <si>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</si>
  <si>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</si>
  <si>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</si>
  <si>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</si>
  <si>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</si>
  <si>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</si>
  <si>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</si>
  <si>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</si>
  <si>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</si>
  <si>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</si>
  <si>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</si>
  <si>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</si>
  <si>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</si>
  <si>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</si>
  <si>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</si>
  <si>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</si>
  <si>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</si>
  <si>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</si>
  <si>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</si>
  <si>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</si>
  <si>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</si>
  <si>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</si>
  <si>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</si>
  <si>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</si>
  <si>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</si>
  <si>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</si>
  <si>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</si>
  <si>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</si>
  <si>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</si>
  <si>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</si>
  <si>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</si>
  <si>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</si>
  <si>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</si>
  <si>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</si>
  <si>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</si>
  <si>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</si>
  <si>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</si>
  <si>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</si>
  <si>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</si>
  <si>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</si>
  <si>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</si>
  <si>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</si>
  <si>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</si>
  <si>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</si>
  <si>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</si>
  <si>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</si>
  <si>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</si>
  <si>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</si>
  <si>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</si>
  <si>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</si>
  <si>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</si>
  <si>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</si>
  <si>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</si>
  <si>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</si>
  <si>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</si>
  <si>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</si>
  <si>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</si>
  <si>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</si>
  <si>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</si>
  <si>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</si>
  <si>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</si>
  <si>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</si>
  <si>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</si>
  <si>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</si>
  <si>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</si>
  <si>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</si>
  <si>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</si>
  <si>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</si>
  <si>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</si>
  <si>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</si>
  <si>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</si>
  <si>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</si>
  <si>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</si>
  <si>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</si>
  <si>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</si>
  <si>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</si>
  <si>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</si>
  <si>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</si>
  <si>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</si>
  <si>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</si>
  <si>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</si>
  <si>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</si>
  <si>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</si>
  <si>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</si>
  <si>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</si>
  <si>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</si>
  <si>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</si>
  <si>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</si>
  <si>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</si>
  <si>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</si>
  <si>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</si>
  <si>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</si>
  <si>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</si>
  <si>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</si>
  <si>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</si>
  <si>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</si>
  <si>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</si>
  <si>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</si>
  <si>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</si>
  <si>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</si>
  <si>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</si>
  <si>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</si>
  <si>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</si>
  <si>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</si>
  <si>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</si>
  <si>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</si>
  <si>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</si>
  <si>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</si>
  <si>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</si>
  <si>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</si>
  <si>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</si>
  <si>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</si>
  <si>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</si>
  <si>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</si>
  <si>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</si>
  <si>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</si>
  <si>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</si>
  <si>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</si>
  <si>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</si>
  <si>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</si>
  <si>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</si>
  <si>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</si>
  <si>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</si>
  <si>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</si>
  <si>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</si>
  <si>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</si>
  <si>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</si>
  <si>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</si>
  <si>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</si>
  <si>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</si>
  <si>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</si>
  <si>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</si>
  <si>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</si>
  <si>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</si>
  <si>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</si>
  <si>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</si>
  <si>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</si>
  <si>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</si>
  <si>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</si>
  <si>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</si>
  <si>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</si>
  <si>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</si>
  <si>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</si>
  <si>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</si>
  <si>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</si>
  <si>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</si>
  <si>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</si>
  <si>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</si>
  <si>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</si>
  <si>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</si>
  <si>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</si>
  <si>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</si>
  <si>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</si>
  <si>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</si>
  <si>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</si>
  <si>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</si>
  <si>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</si>
  <si>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</si>
  <si>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</si>
  <si>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</si>
  <si>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</si>
  <si>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</si>
  <si>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</si>
  <si>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</si>
  <si>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</si>
  <si>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</si>
  <si>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</si>
  <si>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</si>
  <si>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</si>
  <si>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</si>
  <si>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</si>
  <si>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</si>
  <si>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</si>
  <si>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</si>
  <si>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</si>
  <si>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</si>
  <si>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</si>
  <si>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</si>
  <si>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</si>
  <si>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</si>
  <si>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</si>
  <si>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</si>
  <si>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</si>
  <si>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</si>
  <si>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</si>
  <si>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</si>
  <si>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</si>
  <si>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</si>
  <si>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</si>
  <si>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</si>
  <si>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</si>
  <si>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</si>
  <si>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</si>
  <si>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</si>
  <si>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</si>
  <si>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</si>
  <si>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</si>
  <si>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</si>
  <si>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</si>
  <si>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</si>
  <si>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</si>
  <si>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</si>
  <si>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</si>
  <si>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</si>
  <si>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</si>
  <si>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</si>
  <si>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</si>
  <si>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</si>
  <si>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</si>
  <si>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</si>
  <si>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</si>
  <si>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</si>
  <si>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</si>
  <si>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</si>
  <si>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</si>
  <si>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</si>
  <si>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</si>
  <si>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</si>
  <si>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</si>
  <si>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</si>
  <si>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</si>
  <si>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</si>
  <si>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</si>
  <si>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</si>
  <si>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</si>
  <si>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</si>
  <si>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</si>
  <si>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</si>
  <si>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</si>
  <si>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</si>
  <si>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</si>
  <si>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</si>
  <si>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</si>
  <si>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</si>
  <si>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</si>
  <si>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</si>
  <si>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</si>
  <si>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</si>
  <si>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</si>
  <si>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</si>
  <si>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</si>
  <si>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</si>
  <si>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</si>
  <si>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</si>
  <si>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</si>
  <si>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</si>
  <si>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</si>
  <si>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</si>
  <si>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</si>
  <si>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</si>
  <si>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</si>
  <si>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</si>
  <si>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</si>
  <si>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</si>
  <si>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</si>
  <si>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</si>
  <si>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</si>
  <si>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</si>
  <si>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</si>
  <si>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</si>
  <si>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</si>
  <si>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</si>
  <si>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</si>
  <si>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</si>
  <si>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</si>
  <si>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</si>
  <si>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</si>
  <si>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</si>
  <si>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</si>
  <si>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</si>
  <si>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</si>
  <si>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</si>
  <si>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</si>
  <si>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</si>
  <si>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</si>
  <si>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</si>
  <si>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</si>
  <si>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</si>
  <si>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</si>
  <si>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</si>
  <si>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</si>
  <si>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</si>
  <si>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</si>
  <si>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</si>
  <si>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</si>
  <si>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</si>
  <si>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</si>
  <si>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</si>
  <si>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</si>
  <si>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</si>
  <si>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</si>
  <si>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</si>
  <si>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</si>
  <si>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</si>
  <si>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</si>
  <si>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</si>
  <si>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</si>
  <si>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</si>
  <si>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</si>
  <si>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</si>
  <si>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</si>
  <si>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</si>
  <si>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</si>
  <si>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</si>
  <si>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</si>
  <si>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</si>
  <si>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</si>
  <si>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</si>
  <si>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</si>
  <si>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</si>
  <si>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</si>
  <si>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</si>
  <si>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</si>
  <si>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</si>
  <si>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</si>
  <si>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</si>
  <si>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</si>
  <si>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</si>
  <si>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</si>
  <si>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</si>
  <si>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</si>
  <si>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</si>
  <si>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</si>
  <si>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</si>
  <si>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</si>
  <si>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</si>
  <si>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</si>
  <si>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</si>
  <si>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</si>
  <si>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</si>
  <si>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</si>
  <si>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</si>
  <si>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</si>
  <si>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</si>
  <si>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</si>
  <si>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</si>
  <si>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</si>
  <si>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</si>
  <si>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</si>
  <si>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</si>
  <si>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</si>
  <si>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</si>
  <si>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</si>
  <si>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</si>
  <si>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</si>
  <si>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</si>
  <si>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</si>
  <si>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</si>
  <si>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</si>
  <si>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</si>
  <si>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</si>
  <si>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</si>
  <si>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</si>
  <si>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</si>
  <si>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</si>
  <si>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</si>
  <si>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</si>
  <si>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</si>
  <si>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</si>
  <si>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</si>
  <si>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</si>
  <si>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</si>
  <si>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</si>
  <si>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</si>
  <si>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</si>
  <si>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</si>
  <si>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</si>
  <si>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</si>
  <si>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</si>
  <si>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</si>
  <si>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</si>
  <si>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</si>
  <si>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</si>
  <si>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</si>
  <si>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</si>
  <si>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</si>
  <si>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</si>
  <si>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</si>
  <si>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</si>
  <si>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</si>
  <si>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</si>
  <si>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</si>
  <si>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</si>
  <si>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</si>
  <si>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</si>
  <si>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</si>
  <si>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</si>
  <si>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</si>
  <si>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</si>
  <si>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</si>
  <si>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</si>
  <si>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</si>
  <si>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</si>
  <si>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</si>
  <si>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</si>
  <si>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</si>
  <si>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</si>
  <si>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</si>
  <si>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</si>
  <si>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</si>
  <si>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</si>
  <si>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</si>
  <si>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</si>
  <si>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</si>
  <si>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</si>
  <si>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</si>
  <si>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</si>
  <si>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</si>
  <si>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</si>
  <si>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</si>
  <si>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</si>
  <si>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</si>
  <si>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</si>
  <si>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</si>
  <si>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</si>
  <si>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</si>
  <si>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</si>
  <si>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</si>
  <si>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</si>
  <si>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</si>
  <si>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</si>
  <si>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</si>
  <si>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</si>
  <si>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</si>
  <si>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</si>
  <si>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</si>
  <si>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</si>
  <si>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</si>
  <si>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</si>
  <si>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</si>
  <si>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</si>
  <si>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</si>
  <si>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</si>
  <si>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</si>
  <si>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</si>
  <si>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</si>
  <si>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</si>
  <si>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</si>
  <si>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</si>
  <si>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</si>
  <si>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</si>
  <si>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</si>
  <si>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</si>
  <si>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</si>
  <si>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</si>
  <si>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</si>
  <si>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</si>
  <si>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</si>
  <si>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</si>
  <si>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</si>
  <si>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</si>
  <si>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</si>
  <si>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</si>
  <si>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</si>
  <si>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</si>
  <si>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</si>
  <si>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</si>
  <si>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</si>
  <si>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</si>
  <si>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</si>
  <si>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</si>
  <si>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</si>
  <si>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</si>
  <si>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</si>
  <si>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</si>
  <si>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</si>
  <si>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</si>
  <si>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</si>
  <si>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</si>
  <si>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</si>
  <si>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</si>
  <si>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</si>
  <si>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</si>
  <si>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</si>
  <si>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</si>
  <si>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</si>
  <si>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</si>
  <si>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</si>
  <si>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</si>
  <si>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</si>
  <si>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</si>
  <si>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</si>
  <si>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</si>
  <si>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</si>
  <si>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</si>
  <si>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</si>
  <si>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</si>
  <si>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</si>
  <si>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</si>
  <si>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</si>
  <si>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</si>
  <si>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</si>
  <si>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</si>
  <si>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</si>
  <si>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</si>
  <si>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</si>
  <si>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</si>
  <si>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</si>
  <si>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</si>
  <si>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</si>
  <si>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</si>
  <si>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</si>
  <si>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</si>
  <si>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</si>
  <si>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</si>
  <si>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</si>
  <si>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</si>
  <si>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</si>
  <si>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</si>
  <si>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</si>
  <si>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</si>
  <si>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</si>
  <si>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</si>
  <si>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</si>
  <si>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</si>
  <si>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</si>
  <si>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</si>
  <si>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</si>
  <si>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</si>
  <si>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</si>
  <si>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</si>
  <si>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</si>
  <si>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</si>
  <si>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</si>
  <si>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</si>
  <si>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</si>
  <si>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</si>
  <si>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</si>
  <si>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</si>
  <si>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</si>
  <si>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</si>
  <si>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</si>
  <si>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</si>
  <si>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</si>
  <si>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</si>
  <si>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</si>
  <si>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</si>
  <si>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</si>
  <si>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</si>
  <si>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</si>
  <si>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</si>
  <si>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</si>
  <si>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</si>
  <si>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</si>
  <si>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</si>
  <si>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</si>
  <si>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</si>
  <si>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</si>
  <si>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</si>
  <si>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</si>
  <si>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</si>
  <si>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</si>
  <si>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</si>
  <si>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</si>
  <si>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</si>
  <si>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</si>
  <si>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</si>
  <si>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</si>
  <si>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</si>
  <si>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</si>
  <si>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</si>
  <si>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</si>
  <si>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</si>
  <si>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</si>
  <si>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</si>
  <si>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</si>
  <si>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</si>
  <si>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</si>
  <si>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</si>
  <si>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</si>
  <si>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</si>
  <si>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</si>
  <si>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</si>
  <si>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</si>
  <si>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</si>
  <si>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</si>
  <si>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</si>
  <si>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</si>
  <si>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</si>
  <si>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</si>
  <si>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</si>
  <si>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</si>
  <si>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</si>
  <si>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</si>
  <si>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</si>
  <si>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</si>
  <si>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</si>
  <si>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</si>
  <si>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</si>
  <si>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</si>
  <si>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</si>
  <si>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</si>
  <si>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</si>
  <si>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</si>
  <si>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</si>
  <si>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</si>
  <si>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</si>
  <si>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</si>
  <si>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</si>
  <si>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</si>
  <si>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</si>
  <si>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</si>
  <si>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</si>
  <si>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</si>
  <si>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</si>
  <si>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</si>
  <si>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</si>
  <si>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</si>
  <si>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</si>
  <si>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</si>
  <si>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</si>
  <si>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</si>
  <si>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</si>
  <si>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</si>
  <si>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</si>
  <si>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</si>
  <si>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</si>
  <si>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</si>
  <si>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</si>
  <si>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</si>
  <si>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</si>
  <si>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</si>
  <si>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</si>
  <si>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</si>
  <si>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</si>
  <si>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</si>
  <si>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</si>
  <si>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</si>
  <si>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</si>
  <si>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</si>
  <si>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</si>
  <si>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</si>
  <si>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</si>
  <si>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</si>
  <si>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</si>
  <si>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</si>
  <si>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</si>
  <si>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</si>
  <si>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</si>
  <si>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</si>
  <si>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</si>
  <si>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</si>
  <si>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</si>
  <si>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</si>
  <si>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</si>
  <si>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</si>
  <si>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</si>
  <si>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</si>
  <si>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</si>
  <si>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</si>
  <si>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</si>
  <si>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</si>
  <si>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</si>
  <si>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</si>
  <si>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</si>
  <si>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</si>
  <si>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</si>
  <si>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</si>
  <si>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</si>
  <si>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</si>
  <si>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</si>
  <si>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</si>
  <si>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</si>
  <si>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</si>
  <si>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</si>
  <si>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</si>
  <si>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</si>
  <si>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</si>
  <si>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</si>
  <si>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</si>
  <si>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</si>
  <si>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</si>
  <si>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</si>
  <si>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</si>
  <si>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</si>
  <si>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</si>
  <si>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</si>
  <si>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</si>
  <si>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</si>
  <si>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</si>
  <si>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</si>
  <si>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</si>
  <si>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</si>
  <si>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</si>
  <si>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</si>
  <si>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</si>
  <si>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</si>
  <si>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</si>
  <si>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</si>
  <si>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</si>
  <si>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</si>
  <si>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</si>
  <si>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</si>
  <si>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</si>
  <si>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</si>
  <si>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</si>
  <si>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</si>
  <si>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</si>
  <si>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</si>
  <si>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</si>
  <si>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</si>
  <si>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</si>
  <si>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</si>
  <si>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</si>
  <si>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</si>
  <si>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</si>
  <si>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</si>
  <si>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</si>
  <si>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</si>
  <si>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</si>
  <si>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</si>
  <si>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</si>
  <si>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</si>
  <si>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</si>
  <si>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</si>
  <si>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</si>
  <si>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</si>
  <si>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</si>
  <si>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</si>
  <si>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</si>
  <si>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</si>
  <si>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</si>
  <si>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</si>
  <si>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</si>
  <si>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</si>
  <si>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</si>
  <si>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</si>
  <si>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</si>
  <si>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</si>
  <si>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</si>
  <si>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</si>
  <si>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</si>
  <si>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</si>
  <si>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</si>
  <si>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</si>
  <si>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</si>
  <si>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</si>
  <si>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</si>
  <si>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</si>
  <si>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</si>
  <si>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</si>
  <si>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</si>
  <si>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</si>
  <si>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</si>
  <si>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</si>
  <si>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</si>
  <si>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</si>
  <si>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</si>
  <si>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</si>
  <si>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</si>
  <si>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</si>
  <si>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</si>
  <si>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</si>
  <si>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</si>
  <si>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</si>
  <si>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</si>
  <si>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</si>
  <si>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</si>
  <si>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</si>
  <si>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</si>
  <si>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</si>
  <si>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</si>
  <si>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</si>
  <si>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</si>
  <si>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</si>
  <si>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</si>
  <si>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</si>
  <si>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</si>
  <si>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</si>
  <si>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</si>
  <si>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</si>
  <si>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</si>
  <si>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</si>
  <si>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</si>
  <si>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</si>
  <si>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</si>
  <si>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</si>
  <si>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</si>
  <si>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</si>
  <si>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</si>
  <si>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</si>
  <si>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</si>
  <si>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</si>
  <si>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</si>
  <si>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</si>
  <si>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</si>
  <si>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</si>
  <si>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</si>
  <si>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</si>
  <si>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</si>
  <si>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</si>
  <si>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</si>
  <si>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</si>
  <si>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</si>
  <si>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</si>
  <si>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</si>
  <si>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</si>
  <si>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</si>
  <si>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</si>
  <si>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</si>
  <si>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</si>
  <si>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</si>
  <si>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</si>
  <si>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</si>
  <si>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</si>
  <si>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</si>
  <si>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</si>
  <si>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</si>
  <si>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</si>
  <si>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</si>
  <si>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</si>
  <si>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</si>
  <si>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</si>
  <si>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</si>
  <si>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</si>
  <si>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</si>
  <si>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</si>
  <si>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</si>
  <si>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</si>
  <si>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</si>
  <si>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</si>
  <si>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</si>
  <si>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</si>
  <si>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</si>
  <si>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</si>
  <si>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</si>
  <si>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</si>
  <si>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</si>
  <si>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</si>
  <si>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</si>
  <si>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</si>
  <si>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</si>
  <si>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</si>
  <si>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</si>
  <si>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</si>
  <si>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</si>
  <si>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</si>
  <si>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</si>
  <si>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</si>
  <si>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</si>
  <si>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</si>
  <si>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</si>
  <si>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</si>
  <si>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</si>
  <si>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</si>
  <si>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</si>
  <si>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</si>
  <si>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</si>
  <si>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</si>
  <si>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</si>
  <si>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</si>
  <si>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</si>
  <si>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</si>
  <si>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</si>
  <si>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</si>
  <si>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</si>
  <si>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</si>
  <si>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</si>
  <si>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</si>
  <si>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</si>
  <si>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</si>
  <si>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</si>
  <si>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</si>
  <si>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</si>
  <si>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</si>
  <si>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</si>
  <si>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</si>
  <si>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</si>
  <si>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</si>
  <si>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</si>
  <si>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</si>
  <si>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</si>
  <si>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</si>
  <si>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</si>
  <si>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</si>
  <si>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</si>
  <si>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</si>
  <si>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</si>
  <si>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</si>
  <si>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</si>
  <si>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</si>
  <si>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</si>
  <si>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</si>
  <si>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</si>
  <si>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</si>
  <si>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</si>
  <si>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</si>
  <si>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</si>
  <si>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</si>
  <si>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</si>
  <si>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</si>
  <si>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</si>
  <si>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</si>
  <si>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</si>
  <si>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</si>
  <si>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</si>
  <si>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</si>
  <si>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</si>
  <si>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</si>
  <si>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</si>
  <si>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</si>
  <si>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</si>
  <si>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</si>
  <si>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</si>
  <si>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</si>
  <si>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</si>
  <si>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</si>
  <si>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</si>
  <si>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</si>
  <si>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</si>
  <si>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</si>
  <si>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</si>
  <si>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</si>
  <si>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</si>
  <si>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</si>
  <si>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</si>
  <si>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</si>
  <si>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</si>
  <si>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</si>
  <si>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</si>
  <si>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</si>
  <si>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</si>
  <si>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</si>
  <si>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</si>
  <si>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</si>
  <si>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</si>
  <si>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</si>
  <si>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</si>
  <si>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</si>
  <si>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</si>
  <si>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</si>
  <si>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</si>
  <si>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</si>
  <si>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</si>
  <si>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</si>
  <si>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</si>
  <si>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</si>
  <si>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</si>
  <si>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</si>
  <si>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</si>
  <si>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</si>
  <si>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</si>
  <si>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</si>
  <si>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</si>
  <si>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</si>
  <si>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</si>
  <si>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</si>
  <si>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</si>
  <si>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</si>
  <si>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</si>
  <si>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</si>
  <si>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</si>
  <si>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</si>
  <si>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</si>
  <si>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</si>
  <si>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</si>
  <si>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</si>
  <si>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</si>
  <si>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</si>
  <si>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</si>
  <si>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</si>
  <si>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</si>
  <si>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</si>
  <si>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</si>
  <si>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</si>
  <si>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</si>
  <si>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</si>
  <si>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</si>
  <si>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</si>
  <si>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</si>
  <si>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</si>
  <si>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</si>
  <si>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</si>
  <si>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</si>
  <si>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</si>
  <si>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</si>
  <si>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</si>
  <si>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</si>
  <si>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</si>
  <si>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</si>
  <si>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</si>
  <si>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</si>
  <si>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</si>
  <si>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</si>
  <si>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</si>
  <si>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</si>
  <si>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</si>
  <si>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</si>
  <si>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</si>
  <si>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</si>
  <si>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</si>
  <si>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</si>
  <si>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</si>
  <si>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</si>
  <si>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</si>
  <si>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</si>
  <si>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</si>
  <si>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</si>
  <si>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</si>
  <si>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</si>
  <si>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</si>
  <si>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</si>
  <si>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</si>
  <si>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</si>
  <si>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</si>
  <si>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</si>
  <si>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</si>
  <si>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</si>
  <si>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</si>
  <si>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</si>
  <si>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</si>
  <si>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</si>
  <si>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</si>
  <si>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</si>
  <si>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</si>
  <si>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</si>
  <si>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</si>
  <si>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</si>
  <si>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</si>
  <si>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</si>
  <si>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</si>
  <si>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</si>
  <si>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</si>
  <si>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</si>
  <si>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</si>
  <si>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</si>
  <si>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</si>
  <si>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</si>
  <si>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</si>
  <si>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</si>
  <si>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</si>
  <si>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</si>
  <si>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</si>
  <si>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</si>
  <si>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</si>
  <si>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</si>
  <si>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</si>
  <si>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</si>
  <si>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</si>
  <si>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</si>
  <si>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</si>
  <si>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</si>
  <si>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</si>
  <si>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</si>
  <si>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</si>
  <si>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</si>
  <si>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</si>
  <si>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</si>
  <si>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</si>
  <si>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</si>
  <si>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</si>
  <si>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</si>
  <si>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</si>
  <si>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</si>
  <si>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</si>
  <si>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</si>
  <si>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</si>
  <si>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</si>
  <si>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</si>
  <si>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</si>
  <si>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</si>
  <si>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</si>
  <si>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</si>
  <si>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</si>
  <si>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</si>
  <si>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</si>
  <si>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</si>
  <si>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</si>
  <si>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</si>
  <si>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</si>
  <si>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</si>
  <si>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</si>
  <si>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</si>
  <si>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</si>
  <si>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</si>
  <si>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</si>
  <si>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</si>
  <si>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</si>
  <si>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</si>
  <si>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</si>
  <si>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</si>
  <si>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</si>
  <si>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</si>
  <si>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</si>
  <si>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</si>
  <si>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</si>
  <si>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</si>
  <si>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</si>
  <si>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</si>
  <si>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</si>
  <si>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</si>
  <si>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</si>
  <si>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</si>
  <si>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</si>
  <si>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</si>
  <si>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</si>
  <si>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</si>
  <si>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</si>
  <si>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</si>
  <si>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</si>
  <si>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</si>
  <si>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</si>
  <si>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</si>
  <si>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</si>
  <si>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</si>
  <si>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</si>
  <si>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</si>
  <si>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</si>
  <si>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</si>
  <si>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</si>
  <si>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</si>
  <si>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</si>
  <si>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</si>
  <si>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</si>
  <si>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</si>
  <si>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</si>
  <si>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</si>
  <si>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</si>
  <si>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</si>
  <si>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</si>
  <si>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</si>
  <si>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</si>
  <si>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</si>
  <si>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</si>
  <si>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</si>
  <si>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</si>
  <si>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</si>
  <si>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</si>
  <si>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</si>
  <si>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</si>
  <si>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</si>
  <si>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</si>
  <si>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</si>
  <si>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</si>
  <si>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</si>
  <si>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</si>
  <si>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</si>
  <si>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</si>
  <si>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</si>
  <si>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</si>
  <si>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</si>
  <si>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</si>
  <si>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</si>
  <si>
    <t>预评两部分</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</si>
</sst>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01">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190"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179" fontId="62" fillId="3" borderId="2" xfId="0" applyNumberFormat="1"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2"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0" borderId="1" xfId="0" applyFont="1" applyFill="1" applyBorder="1" applyAlignment="1">
      <alignment horizontal="center" vertical="center"/>
    </xf>
    <xf numFmtId="0" fontId="14" fillId="3"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6" fillId="3" borderId="1" xfId="0" applyNumberFormat="1"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12" fillId="0" borderId="0" xfId="5" applyFont="1" applyAlignment="1">
      <alignment horizontal="center" vertical="center"/>
    </xf>
    <xf numFmtId="0" fontId="4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45" fillId="0" borderId="0" xfId="5" applyFont="1" applyAlignment="1">
      <alignment horizontal="center"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0854;&#20182;&#22303;&#223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57742.73</v>
          </cell>
          <cell r="D14">
            <v>3004</v>
          </cell>
          <cell r="G14">
            <v>3004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郑燚（注册号：1120070131)、崔锴（注册号：0)</v>
      </c>
    </row>
    <row r="5" spans="1:2" s="2951" customFormat="1">
      <c r="A5" s="2963" t="s">
        <v>5</v>
      </c>
      <c r="B5" s="2964" t="str">
        <f>'预评函-封皮'!B49</f>
        <v>康正预评字2019-1-0105-P01DYGJ1号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2019年3月7日（评估专业人员实地查勘之日）</v>
      </c>
    </row>
    <row r="13" spans="1:2" s="2953" customFormat="1">
      <c r="A13" s="2961" t="s">
        <v>13</v>
      </c>
      <c r="B13" s="2962"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5401</v>
      </c>
    </row>
    <row r="21" spans="1:2" s="2953" customFormat="1">
      <c r="A21" s="2961" t="s">
        <v>21</v>
      </c>
      <c r="B21" s="2962">
        <f ca="1">'预评函-2'!D7</f>
        <v>3003</v>
      </c>
    </row>
    <row r="22" spans="1:2" s="2953" customFormat="1">
      <c r="A22" s="2961" t="s">
        <v>22</v>
      </c>
      <c r="B22" s="2962" t="str">
        <f ca="1">'预评函-2'!D6</f>
        <v>伍仟肆佰零壹万元整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5401</v>
      </c>
    </row>
    <row r="31" spans="1:2" s="2953" customFormat="1">
      <c r="A31" s="2961" t="s">
        <v>31</v>
      </c>
      <c r="B31" s="2962">
        <f ca="1">'预评函-2'!D15</f>
        <v>3003</v>
      </c>
    </row>
    <row r="32" spans="1:2" s="2953" customFormat="1">
      <c r="A32" s="2961" t="s">
        <v>32</v>
      </c>
      <c r="B32" s="2962" t="str">
        <f ca="1">'预评函-2'!D14</f>
        <v>伍仟肆佰零壹万元整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1059</v>
      </c>
    </row>
    <row r="48" spans="1:2" s="2953" customFormat="1">
      <c r="A48" s="2961" t="s">
        <v>48</v>
      </c>
      <c r="B48" s="2962">
        <f ca="1">'预评函-3'!E4</f>
        <v>589</v>
      </c>
    </row>
    <row r="49" spans="1:2" s="2953" customFormat="1">
      <c r="A49" s="2961" t="s">
        <v>49</v>
      </c>
      <c r="B49" s="2962" t="str">
        <f ca="1">'预评函-3'!D5</f>
        <v>壹仟零伍拾玖万元整</v>
      </c>
    </row>
    <row r="50" spans="1:2" s="2953" customFormat="1">
      <c r="A50" s="2961" t="s">
        <v>50</v>
      </c>
      <c r="B50" s="2962" t="str">
        <f>'预评函-3'!F2</f>
        <v>在建建筑物价值</v>
      </c>
    </row>
    <row r="51" spans="1:2" s="2953" customFormat="1">
      <c r="A51" s="2961" t="s">
        <v>51</v>
      </c>
      <c r="B51" s="2962">
        <f ca="1">'预评函-3'!F4</f>
        <v>4342</v>
      </c>
    </row>
    <row r="52" spans="1:2" s="2953" customFormat="1">
      <c r="A52" s="2961" t="s">
        <v>52</v>
      </c>
      <c r="B52" s="2962">
        <f ca="1">'预评函-3'!G4</f>
        <v>2414</v>
      </c>
    </row>
    <row r="53" spans="1:2" s="2953" customFormat="1">
      <c r="A53" s="2961" t="s">
        <v>53</v>
      </c>
      <c r="B53" s="2962" t="str">
        <f ca="1">'预评函-3'!F5</f>
        <v>肆仟叁佰肆拾贰万元整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1120070131</v>
      </c>
    </row>
    <row r="72" spans="1:2">
      <c r="A72" s="2961" t="s">
        <v>72</v>
      </c>
      <c r="B72" s="2968" t="str">
        <f>'预评函-4'!A5</f>
        <v>崔锴</v>
      </c>
    </row>
    <row r="73" spans="1:2" s="2951" customFormat="1">
      <c r="A73" s="2963" t="s">
        <v>73</v>
      </c>
      <c r="B73" s="2964">
        <f ca="1">'预评函-4'!B5</f>
        <v>0</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18"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42" t="s">
        <v>323</v>
      </c>
      <c r="C54" s="2830" t="s">
        <v>324</v>
      </c>
    </row>
    <row r="55" spans="1:4">
      <c r="A55" s="3018"/>
      <c r="B55" s="2842" t="s">
        <v>325</v>
      </c>
      <c r="C55" s="2830" t="s">
        <v>326</v>
      </c>
    </row>
    <row r="56" spans="1:4">
      <c r="A56" s="3018"/>
      <c r="B56" s="2842" t="s">
        <v>327</v>
      </c>
      <c r="C56" s="2830" t="s">
        <v>328</v>
      </c>
    </row>
    <row r="57" spans="1:4">
      <c r="A57" s="3018"/>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32" t="str">
        <f>IF(B10="北京市","北京市",C10)&amp;F10&amp;IF(结果表!G1="在建","出让国有建设用地使用权及在建建筑物",IF(结果表!G1="土地","出让国有建设用地使用权",))&amp;B9&amp;"预评估"</f>
        <v>河北省保定市定兴县新107国道东侧房地产抵押价值预评估</v>
      </c>
      <c r="C1" s="3033"/>
      <c r="D1" s="3033"/>
      <c r="E1" s="3033"/>
      <c r="F1" s="3033"/>
      <c r="G1" s="3033"/>
      <c r="H1" s="3033"/>
      <c r="I1" s="3034"/>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t="s">
        <v>333</v>
      </c>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334</v>
      </c>
      <c r="B3" s="2699">
        <v>43531</v>
      </c>
      <c r="C3" s="2700" t="s">
        <v>335</v>
      </c>
      <c r="D3" s="2701">
        <f>B3</f>
        <v>43531</v>
      </c>
      <c r="E3" s="2694"/>
      <c r="F3" s="2694"/>
      <c r="G3" s="2694"/>
      <c r="H3" s="2694"/>
      <c r="I3" s="2694"/>
      <c r="J3" s="2694"/>
      <c r="K3" s="2806"/>
      <c r="L3" s="2807"/>
      <c r="M3" s="2807"/>
      <c r="N3" s="2341"/>
      <c r="O3" s="2607"/>
      <c r="P3" s="2341"/>
      <c r="Q3" s="2341"/>
      <c r="R3" s="2341"/>
      <c r="S3" s="2327"/>
    </row>
    <row r="4" spans="1:19" ht="18" customHeight="1">
      <c r="A4" s="2702" t="s">
        <v>336</v>
      </c>
      <c r="B4" s="2703" t="s">
        <v>190</v>
      </c>
      <c r="C4" s="2704">
        <f ca="1">SUMIF(注册房地产估价师,B4,估价师及机构信息!B3:B24)</f>
        <v>1120070131</v>
      </c>
      <c r="D4" s="2705" t="s">
        <v>189</v>
      </c>
      <c r="E4" s="2706">
        <f ca="1">SUMIF(注册房地产估价师,D4,估价师及机构信息!B3:B24)</f>
        <v>0</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郑燚（注册号：1120070131)、崔锴（注册号：0)</v>
      </c>
      <c r="L4" s="2807"/>
      <c r="M4" s="2807"/>
      <c r="N4" s="2341"/>
      <c r="O4" s="2607"/>
      <c r="P4" s="2341"/>
      <c r="Q4" s="2341"/>
      <c r="R4" s="2341"/>
      <c r="S4" s="2327"/>
    </row>
    <row r="5" spans="1:19" ht="18" customHeight="1">
      <c r="A5" s="2708" t="s">
        <v>337</v>
      </c>
      <c r="B5" s="2709" t="s">
        <v>338</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339</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340</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341</v>
      </c>
      <c r="B8" s="2718" t="s">
        <v>318</v>
      </c>
      <c r="C8" s="2719"/>
      <c r="D8" s="3047" t="s">
        <v>342</v>
      </c>
      <c r="E8" s="2720" t="s">
        <v>323</v>
      </c>
      <c r="F8" s="2721"/>
      <c r="G8" s="2694"/>
      <c r="H8" s="2694"/>
      <c r="I8" s="2694"/>
      <c r="J8" s="2712"/>
      <c r="K8" s="2809"/>
      <c r="L8" s="2807"/>
      <c r="M8" s="2807"/>
      <c r="N8" s="2341"/>
      <c r="O8" s="2607"/>
      <c r="P8" s="2341"/>
      <c r="Q8" s="2341"/>
      <c r="R8" s="2341"/>
    </row>
    <row r="9" spans="1:19" ht="18" customHeight="1">
      <c r="A9" s="2707" t="s">
        <v>343</v>
      </c>
      <c r="B9" s="2722" t="s">
        <v>323</v>
      </c>
      <c r="C9" s="2723"/>
      <c r="D9" s="3048"/>
      <c r="E9" s="2722" t="s">
        <v>124</v>
      </c>
      <c r="F9" s="2724"/>
      <c r="G9" s="2725"/>
      <c r="H9" s="2725"/>
      <c r="I9" s="2725"/>
      <c r="J9" s="2712"/>
      <c r="K9" s="2811"/>
      <c r="L9" s="2807"/>
      <c r="M9" s="2807"/>
      <c r="N9" s="2341"/>
      <c r="O9" s="2607"/>
      <c r="P9" s="2341"/>
      <c r="Q9" s="2341"/>
      <c r="R9" s="2341"/>
    </row>
    <row r="10" spans="1:19" ht="18" customHeight="1">
      <c r="A10" s="2726" t="s">
        <v>344</v>
      </c>
      <c r="B10" s="2727" t="s">
        <v>345</v>
      </c>
      <c r="C10" s="2728" t="s">
        <v>346</v>
      </c>
      <c r="D10" s="2711"/>
      <c r="E10" s="2729" t="s">
        <v>347</v>
      </c>
      <c r="F10" s="2730" t="s">
        <v>348</v>
      </c>
      <c r="G10" s="2731"/>
      <c r="H10" s="2732"/>
      <c r="I10" s="2711"/>
      <c r="J10" s="2712"/>
      <c r="K10" s="2811"/>
      <c r="L10" s="2807"/>
      <c r="M10" s="2807"/>
      <c r="N10" s="2341"/>
      <c r="O10" s="2607"/>
      <c r="P10" s="2341"/>
      <c r="Q10" s="2341"/>
      <c r="R10" s="2341"/>
    </row>
    <row r="11" spans="1:19" ht="18" customHeight="1">
      <c r="A11" s="2733" t="s">
        <v>349</v>
      </c>
      <c r="B11" s="1976" t="s">
        <v>350</v>
      </c>
      <c r="C11" s="2734"/>
      <c r="D11" s="2735"/>
      <c r="E11" s="2712"/>
      <c r="F11" s="2712"/>
      <c r="G11" s="2712"/>
      <c r="H11" s="2712"/>
      <c r="I11" s="2712"/>
      <c r="J11" s="2712"/>
      <c r="K11" s="2811"/>
      <c r="L11" s="2807"/>
      <c r="M11" s="2807"/>
      <c r="N11" s="2341"/>
      <c r="O11" s="2607"/>
      <c r="P11" s="2341"/>
      <c r="Q11" s="2341"/>
      <c r="R11" s="2341"/>
    </row>
    <row r="12" spans="1:19" ht="18" customHeight="1">
      <c r="A12" s="2736" t="s">
        <v>351</v>
      </c>
      <c r="B12" s="1976" t="s">
        <v>352</v>
      </c>
      <c r="C12" s="2511" t="s">
        <v>353</v>
      </c>
      <c r="D12" s="2737" t="s">
        <v>354</v>
      </c>
      <c r="E12" s="2737" t="s">
        <v>355</v>
      </c>
      <c r="F12" s="2737" t="s">
        <v>356</v>
      </c>
      <c r="G12" s="2737" t="s">
        <v>357</v>
      </c>
      <c r="H12" s="2737" t="s">
        <v>358</v>
      </c>
      <c r="I12" s="2737" t="s">
        <v>359</v>
      </c>
      <c r="J12" s="2712"/>
      <c r="K12" s="2811"/>
      <c r="L12" s="2807"/>
      <c r="M12" s="2807"/>
      <c r="N12" s="2341"/>
      <c r="O12" s="2607"/>
      <c r="P12" s="2341"/>
      <c r="Q12" s="2341"/>
      <c r="R12" s="2341"/>
    </row>
    <row r="13" spans="1:19" ht="18" customHeight="1">
      <c r="A13" s="2738"/>
      <c r="B13" s="2739"/>
      <c r="C13" s="2740" t="s">
        <v>360</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361</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362</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47.35</v>
      </c>
      <c r="J15" s="2712"/>
      <c r="K15" s="2814"/>
      <c r="L15" s="2815"/>
      <c r="M15" s="2815"/>
      <c r="N15" s="2816"/>
      <c r="O15" s="2815"/>
      <c r="P15" s="2816"/>
      <c r="Q15" s="2341"/>
      <c r="R15" s="2341"/>
    </row>
    <row r="16" spans="1:19" ht="30.75" customHeight="1">
      <c r="A16" s="2729" t="s">
        <v>363</v>
      </c>
      <c r="B16" s="3035"/>
      <c r="C16" s="3036"/>
      <c r="D16" s="3037"/>
      <c r="E16" s="2745" t="s">
        <v>364</v>
      </c>
      <c r="F16" s="3038"/>
      <c r="G16" s="3039"/>
      <c r="H16" s="3039"/>
      <c r="I16" s="3040"/>
      <c r="J16" s="2341"/>
      <c r="K16" s="2814"/>
      <c r="L16" s="2815"/>
      <c r="M16" s="2815"/>
      <c r="N16" s="2816"/>
      <c r="O16" s="2815"/>
      <c r="P16" s="2816"/>
      <c r="Q16" s="2341"/>
      <c r="R16" s="2341"/>
    </row>
    <row r="17" spans="1:22" ht="18" customHeight="1">
      <c r="A17" s="2746" t="s">
        <v>365</v>
      </c>
      <c r="B17" s="2698" t="s">
        <v>108</v>
      </c>
      <c r="C17" s="2747">
        <f>'数据-汇总表'!E3</f>
        <v>17987.810000000001</v>
      </c>
      <c r="D17" s="2748" t="s">
        <v>366</v>
      </c>
      <c r="E17" s="3041" t="s">
        <v>367</v>
      </c>
      <c r="F17" s="3042"/>
      <c r="G17" s="3042"/>
      <c r="H17" s="3042"/>
      <c r="I17" s="3043"/>
      <c r="J17" s="2341"/>
      <c r="K17" s="2817"/>
      <c r="L17" s="2815"/>
      <c r="M17" s="2815"/>
      <c r="N17" s="2816"/>
      <c r="O17" s="2815"/>
      <c r="P17" s="2816"/>
      <c r="Q17" s="2341"/>
      <c r="R17" s="2341"/>
      <c r="S17" s="2341"/>
      <c r="T17" s="2341"/>
      <c r="U17" s="2341"/>
      <c r="V17" s="2341"/>
    </row>
    <row r="18" spans="1:22" ht="36" customHeight="1">
      <c r="A18" s="2749" t="s">
        <v>124</v>
      </c>
      <c r="B18" s="2702" t="s">
        <v>368</v>
      </c>
      <c r="C18" s="2750">
        <f>'数据-汇总表'!D3</f>
        <v>18527.18</v>
      </c>
      <c r="D18" s="2751" t="s">
        <v>366</v>
      </c>
      <c r="E18" s="3044" t="s">
        <v>369</v>
      </c>
      <c r="F18" s="3045"/>
      <c r="G18" s="3045"/>
      <c r="H18" s="3045"/>
      <c r="I18" s="3046"/>
      <c r="J18" s="2341"/>
      <c r="K18" s="2817"/>
      <c r="L18" s="2815"/>
      <c r="M18" s="2815"/>
      <c r="N18" s="2816"/>
      <c r="O18" s="2815"/>
      <c r="P18" s="2816"/>
      <c r="Q18" s="2341"/>
      <c r="R18" s="2341"/>
      <c r="S18" s="2341"/>
      <c r="T18" s="2341"/>
      <c r="U18" s="2341"/>
      <c r="V18" s="2341"/>
    </row>
    <row r="19" spans="1:22" ht="37.5" customHeight="1">
      <c r="A19" s="1658" t="s">
        <v>370</v>
      </c>
      <c r="B19" s="1600" t="s">
        <v>371</v>
      </c>
      <c r="C19" s="2752" t="s">
        <v>372</v>
      </c>
      <c r="D19" s="2753" t="s">
        <v>373</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374</v>
      </c>
      <c r="B20" s="3021" t="s">
        <v>375</v>
      </c>
      <c r="C20" s="3022"/>
      <c r="D20" s="3023" t="s">
        <v>376</v>
      </c>
      <c r="E20" s="3024"/>
      <c r="F20" s="2758" t="s">
        <v>377</v>
      </c>
      <c r="G20" s="2712"/>
      <c r="H20" s="2712"/>
      <c r="I20" s="2712"/>
      <c r="J20" s="2712"/>
      <c r="K20" s="3019"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379</v>
      </c>
      <c r="C21" s="2760" t="s">
        <v>380</v>
      </c>
      <c r="D21" s="2761"/>
      <c r="E21" s="2762"/>
      <c r="F21" s="2763"/>
      <c r="G21" s="2712"/>
      <c r="H21" s="2712"/>
      <c r="I21" s="2712"/>
      <c r="J21" s="2712"/>
      <c r="K21" s="3019"/>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19"/>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381</v>
      </c>
      <c r="B23" s="2087" t="s">
        <v>382</v>
      </c>
      <c r="C23" s="2767"/>
      <c r="D23" s="2768" t="s">
        <v>382</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383</v>
      </c>
      <c r="C24" s="2771"/>
      <c r="D24" s="2766" t="s">
        <v>383</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384</v>
      </c>
      <c r="C25" s="2771"/>
      <c r="D25" s="2766" t="s">
        <v>384</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385</v>
      </c>
      <c r="C26" s="2775"/>
      <c r="D26" s="2776" t="s">
        <v>385</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28" t="s">
        <v>386</v>
      </c>
      <c r="B27" s="2726" t="s">
        <v>387</v>
      </c>
      <c r="C27" s="2779" t="s">
        <v>388</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28"/>
      <c r="B28" s="2698" t="s">
        <v>389</v>
      </c>
      <c r="C28" s="2781" t="s">
        <v>390</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28"/>
      <c r="B29" s="2698" t="s">
        <v>391</v>
      </c>
      <c r="C29" s="2783" t="s">
        <v>372</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29"/>
      <c r="B30" s="2698" t="s">
        <v>392</v>
      </c>
      <c r="C30" s="3025"/>
      <c r="D30" s="3026"/>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30" t="s">
        <v>393</v>
      </c>
      <c r="B31" s="2785" t="s">
        <v>394</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31"/>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31"/>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395</v>
      </c>
      <c r="B34" s="2792" t="s">
        <v>396</v>
      </c>
      <c r="C34" s="2792" t="s">
        <v>397</v>
      </c>
      <c r="D34" s="2792" t="s">
        <v>398</v>
      </c>
      <c r="E34" s="2792" t="s">
        <v>399</v>
      </c>
      <c r="F34" s="2792" t="s">
        <v>400</v>
      </c>
      <c r="G34" s="2792" t="s">
        <v>401</v>
      </c>
      <c r="H34" s="2792"/>
      <c r="I34" s="2712"/>
      <c r="J34" s="2712"/>
      <c r="K34" s="1079">
        <f>COUNTIF(B34:H34,"——")</f>
        <v>0</v>
      </c>
      <c r="L34" s="2511" t="s">
        <v>402</v>
      </c>
      <c r="M34" s="2511" t="s">
        <v>403</v>
      </c>
      <c r="N34" s="2511" t="s">
        <v>404</v>
      </c>
      <c r="O34" s="2511" t="s">
        <v>405</v>
      </c>
      <c r="P34" s="2511" t="s">
        <v>406</v>
      </c>
      <c r="Q34" s="2511" t="s">
        <v>407</v>
      </c>
      <c r="R34" s="2511" t="s">
        <v>408</v>
      </c>
      <c r="S34" s="3020" t="s">
        <v>409</v>
      </c>
      <c r="T34" s="2825" t="str">
        <f>NUMBERSTRING(7-K34,1)&amp;"通"</f>
        <v>七通</v>
      </c>
      <c r="U34" s="2341"/>
      <c r="V34" s="2341"/>
    </row>
    <row r="35" spans="1:22" ht="18" customHeight="1">
      <c r="A35" s="2793"/>
      <c r="B35" s="3027" t="s">
        <v>410</v>
      </c>
      <c r="C35" s="3027"/>
      <c r="D35" s="3027"/>
      <c r="E35" s="3027"/>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20"/>
      <c r="T35" s="2528" t="str">
        <f>IF(T34="一通",L35,IF(T34="二通",M35,IF(T34="三通",N35,IF(T34="四通",O35,IF(T34="五通",P35,IF(T34="六通",Q35,R35))))))</f>
        <v>通路、通电、通讯、通上水、通下水、燃气、</v>
      </c>
      <c r="U35" s="2341"/>
      <c r="V35" s="2341"/>
    </row>
    <row r="36" spans="1:22" ht="18" customHeight="1">
      <c r="A36" s="2795"/>
      <c r="B36" s="2794" t="s">
        <v>411</v>
      </c>
      <c r="C36" s="2794" t="s">
        <v>412</v>
      </c>
      <c r="D36" s="2794" t="s">
        <v>413</v>
      </c>
      <c r="E36" s="2794" t="s">
        <v>414</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415</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416</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417</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418</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419</v>
      </c>
      <c r="B42" s="1079" t="s">
        <v>420</v>
      </c>
      <c r="C42" s="1079" t="s">
        <v>421</v>
      </c>
      <c r="D42" s="1079" t="s">
        <v>422</v>
      </c>
      <c r="E42" s="1079" t="s">
        <v>423</v>
      </c>
      <c r="F42" s="1079" t="s">
        <v>424</v>
      </c>
      <c r="G42" s="1079" t="s">
        <v>425</v>
      </c>
      <c r="H42" s="1079" t="s">
        <v>426</v>
      </c>
      <c r="I42" s="1079" t="s">
        <v>427</v>
      </c>
      <c r="J42" s="2822" t="s">
        <v>428</v>
      </c>
      <c r="K42" s="2737" t="s">
        <v>429</v>
      </c>
      <c r="L42" s="2737" t="s">
        <v>430</v>
      </c>
      <c r="M42" s="2737" t="s">
        <v>431</v>
      </c>
      <c r="N42" s="1079" t="s">
        <v>432</v>
      </c>
      <c r="O42" s="1079" t="s">
        <v>433</v>
      </c>
      <c r="P42" s="1079" t="s">
        <v>434</v>
      </c>
      <c r="Q42" s="2511" t="s">
        <v>435</v>
      </c>
      <c r="R42" s="2511" t="s">
        <v>436</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9" activePane="bottomRight" state="frozen"/>
      <selection pane="topRight"/>
      <selection pane="bottomLeft"/>
      <selection pane="bottomRight" activeCell="I13" sqref="I13:I3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437</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438</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439</v>
      </c>
      <c r="B2" s="294" t="s">
        <v>440</v>
      </c>
      <c r="C2" s="294" t="s">
        <v>441</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442</v>
      </c>
      <c r="AZ2" s="2667" t="s">
        <v>443</v>
      </c>
      <c r="BA2" s="294" t="s">
        <v>444</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372</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446</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446</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447</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447</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448</v>
      </c>
      <c r="B7" s="2619" t="s">
        <v>449</v>
      </c>
      <c r="C7" s="2619" t="s">
        <v>450</v>
      </c>
      <c r="D7" s="2619" t="s">
        <v>451</v>
      </c>
      <c r="E7" s="2619" t="s">
        <v>447</v>
      </c>
      <c r="F7" s="2619" t="s">
        <v>452</v>
      </c>
      <c r="G7" s="2620" t="s">
        <v>453</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454</v>
      </c>
      <c r="AV7" s="2077" t="s">
        <v>448</v>
      </c>
      <c r="AW7" s="2102" t="s">
        <v>449</v>
      </c>
      <c r="AX7" s="2077" t="s">
        <v>450</v>
      </c>
      <c r="AY7" s="1982" t="s">
        <v>455</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456</v>
      </c>
      <c r="H8" s="2624" t="s">
        <v>457</v>
      </c>
      <c r="I8" s="2640"/>
      <c r="J8" s="293"/>
      <c r="K8" s="293"/>
      <c r="L8" s="293"/>
      <c r="M8" s="293"/>
      <c r="N8" s="293"/>
      <c r="O8" s="293"/>
      <c r="P8" s="293"/>
      <c r="Q8" s="293"/>
      <c r="R8" s="293"/>
      <c r="S8" s="293"/>
      <c r="T8" s="293"/>
      <c r="U8" s="293"/>
      <c r="V8" s="2647"/>
      <c r="W8" s="293"/>
      <c r="X8" s="293"/>
      <c r="Y8" s="293"/>
      <c r="Z8" s="293"/>
      <c r="AA8" s="2647"/>
      <c r="AB8" s="2649"/>
      <c r="AC8" s="1893" t="s">
        <v>458</v>
      </c>
      <c r="AD8" s="2650"/>
      <c r="AE8" s="2651"/>
      <c r="AF8" s="293"/>
      <c r="AG8" s="293"/>
      <c r="AH8" s="293"/>
      <c r="AI8" s="293"/>
      <c r="AJ8" s="293"/>
      <c r="AK8" s="293"/>
      <c r="AL8" s="293"/>
      <c r="AM8" s="293"/>
      <c r="AN8" s="293"/>
      <c r="AO8" s="293"/>
      <c r="AP8" s="293"/>
      <c r="AQ8" s="293"/>
      <c r="AR8" s="293"/>
      <c r="AS8" s="293"/>
      <c r="AT8" s="1589" t="s">
        <v>459</v>
      </c>
      <c r="AU8" s="2622"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461</v>
      </c>
      <c r="I9" s="2641" t="s">
        <v>462</v>
      </c>
      <c r="J9" s="1893"/>
      <c r="K9" s="2641"/>
      <c r="L9" s="1893"/>
      <c r="M9" s="2641"/>
      <c r="N9" s="1893"/>
      <c r="O9" s="2641"/>
      <c r="P9" s="1893"/>
      <c r="Q9" s="2641"/>
      <c r="R9" s="1893"/>
      <c r="S9" s="2641"/>
      <c r="T9" s="1893"/>
      <c r="U9" s="2641"/>
      <c r="V9" s="1893"/>
      <c r="W9" s="2641"/>
      <c r="X9" s="2648"/>
      <c r="Y9" s="2641"/>
      <c r="Z9" s="1893"/>
      <c r="AA9" s="2641"/>
      <c r="AB9" s="1893"/>
      <c r="AC9" s="2623"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60"/>
      <c r="AT9" s="2622"/>
      <c r="AU9" s="2622" t="s">
        <v>465</v>
      </c>
      <c r="AV9" s="1589"/>
      <c r="AW9" s="2057"/>
      <c r="AX9" s="1589"/>
      <c r="AY9" s="2078"/>
      <c r="AZ9" s="2078" t="s">
        <v>456</v>
      </c>
      <c r="BA9" s="2674" t="s">
        <v>466</v>
      </c>
      <c r="BB9" s="2675"/>
      <c r="BC9" s="1647"/>
      <c r="BD9" s="1647"/>
      <c r="BE9" s="1647"/>
      <c r="BF9" s="1647"/>
      <c r="BG9" s="1647"/>
      <c r="BH9" s="1647"/>
      <c r="BI9" s="1647"/>
      <c r="BJ9" s="1647"/>
      <c r="BK9" s="2679"/>
      <c r="BL9" s="1745" t="s">
        <v>467</v>
      </c>
      <c r="BM9" s="293"/>
      <c r="BN9" s="2640"/>
      <c r="BO9" s="293"/>
      <c r="BP9" s="293"/>
      <c r="BQ9" s="293"/>
      <c r="BR9" s="293"/>
      <c r="BS9" s="293"/>
      <c r="BT9" s="1635"/>
    </row>
    <row r="10" spans="1:72" s="2334" customFormat="1" ht="12.75">
      <c r="A10" s="2622"/>
      <c r="B10" s="2622"/>
      <c r="C10" s="2622"/>
      <c r="D10" s="2622"/>
      <c r="E10" s="2622"/>
      <c r="F10" s="2622"/>
      <c r="G10" s="1589"/>
      <c r="H10" s="2078"/>
      <c r="I10" s="2641" t="s">
        <v>468</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469</v>
      </c>
      <c r="AE10" s="2652"/>
      <c r="AF10" s="1745" t="s">
        <v>469</v>
      </c>
      <c r="AG10" s="2652"/>
      <c r="AH10" s="1745" t="s">
        <v>470</v>
      </c>
      <c r="AI10" s="2652"/>
      <c r="AJ10" s="1745" t="s">
        <v>470</v>
      </c>
      <c r="AK10" s="2652"/>
      <c r="AL10" s="1745" t="s">
        <v>471</v>
      </c>
      <c r="AM10" s="1601"/>
      <c r="AN10" s="1745" t="s">
        <v>471</v>
      </c>
      <c r="AO10" s="1601"/>
      <c r="AP10" s="1745" t="s">
        <v>472</v>
      </c>
      <c r="AQ10" s="1601"/>
      <c r="AR10" s="1745" t="s">
        <v>472</v>
      </c>
      <c r="AS10" s="1601"/>
      <c r="AT10" s="2622"/>
      <c r="AU10" s="2622"/>
      <c r="AV10" s="1589"/>
      <c r="AW10" s="2057"/>
      <c r="AX10" s="1589"/>
      <c r="AY10" s="2078"/>
      <c r="AZ10" s="2078"/>
      <c r="BA10" s="2626" t="s">
        <v>461</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473</v>
      </c>
      <c r="AE11" s="349"/>
      <c r="AF11" s="2653" t="s">
        <v>473</v>
      </c>
      <c r="AG11" s="349"/>
      <c r="AH11" s="2653" t="s">
        <v>474</v>
      </c>
      <c r="AI11" s="2657"/>
      <c r="AJ11" s="2653" t="s">
        <v>474</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4"/>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7" t="s">
        <v>476</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2743</v>
      </c>
      <c r="C13" s="2969">
        <v>6</v>
      </c>
      <c r="D13" s="2970" t="s">
        <v>445</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2743</v>
      </c>
      <c r="C14" s="2969">
        <v>7</v>
      </c>
      <c r="D14" s="2970" t="s">
        <v>445</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2743</v>
      </c>
      <c r="C15" s="2969">
        <v>1</v>
      </c>
      <c r="D15" s="2970" t="s">
        <v>445</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2721</v>
      </c>
      <c r="D16" s="2630" t="s">
        <v>372</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2722</v>
      </c>
      <c r="D17" s="2630" t="s">
        <v>372</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2723</v>
      </c>
      <c r="D18" s="2630" t="s">
        <v>372</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2724</v>
      </c>
      <c r="D19" s="2630" t="s">
        <v>372</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2725</v>
      </c>
      <c r="D20" s="2970" t="s">
        <v>445</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2726</v>
      </c>
      <c r="D21" s="2970" t="s">
        <v>445</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2727</v>
      </c>
      <c r="D22" s="2630" t="s">
        <v>372</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2728</v>
      </c>
      <c r="D23" s="2630" t="s">
        <v>372</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2729</v>
      </c>
      <c r="D24" s="2630" t="s">
        <v>372</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2730</v>
      </c>
      <c r="D25" s="2630" t="s">
        <v>372</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2731</v>
      </c>
      <c r="D26" s="2630" t="s">
        <v>372</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2732</v>
      </c>
      <c r="D27" s="2630" t="s">
        <v>372</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2733</v>
      </c>
      <c r="D28" s="2630" t="s">
        <v>372</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2734</v>
      </c>
      <c r="D29" s="2630" t="s">
        <v>372</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2735</v>
      </c>
      <c r="D30" s="2630" t="s">
        <v>372</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2736</v>
      </c>
      <c r="D31" s="2630" t="s">
        <v>372</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2737</v>
      </c>
      <c r="D32" s="2630" t="s">
        <v>372</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2738</v>
      </c>
      <c r="D33" s="2630" t="s">
        <v>372</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2739</v>
      </c>
      <c r="D34" s="2970" t="s">
        <v>445</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2740</v>
      </c>
      <c r="D35" s="2630" t="s">
        <v>372</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2744</v>
      </c>
      <c r="D36" s="2630" t="s">
        <v>372</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2745</v>
      </c>
      <c r="D37" s="2630" t="s">
        <v>372</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2741</v>
      </c>
      <c r="D38" s="2630" t="s">
        <v>372</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2742</v>
      </c>
      <c r="D39" s="2630" t="s">
        <v>372</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50" t="s">
        <v>477</v>
      </c>
      <c r="B1" s="3050" t="s">
        <v>478</v>
      </c>
      <c r="C1" s="3050" t="s">
        <v>479</v>
      </c>
      <c r="D1" s="3049" t="s">
        <v>480</v>
      </c>
      <c r="E1" s="3049" t="s">
        <v>481</v>
      </c>
      <c r="F1" s="3049"/>
      <c r="G1" s="3049"/>
      <c r="H1" s="3049"/>
      <c r="I1" s="3049"/>
      <c r="J1" s="3049"/>
      <c r="K1" s="3049"/>
      <c r="L1" s="3049"/>
      <c r="M1" s="3049"/>
    </row>
    <row r="2" spans="1:13" ht="27" customHeight="1">
      <c r="A2" s="3050"/>
      <c r="B2" s="3050"/>
      <c r="C2" s="3050"/>
      <c r="D2" s="3049"/>
      <c r="E2" s="3049" t="s">
        <v>482</v>
      </c>
      <c r="F2" s="3049" t="s">
        <v>483</v>
      </c>
      <c r="G2" s="3049"/>
      <c r="H2" s="3049"/>
      <c r="I2" s="3049"/>
      <c r="J2" s="3049" t="s">
        <v>484</v>
      </c>
      <c r="K2" s="3049"/>
      <c r="L2" s="3049"/>
      <c r="M2" s="3049"/>
    </row>
    <row r="3" spans="1:13" ht="28.5">
      <c r="A3" s="3050"/>
      <c r="B3" s="3050"/>
      <c r="C3" s="3050"/>
      <c r="D3" s="3049"/>
      <c r="E3" s="3049"/>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49" t="s">
        <v>499</v>
      </c>
      <c r="B9" s="3049"/>
      <c r="C9" s="3049"/>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500</v>
      </c>
      <c r="B1" s="2044"/>
      <c r="C1" s="2044"/>
      <c r="D1" s="2044"/>
      <c r="E1" s="2044"/>
      <c r="F1" s="2044"/>
      <c r="G1" s="2044"/>
      <c r="H1" s="2044"/>
      <c r="I1" s="2044"/>
      <c r="J1" s="2044"/>
      <c r="K1" s="2044"/>
      <c r="L1" s="2044"/>
      <c r="M1" s="2044"/>
      <c r="N1" s="2044"/>
      <c r="O1" s="2044"/>
      <c r="P1" s="2044"/>
    </row>
    <row r="2" spans="1:16" ht="15">
      <c r="A2" s="3060" t="s">
        <v>501</v>
      </c>
      <c r="B2" s="3060"/>
      <c r="C2" s="3060"/>
      <c r="D2" s="1877" t="s">
        <v>502</v>
      </c>
      <c r="E2" s="2519" t="s">
        <v>503</v>
      </c>
      <c r="F2" s="2044"/>
      <c r="G2" s="2520"/>
      <c r="H2" s="2521"/>
      <c r="I2" s="2223" t="s">
        <v>504</v>
      </c>
      <c r="J2" s="2044"/>
      <c r="K2" s="2044"/>
      <c r="L2" s="2044"/>
      <c r="M2" s="2044"/>
      <c r="N2" s="1364"/>
      <c r="O2" s="2044"/>
      <c r="P2" s="2044"/>
    </row>
    <row r="3" spans="1:16" ht="15">
      <c r="A3" s="3061" t="s">
        <v>505</v>
      </c>
      <c r="B3" s="3061"/>
      <c r="C3" s="3061"/>
      <c r="D3" s="2522">
        <f>'数据-基础表'!AY6</f>
        <v>18527.18</v>
      </c>
      <c r="E3" s="2522">
        <f>'数据-基础表'!AZ5</f>
        <v>17987.810000000001</v>
      </c>
      <c r="F3" s="2044"/>
      <c r="G3" s="2523"/>
      <c r="H3" s="1997" t="s">
        <v>506</v>
      </c>
      <c r="I3" s="1091">
        <f>ROUND('数据-基础表'!B3/'数据-基础表'!A3,2)</f>
        <v>0.97</v>
      </c>
      <c r="J3" s="2044"/>
      <c r="K3" s="2044"/>
      <c r="L3" s="2044"/>
      <c r="M3" s="2044"/>
      <c r="N3" s="1364"/>
      <c r="O3" s="2044"/>
      <c r="P3" s="2044"/>
    </row>
    <row r="4" spans="1:16" ht="15">
      <c r="A4" s="3062"/>
      <c r="B4" s="3063"/>
      <c r="C4" s="3064"/>
      <c r="D4" s="2524" t="s">
        <v>502</v>
      </c>
      <c r="E4" s="2525" t="s">
        <v>503</v>
      </c>
      <c r="F4" s="2044"/>
      <c r="G4" s="2526" t="s">
        <v>507</v>
      </c>
      <c r="H4" s="1997" t="s">
        <v>508</v>
      </c>
      <c r="I4" s="1091">
        <f>ROUND(SUMIF('数据-基础表'!I9:AS9,"地上",'数据-基础表'!I5:AS5)/'数据-基础表'!A3,2)</f>
        <v>0.97</v>
      </c>
      <c r="J4" s="2044"/>
      <c r="K4" s="2044"/>
      <c r="L4" s="2044"/>
      <c r="M4" s="2044"/>
      <c r="N4" s="1364"/>
      <c r="O4" s="2044"/>
      <c r="P4" s="2044"/>
    </row>
    <row r="5" spans="1:16">
      <c r="A5" s="2527" t="s">
        <v>509</v>
      </c>
      <c r="B5" s="3065" t="s">
        <v>354</v>
      </c>
      <c r="C5" s="3065"/>
      <c r="D5" s="2528">
        <f>ROUND($D$3*E5/$E$3,2)</f>
        <v>0</v>
      </c>
      <c r="E5" s="2529">
        <f>SUMIF('数据-基础表'!$11:$11,"住宅",'数据-基础表'!$5:$5)</f>
        <v>0</v>
      </c>
      <c r="F5" s="2044"/>
      <c r="G5" s="2523"/>
      <c r="H5" s="1997" t="s">
        <v>506</v>
      </c>
      <c r="I5" s="1091">
        <f>ROUND(E31/D31,2)</f>
        <v>0.97</v>
      </c>
      <c r="J5" s="2044"/>
      <c r="K5" s="2044"/>
      <c r="L5" s="2044"/>
      <c r="M5" s="2044"/>
      <c r="N5" s="2044"/>
      <c r="O5" s="2044"/>
      <c r="P5" s="2044"/>
    </row>
    <row r="6" spans="1:16">
      <c r="A6" s="2530"/>
      <c r="B6" s="3065" t="s">
        <v>510</v>
      </c>
      <c r="C6" s="3065"/>
      <c r="D6" s="2528">
        <f>ROUND($D$3*E6/$E$3,2)</f>
        <v>18527.18</v>
      </c>
      <c r="E6" s="2529">
        <f>E3-E5</f>
        <v>17987.810000000001</v>
      </c>
      <c r="F6" s="2044"/>
      <c r="G6" s="2531" t="s">
        <v>409</v>
      </c>
      <c r="H6" s="2523" t="s">
        <v>508</v>
      </c>
      <c r="I6" s="2579">
        <f>ROUND(F31/D31,2)</f>
        <v>0.97</v>
      </c>
      <c r="J6" s="2044"/>
      <c r="K6" s="2044"/>
      <c r="L6" s="2044"/>
      <c r="M6" s="2044"/>
      <c r="N6" s="2044"/>
      <c r="O6" s="2044"/>
      <c r="P6" s="2044"/>
    </row>
    <row r="7" spans="1:16" ht="15">
      <c r="A7" s="3051"/>
      <c r="B7" s="3052"/>
      <c r="C7" s="3053"/>
      <c r="D7" s="2524" t="s">
        <v>502</v>
      </c>
      <c r="E7" s="2532" t="s">
        <v>511</v>
      </c>
      <c r="F7" s="2044"/>
      <c r="G7" s="2520" t="s">
        <v>512</v>
      </c>
      <c r="H7" s="1986"/>
      <c r="I7" s="2580"/>
      <c r="J7" s="2044"/>
      <c r="K7" s="2044"/>
      <c r="L7" s="2044"/>
      <c r="M7" s="2044"/>
      <c r="N7" s="2044"/>
      <c r="O7" s="2044"/>
      <c r="P7" s="2044"/>
    </row>
    <row r="8" spans="1:16">
      <c r="A8" s="2527" t="s">
        <v>513</v>
      </c>
      <c r="B8" s="2533" t="s">
        <v>514</v>
      </c>
      <c r="C8" s="2528" t="s">
        <v>515</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516</v>
      </c>
      <c r="D9" s="2528">
        <f t="shared" si="0"/>
        <v>0</v>
      </c>
      <c r="E9" s="2538">
        <v>0</v>
      </c>
      <c r="F9" s="2044"/>
      <c r="G9" s="2535"/>
      <c r="H9" s="2535"/>
      <c r="I9" s="2044"/>
      <c r="J9" s="2044"/>
      <c r="K9" s="2044"/>
      <c r="L9" s="2044"/>
      <c r="M9" s="2044"/>
      <c r="N9" s="2044"/>
      <c r="O9" s="2044"/>
      <c r="P9" s="2044"/>
    </row>
    <row r="10" spans="1:16">
      <c r="A10" s="2536"/>
      <c r="B10" s="2537"/>
      <c r="C10" s="2528" t="s">
        <v>517</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518</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519</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520</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521</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522</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523</v>
      </c>
      <c r="D16" s="2533">
        <f>SUM(D8:D15)</f>
        <v>18527.18</v>
      </c>
      <c r="E16" s="2539">
        <f>SUM(E8:E15)</f>
        <v>17987.810000000001</v>
      </c>
      <c r="F16" s="2044"/>
      <c r="G16" s="2535"/>
      <c r="H16" s="2540" t="s">
        <v>524</v>
      </c>
      <c r="I16" s="2581"/>
      <c r="J16" s="2044"/>
      <c r="K16" s="3054" t="s">
        <v>524</v>
      </c>
      <c r="L16" s="3055"/>
      <c r="M16" s="3055"/>
      <c r="N16" s="3055"/>
      <c r="O16" s="3055"/>
      <c r="P16" s="3056"/>
    </row>
    <row r="17" spans="1:19" ht="15">
      <c r="A17" s="2479" t="s">
        <v>525</v>
      </c>
      <c r="B17" s="2541" t="s">
        <v>526</v>
      </c>
      <c r="C17" s="2478" t="s">
        <v>527</v>
      </c>
      <c r="D17" s="2542" t="s">
        <v>502</v>
      </c>
      <c r="E17" s="2543" t="s">
        <v>503</v>
      </c>
      <c r="F17" s="2544"/>
      <c r="G17" s="2545"/>
      <c r="H17" s="2546" t="s">
        <v>528</v>
      </c>
      <c r="I17" s="2582" t="s">
        <v>529</v>
      </c>
      <c r="J17" s="2044"/>
      <c r="K17" s="3057" t="s">
        <v>530</v>
      </c>
      <c r="L17" s="3058"/>
      <c r="M17" s="3059"/>
      <c r="N17" s="3057" t="s">
        <v>531</v>
      </c>
      <c r="O17" s="3058"/>
      <c r="P17" s="3059"/>
      <c r="R17" s="2520" t="s">
        <v>532</v>
      </c>
      <c r="S17" s="1986"/>
    </row>
    <row r="18" spans="1:19" ht="15">
      <c r="A18" s="2536"/>
      <c r="B18" s="2547"/>
      <c r="C18" s="2548"/>
      <c r="D18" s="2549"/>
      <c r="E18" s="2550" t="s">
        <v>533</v>
      </c>
      <c r="F18" s="2551" t="s">
        <v>508</v>
      </c>
      <c r="G18" s="2552" t="s">
        <v>534</v>
      </c>
      <c r="H18" s="2484" t="s">
        <v>535</v>
      </c>
      <c r="I18" s="2583" t="s">
        <v>536</v>
      </c>
      <c r="J18" s="2044"/>
      <c r="K18" s="2484" t="s">
        <v>537</v>
      </c>
      <c r="L18" s="2206" t="s">
        <v>538</v>
      </c>
      <c r="M18" s="2207" t="s">
        <v>539</v>
      </c>
      <c r="N18" s="2484" t="s">
        <v>537</v>
      </c>
      <c r="O18" s="2206" t="s">
        <v>538</v>
      </c>
      <c r="P18" s="2207" t="s">
        <v>539</v>
      </c>
      <c r="R18" s="1997" t="s">
        <v>535</v>
      </c>
      <c r="S18" s="1997" t="s">
        <v>536</v>
      </c>
    </row>
    <row r="19" spans="1:19">
      <c r="A19" s="2553"/>
      <c r="B19" s="2533" t="s">
        <v>540</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540</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540</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540</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540</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540</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540</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540</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541</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542</v>
      </c>
      <c r="C28" s="2488" t="s">
        <v>543</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542</v>
      </c>
      <c r="C29" s="2042" t="s">
        <v>544</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541</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545</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546</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H35" sqref="H35"/>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2" t="str">
        <f>'数据-汇总表'!I17</f>
        <v>按面积比例</v>
      </c>
      <c r="U4" s="2004" t="s">
        <v>552</v>
      </c>
      <c r="V4" s="2343"/>
      <c r="W4" s="2343"/>
      <c r="X4" s="2343"/>
      <c r="Y4" s="2423"/>
      <c r="Z4" s="2478" t="s">
        <v>553</v>
      </c>
      <c r="AA4" s="2478"/>
      <c r="AB4" s="2478"/>
      <c r="AC4" s="2478"/>
      <c r="AD4" s="2478"/>
      <c r="AE4" s="2479" t="s">
        <v>554</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565</v>
      </c>
      <c r="O5" s="2427" t="s">
        <v>566</v>
      </c>
      <c r="P5" s="2430" t="s">
        <v>567</v>
      </c>
      <c r="Q5" s="937" t="s">
        <v>568</v>
      </c>
      <c r="R5" s="2453" t="s">
        <v>569</v>
      </c>
      <c r="S5" s="2454" t="s">
        <v>570</v>
      </c>
      <c r="T5" s="2455" t="s">
        <v>571</v>
      </c>
      <c r="U5" s="2302" t="s">
        <v>572</v>
      </c>
      <c r="V5" s="2276" t="s">
        <v>573</v>
      </c>
      <c r="W5" s="2276" t="s">
        <v>574</v>
      </c>
      <c r="X5" s="913"/>
      <c r="Y5" s="1332" t="s">
        <v>575</v>
      </c>
      <c r="Z5" s="2480" t="s">
        <v>572</v>
      </c>
      <c r="AA5" s="2276" t="s">
        <v>573</v>
      </c>
      <c r="AB5" s="2276" t="s">
        <v>574</v>
      </c>
      <c r="AC5" s="913"/>
      <c r="AD5" s="913" t="s">
        <v>575</v>
      </c>
      <c r="AE5" s="2302" t="s">
        <v>576</v>
      </c>
      <c r="AF5" s="2276" t="s">
        <v>577</v>
      </c>
      <c r="AG5" s="1332" t="s">
        <v>578</v>
      </c>
      <c r="AH5" s="2302" t="s">
        <v>579</v>
      </c>
      <c r="AI5" s="2480" t="s">
        <v>580</v>
      </c>
      <c r="AJ5" s="2480" t="s">
        <v>581</v>
      </c>
      <c r="AK5" s="2276" t="s">
        <v>582</v>
      </c>
      <c r="AL5" s="2276" t="s">
        <v>583</v>
      </c>
      <c r="AM5" s="1332" t="s">
        <v>584</v>
      </c>
      <c r="AN5" s="2494" t="s">
        <v>585</v>
      </c>
      <c r="AO5" s="2511" t="s">
        <v>586</v>
      </c>
      <c r="AP5" s="2512" t="s">
        <v>587</v>
      </c>
      <c r="AQ5" s="2513" t="s">
        <v>588</v>
      </c>
      <c r="AR5" s="2513" t="s">
        <v>589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60814</v>
      </c>
      <c r="F6" s="2355">
        <f>SUMIF(项目基本情况!D$12:I$12,C6,项目基本情况!D$15:I$15)</f>
        <v>47.35</v>
      </c>
      <c r="G6" s="2356">
        <f>IF(ISERROR(ROUND(POWER(1+H6,D6-F6)*(POWER(1+H6,F6)-1)/(POWER(1+H6,D6)-1),3)),0,ROUND(POWER(1+H6,D6-F6)*(POWER(1+H6,F6)-1)/(POWER(1+H6,D6)-1),3))</f>
        <v>0.98499999999999999</v>
      </c>
      <c r="H6" s="2357">
        <v>4.4999999999999998E-2</v>
      </c>
      <c r="I6" s="2357">
        <v>0.05</v>
      </c>
      <c r="J6" s="2358">
        <v>8.5000000000000006E-2</v>
      </c>
      <c r="K6" s="2431">
        <f>SUMIF('数据-汇总表'!C$19:C$33,A6,'数据-汇总表'!E$19:E$33)</f>
        <v>17987.810000000001</v>
      </c>
      <c r="L6" s="2432">
        <v>1800</v>
      </c>
      <c r="M6" s="2433">
        <f t="shared" ref="M6:M14" si="0">ROUND(K6*L6/10000,0)</f>
        <v>3238</v>
      </c>
      <c r="N6" s="2434">
        <f>ROUND(O19*L19/L21+O20*L20/L21,2)</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47.35</v>
      </c>
      <c r="AF6" s="1983"/>
      <c r="AG6" s="1482">
        <f>IF(AF6="",0,AE6-AF6)</f>
        <v>0</v>
      </c>
      <c r="AH6" s="2466"/>
      <c r="AI6" s="2495">
        <v>365</v>
      </c>
      <c r="AJ6" s="2496"/>
      <c r="AK6" s="2497">
        <v>1.4999999999999999E-2</v>
      </c>
      <c r="AL6" s="2498">
        <v>1.5E-3</v>
      </c>
      <c r="AM6" s="2499">
        <v>0.01</v>
      </c>
      <c r="AN6" s="2500" t="s">
        <v>590</v>
      </c>
      <c r="AO6" s="1091">
        <f ca="1">SUMIF(INDIRECT("'"&amp;AN6&amp;"'"&amp;"!A:A"),"总价",INDIRECT("'"&amp;AN6&amp;"'"&amp;"!B:B"))</f>
        <v>5151</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544</v>
      </c>
      <c r="B15" s="2351" t="s">
        <v>542</v>
      </c>
      <c r="C15" s="2360" t="s">
        <v>591</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545</v>
      </c>
      <c r="B16" s="2363"/>
      <c r="C16" s="1918"/>
      <c r="D16" s="2364"/>
      <c r="E16" s="2363"/>
      <c r="F16" s="2363"/>
      <c r="G16" s="2365">
        <f>ROUND(SUMPRODUCT(G6:G13,K6:K13)/SUMPRODUCT((G6:G13&gt;0)*(K6:K13)),3)</f>
        <v>0.98499999999999999</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592</v>
      </c>
      <c r="B18" s="2342"/>
      <c r="C18" s="2339"/>
      <c r="D18" s="2340"/>
      <c r="E18" s="2339"/>
      <c r="F18" s="2339"/>
      <c r="G18" s="2339"/>
      <c r="H18" s="2339"/>
      <c r="I18" s="2339"/>
      <c r="J18" s="2339"/>
      <c r="K18" s="2444"/>
      <c r="L18" s="2445" t="s">
        <v>481</v>
      </c>
      <c r="M18" s="2445" t="s">
        <v>593</v>
      </c>
      <c r="N18" s="2445" t="s">
        <v>594</v>
      </c>
      <c r="O18" s="2446" t="s">
        <v>595</v>
      </c>
      <c r="P18" s="2447" t="s">
        <v>596</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597</v>
      </c>
      <c r="B19" s="2369">
        <v>0</v>
      </c>
      <c r="C19" s="2339" t="s">
        <v>598</v>
      </c>
      <c r="D19" s="2340"/>
      <c r="E19" s="2339"/>
      <c r="F19" s="2339"/>
      <c r="G19" s="2339"/>
      <c r="H19" s="2339"/>
      <c r="I19" s="2339"/>
      <c r="J19" s="2339"/>
      <c r="K19" s="2445" t="s">
        <v>599</v>
      </c>
      <c r="L19" s="2444">
        <f>'数据-基础表'!A13+'数据-基础表'!A14</f>
        <v>13057.44</v>
      </c>
      <c r="M19" s="2444">
        <v>70</v>
      </c>
      <c r="N19" s="2448">
        <v>0.02</v>
      </c>
      <c r="O19" s="2449">
        <f>ROUND(1-(1-N19)*(2019-N17)/M19,2)</f>
        <v>0.99</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600</v>
      </c>
      <c r="B20" s="2371">
        <v>1</v>
      </c>
      <c r="C20" s="2339" t="s">
        <v>601</v>
      </c>
      <c r="D20" s="2340"/>
      <c r="E20" s="2339"/>
      <c r="F20" s="2339"/>
      <c r="G20" s="2339"/>
      <c r="H20" s="2339"/>
      <c r="I20" s="2339"/>
      <c r="J20" s="2339"/>
      <c r="K20" s="2445" t="s">
        <v>602</v>
      </c>
      <c r="L20" s="2444">
        <f>'数据-基础表'!A15</f>
        <v>4930.37</v>
      </c>
      <c r="M20" s="2444">
        <v>50</v>
      </c>
      <c r="N20" s="2448">
        <v>0</v>
      </c>
      <c r="O20" s="2449">
        <f>ROUND(1-(1-N20)*(2019-N17)/M20,2)</f>
        <v>0.98</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603</v>
      </c>
      <c r="B21" s="2371">
        <v>1</v>
      </c>
      <c r="C21" s="2339"/>
      <c r="D21" s="2340"/>
      <c r="E21" s="2339"/>
      <c r="F21" s="2339"/>
      <c r="G21" s="2339"/>
      <c r="H21" s="2339"/>
      <c r="I21" s="2339"/>
      <c r="J21" s="2339"/>
      <c r="K21" s="281"/>
      <c r="L21" s="2450">
        <f>K16</f>
        <v>17987.810000000001</v>
      </c>
      <c r="M21" s="1858"/>
      <c r="N21" s="1858"/>
      <c r="O21" s="1858"/>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604</v>
      </c>
      <c r="B22" s="2373">
        <f>B19+B20</f>
        <v>1</v>
      </c>
      <c r="C22" s="2339"/>
      <c r="D22" s="2340"/>
      <c r="E22" s="2339"/>
      <c r="F22" s="2339"/>
      <c r="G22" s="2339"/>
      <c r="H22" s="2339"/>
      <c r="I22" s="2339"/>
      <c r="J22" s="2339"/>
      <c r="K22" s="281"/>
      <c r="L22" s="281"/>
      <c r="M22" s="1858"/>
      <c r="N22" s="1858"/>
      <c r="O22" s="1858"/>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605</v>
      </c>
      <c r="B23" s="2373">
        <f>B19+B21</f>
        <v>1</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606</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607</v>
      </c>
      <c r="B26" s="2376" t="s">
        <v>608</v>
      </c>
      <c r="C26" s="2377" t="s">
        <v>609</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610</v>
      </c>
      <c r="B27" s="2379">
        <v>20</v>
      </c>
      <c r="C27" s="2380" t="s">
        <v>611</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612</v>
      </c>
      <c r="B28" s="2383">
        <v>20</v>
      </c>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613</v>
      </c>
      <c r="B29" s="2386">
        <f>ROUND(B28*K16/10000,0)</f>
        <v>36</v>
      </c>
      <c r="C29" s="2380" t="s">
        <v>614</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615</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616</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617</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618</v>
      </c>
      <c r="B33" s="2392">
        <v>0.03</v>
      </c>
      <c r="C33" s="2393" t="s">
        <v>619</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620</v>
      </c>
      <c r="B34" s="2394">
        <v>0.02</v>
      </c>
      <c r="C34" s="2393" t="s">
        <v>621</v>
      </c>
      <c r="D34" s="2340" t="s">
        <v>622</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623</v>
      </c>
      <c r="B35" s="2395">
        <v>180</v>
      </c>
      <c r="C35" s="2393" t="s">
        <v>624</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625</v>
      </c>
      <c r="B36" s="2396">
        <v>1.4999999999999999E-2</v>
      </c>
      <c r="C36" s="2393" t="s">
        <v>626</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627</v>
      </c>
      <c r="B37" s="2397">
        <v>0.02</v>
      </c>
      <c r="C37" s="2393" t="s">
        <v>628</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629</v>
      </c>
      <c r="B38" s="2394">
        <v>0.02</v>
      </c>
      <c r="C38" s="2393" t="s">
        <v>628</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630</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631</v>
      </c>
      <c r="B40" s="2399">
        <f ca="1">存贷款利率!G1</f>
        <v>4.3499999999999997E-2</v>
      </c>
      <c r="C40" s="2393" t="s">
        <v>632</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633</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634</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635</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636</v>
      </c>
      <c r="B44" s="2406">
        <v>0.05</v>
      </c>
      <c r="C44" s="2393" t="s">
        <v>637</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638</v>
      </c>
      <c r="B45" s="2402">
        <v>0.03</v>
      </c>
      <c r="C45" s="2380" t="s">
        <v>639</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640</v>
      </c>
      <c r="B46" s="2402">
        <v>0.02</v>
      </c>
      <c r="C46" s="2380" t="s">
        <v>641</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642</v>
      </c>
      <c r="B47" s="2408">
        <v>0</v>
      </c>
      <c r="C47" s="2380" t="s">
        <v>611</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643</v>
      </c>
      <c r="B48" s="2410">
        <v>0.04</v>
      </c>
      <c r="C48" s="2411" t="s">
        <v>644</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645</v>
      </c>
      <c r="B49" s="2402">
        <v>5.0000000000000001E-4</v>
      </c>
      <c r="C49" s="2411" t="s">
        <v>646</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647</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648</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649</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650</v>
      </c>
      <c r="B53" s="2416" t="s">
        <v>269</v>
      </c>
      <c r="C53" s="1364" t="s">
        <v>651</v>
      </c>
      <c r="D53" s="2417" t="s">
        <v>652</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653</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654</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655</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656</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657</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658</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659</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660</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661</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662</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6" t="s">
        <v>663</v>
      </c>
      <c r="B1" s="3067"/>
      <c r="C1" s="3067"/>
      <c r="D1" s="3067"/>
      <c r="E1" s="3067"/>
      <c r="F1" s="3067"/>
      <c r="G1" s="3067"/>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664</v>
      </c>
      <c r="D2" s="2273"/>
      <c r="E2" s="2274"/>
      <c r="F2" s="2275"/>
      <c r="G2" s="2272" t="s">
        <v>665</v>
      </c>
      <c r="H2" s="2261"/>
      <c r="I2" s="2261"/>
      <c r="J2" s="2261"/>
      <c r="K2" s="2261"/>
      <c r="L2" s="2261"/>
      <c r="M2" s="2261"/>
      <c r="N2" s="2261"/>
      <c r="O2" s="2261"/>
      <c r="P2" s="2261"/>
      <c r="Q2" s="2261"/>
      <c r="R2" s="2261"/>
    </row>
    <row r="3" spans="1:29" ht="54">
      <c r="A3" s="912" t="s">
        <v>666</v>
      </c>
      <c r="B3" s="2276" t="s">
        <v>667</v>
      </c>
      <c r="C3" s="2277" t="s">
        <v>668</v>
      </c>
      <c r="D3" s="2278"/>
      <c r="E3" s="925" t="s">
        <v>666</v>
      </c>
      <c r="F3" s="2279" t="s">
        <v>669</v>
      </c>
      <c r="G3" s="2280" t="s">
        <v>670</v>
      </c>
      <c r="H3" s="2261"/>
      <c r="I3" s="2261"/>
      <c r="J3" s="2261"/>
      <c r="K3" s="2261"/>
      <c r="L3" s="2261"/>
      <c r="M3" s="2261"/>
      <c r="N3" s="2261"/>
      <c r="O3" s="2261"/>
      <c r="P3" s="2261"/>
      <c r="Q3" s="2261"/>
      <c r="R3" s="2261"/>
    </row>
    <row r="4" spans="1:29" ht="41.25">
      <c r="A4" s="925"/>
      <c r="B4" s="1079" t="s">
        <v>671</v>
      </c>
      <c r="C4" s="2281" t="s">
        <v>672</v>
      </c>
      <c r="D4" s="2278"/>
      <c r="E4" s="2282"/>
      <c r="F4" s="2215" t="s">
        <v>673</v>
      </c>
      <c r="G4" s="2283" t="s">
        <v>674</v>
      </c>
      <c r="H4" s="2261"/>
      <c r="I4" s="2261"/>
      <c r="J4" s="2261"/>
      <c r="K4" s="2261"/>
      <c r="L4" s="2261"/>
      <c r="M4" s="2261"/>
      <c r="N4" s="2261"/>
      <c r="O4" s="2261"/>
      <c r="P4" s="2261"/>
      <c r="Q4" s="2261"/>
      <c r="R4" s="2261"/>
    </row>
    <row r="5" spans="1:29" ht="41.25">
      <c r="A5" s="925"/>
      <c r="B5" s="1079" t="s">
        <v>675</v>
      </c>
      <c r="C5" s="2281" t="s">
        <v>676</v>
      </c>
      <c r="D5" s="2278"/>
      <c r="E5" s="2282"/>
      <c r="F5" s="1079" t="s">
        <v>677</v>
      </c>
      <c r="G5" s="2283" t="s">
        <v>674</v>
      </c>
      <c r="H5" s="2261"/>
      <c r="I5" s="2261"/>
      <c r="J5" s="2261"/>
      <c r="K5" s="2261"/>
      <c r="L5" s="2261"/>
      <c r="M5" s="2261"/>
      <c r="N5" s="2261"/>
      <c r="O5" s="2261"/>
      <c r="P5" s="2261"/>
      <c r="Q5" s="2261"/>
      <c r="R5" s="2261"/>
    </row>
    <row r="6" spans="1:29" ht="54">
      <c r="A6" s="925"/>
      <c r="B6" s="1079" t="s">
        <v>673</v>
      </c>
      <c r="C6" s="2284" t="s">
        <v>678</v>
      </c>
      <c r="D6" s="2278"/>
      <c r="E6" s="2282"/>
      <c r="F6" s="1079" t="s">
        <v>679</v>
      </c>
      <c r="G6" s="2283" t="s">
        <v>238</v>
      </c>
      <c r="H6" s="2261"/>
      <c r="I6" s="2261"/>
      <c r="J6" s="2261"/>
      <c r="K6" s="2261"/>
      <c r="L6" s="2261"/>
      <c r="M6" s="2261"/>
      <c r="N6" s="2261"/>
      <c r="O6" s="2261"/>
      <c r="P6" s="2261"/>
      <c r="Q6" s="2261"/>
      <c r="R6" s="2261"/>
    </row>
    <row r="7" spans="1:29" ht="27">
      <c r="A7" s="925"/>
      <c r="B7" s="1079" t="s">
        <v>677</v>
      </c>
      <c r="C7" s="2284" t="s">
        <v>680</v>
      </c>
      <c r="D7" s="2285"/>
      <c r="E7" s="2286"/>
      <c r="F7" s="2287" t="s">
        <v>681</v>
      </c>
      <c r="G7" s="2288" t="s">
        <v>674</v>
      </c>
      <c r="H7" s="2261"/>
      <c r="I7" s="2261"/>
      <c r="J7" s="2261"/>
      <c r="K7" s="2261"/>
      <c r="L7" s="2261"/>
      <c r="M7" s="2261"/>
      <c r="N7" s="2261"/>
      <c r="O7" s="2261"/>
      <c r="P7" s="2261"/>
      <c r="Q7" s="2261"/>
      <c r="R7" s="2261"/>
    </row>
    <row r="8" spans="1:29" ht="27">
      <c r="A8" s="925"/>
      <c r="B8" s="1079" t="s">
        <v>679</v>
      </c>
      <c r="C8" s="2284" t="s">
        <v>682</v>
      </c>
      <c r="D8" s="2285"/>
      <c r="E8" s="2285"/>
      <c r="F8" s="1037"/>
      <c r="G8" s="1037"/>
      <c r="H8" s="2261"/>
      <c r="I8" s="2261"/>
      <c r="J8" s="2261"/>
      <c r="K8" s="2261"/>
      <c r="L8" s="2261"/>
      <c r="M8" s="2261"/>
      <c r="N8" s="2261"/>
      <c r="O8" s="2261"/>
      <c r="P8" s="2261"/>
      <c r="Q8" s="2261"/>
      <c r="R8" s="2261"/>
    </row>
    <row r="9" spans="1:29" ht="27">
      <c r="A9" s="925"/>
      <c r="B9" s="1079" t="s">
        <v>683</v>
      </c>
      <c r="C9" s="2281" t="s">
        <v>684</v>
      </c>
      <c r="D9" s="2278"/>
      <c r="E9" s="2285"/>
      <c r="F9" s="1037"/>
      <c r="G9" s="1037"/>
      <c r="H9" s="2261"/>
      <c r="I9" s="2261"/>
      <c r="J9" s="2261"/>
      <c r="K9" s="2261"/>
      <c r="L9" s="2261"/>
      <c r="M9" s="2261"/>
      <c r="N9" s="2261"/>
      <c r="O9" s="2261"/>
      <c r="P9" s="2261"/>
      <c r="Q9" s="2261"/>
      <c r="R9" s="2261"/>
    </row>
    <row r="10" spans="1:29" s="878" customFormat="1" ht="15">
      <c r="A10" s="2289"/>
      <c r="B10" s="2290" t="s">
        <v>685</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686</v>
      </c>
      <c r="B13" s="2294"/>
      <c r="C13" s="2294"/>
      <c r="D13" s="2297"/>
      <c r="E13" s="2294"/>
      <c r="F13" s="2294"/>
      <c r="G13" s="2294"/>
    </row>
    <row r="14" spans="1:29" ht="15">
      <c r="A14" s="2298"/>
      <c r="B14" s="2299"/>
      <c r="C14" s="2300" t="s">
        <v>664</v>
      </c>
      <c r="D14" s="2278"/>
      <c r="E14" s="2301"/>
      <c r="F14" s="2301"/>
      <c r="G14" s="2272" t="s">
        <v>665</v>
      </c>
    </row>
    <row r="15" spans="1:29" ht="57">
      <c r="A15" s="1311" t="s">
        <v>666</v>
      </c>
      <c r="B15" s="2302" t="s">
        <v>667</v>
      </c>
      <c r="C15" s="2303" t="str">
        <f>C3</f>
        <v>估价对象周边居住用地比例、居住小区规模和社区发展完善程度，综合评价居住社区成熟度一般</v>
      </c>
      <c r="D15" s="2278"/>
      <c r="E15" s="2304" t="s">
        <v>666</v>
      </c>
      <c r="F15" s="2302" t="s">
        <v>669</v>
      </c>
      <c r="G15" s="915" t="str">
        <f>G3</f>
        <v>较好</v>
      </c>
    </row>
    <row r="16" spans="1:29" ht="42.75">
      <c r="A16" s="1319"/>
      <c r="B16" s="2305" t="s">
        <v>671</v>
      </c>
      <c r="C16" s="2306" t="str">
        <f>C4</f>
        <v>估价对象位于XX商圈，周边商业氛围成熟，人流量大，商业繁华度好</v>
      </c>
      <c r="D16" s="2278"/>
      <c r="E16" s="2307"/>
      <c r="F16" s="2308" t="s">
        <v>673</v>
      </c>
      <c r="G16" s="919" t="str">
        <f>G4</f>
        <v>一般</v>
      </c>
    </row>
    <row r="17" spans="1:18" ht="42.75">
      <c r="A17" s="1319"/>
      <c r="B17" s="2305" t="s">
        <v>675</v>
      </c>
      <c r="C17" s="2306" t="str">
        <f>C5</f>
        <v>估价对象位于XX商圈，周边办公楼项目较多，入驻率高，办公集聚程度较好</v>
      </c>
      <c r="D17" s="2285"/>
      <c r="E17" s="2307"/>
      <c r="F17" s="2308" t="s">
        <v>687</v>
      </c>
      <c r="G17" s="2309" t="s">
        <v>670</v>
      </c>
    </row>
    <row r="18" spans="1:18" ht="57">
      <c r="A18" s="1319"/>
      <c r="B18" s="2308" t="s">
        <v>673</v>
      </c>
      <c r="C18" s="919" t="str">
        <f>C6</f>
        <v>估价对象周边道路状况、公共交通通达情况、停车便捷程度，综合评价交通便捷度较好</v>
      </c>
      <c r="D18" s="2285"/>
      <c r="E18" s="2307"/>
      <c r="F18" s="2308" t="s">
        <v>681</v>
      </c>
      <c r="G18" s="919" t="str">
        <f>G7</f>
        <v>一般</v>
      </c>
    </row>
    <row r="19" spans="1:18" ht="15">
      <c r="A19" s="1319"/>
      <c r="B19" s="2308" t="s">
        <v>687</v>
      </c>
      <c r="C19" s="1965"/>
      <c r="D19" s="2278"/>
      <c r="E19" s="2307"/>
      <c r="F19" s="1079" t="s">
        <v>677</v>
      </c>
      <c r="G19" s="919" t="str">
        <f>G5</f>
        <v>一般</v>
      </c>
    </row>
    <row r="20" spans="1:18" ht="28.5">
      <c r="A20" s="1319"/>
      <c r="B20" s="2308" t="s">
        <v>688</v>
      </c>
      <c r="C20" s="2306" t="str">
        <f>C9</f>
        <v>区域自然环境：；人文环境；综合评价环境状况一般</v>
      </c>
      <c r="D20" s="2285"/>
      <c r="E20" s="2307"/>
      <c r="F20" s="1079" t="s">
        <v>679</v>
      </c>
      <c r="G20" s="919" t="str">
        <f>G6</f>
        <v>七通</v>
      </c>
    </row>
    <row r="21" spans="1:18" ht="28.5">
      <c r="A21" s="1319"/>
      <c r="B21" s="1079" t="s">
        <v>677</v>
      </c>
      <c r="C21" s="919" t="str">
        <f>C7</f>
        <v>估价对象所在区域公共配套设施齐备情况</v>
      </c>
      <c r="D21" s="2278"/>
      <c r="E21" s="2307"/>
      <c r="F21" s="2308" t="s">
        <v>689</v>
      </c>
      <c r="G21" s="2310"/>
    </row>
    <row r="22" spans="1:18" ht="13.5" customHeight="1">
      <c r="A22" s="1319"/>
      <c r="B22" s="1079" t="s">
        <v>679</v>
      </c>
      <c r="C22" s="919" t="str">
        <f>C8</f>
        <v>估价对象所在区域基础设施水平</v>
      </c>
      <c r="D22" s="2278"/>
      <c r="E22" s="2307"/>
      <c r="F22" s="2308" t="s">
        <v>685</v>
      </c>
      <c r="G22" s="1965"/>
    </row>
    <row r="23" spans="1:18" s="2261" customFormat="1" ht="15">
      <c r="A23" s="1319"/>
      <c r="B23" s="2308" t="s">
        <v>689</v>
      </c>
      <c r="C23" s="2310"/>
      <c r="D23" s="2266"/>
      <c r="E23" s="2311"/>
      <c r="F23" s="2312" t="s">
        <v>690</v>
      </c>
      <c r="G23" s="2313"/>
      <c r="H23" s="2266"/>
      <c r="I23" s="2267"/>
      <c r="J23" s="2266"/>
      <c r="K23" s="2266"/>
      <c r="L23" s="2267"/>
      <c r="M23" s="2266"/>
      <c r="N23" s="2266"/>
      <c r="O23" s="2267"/>
      <c r="P23" s="2266"/>
      <c r="Q23" s="2266"/>
      <c r="R23" s="2268"/>
    </row>
    <row r="24" spans="1:18" s="2261" customFormat="1" ht="15">
      <c r="A24" s="2314"/>
      <c r="B24" s="2312" t="s">
        <v>685</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2248" customWidth="1"/>
    <col min="2" max="9" width="15.75" style="2248" customWidth="1"/>
    <col min="10" max="16384" width="9" style="2248"/>
  </cols>
  <sheetData>
    <row r="1" spans="1:10" ht="16.5">
      <c r="A1" s="2249" t="s">
        <v>691</v>
      </c>
      <c r="B1" s="2249">
        <f>SUM(B14:B23)</f>
        <v>74049.510000000009</v>
      </c>
      <c r="C1" s="2250"/>
      <c r="D1" s="2250"/>
      <c r="E1" s="2250"/>
      <c r="F1" s="2250"/>
      <c r="G1" s="2251"/>
    </row>
    <row r="2" spans="1:10" ht="16.5">
      <c r="A2" s="2249" t="s">
        <v>692</v>
      </c>
      <c r="B2" s="2249">
        <f>SUM(C14:C23)</f>
        <v>76269.91</v>
      </c>
      <c r="C2" s="2250"/>
      <c r="D2" s="2250"/>
      <c r="E2" s="2250"/>
      <c r="F2" s="2250"/>
      <c r="G2" s="2251"/>
    </row>
    <row r="3" spans="1:10" ht="16.5">
      <c r="A3" s="2249" t="s">
        <v>693</v>
      </c>
      <c r="B3" s="2252">
        <f>项目基本情况!D3</f>
        <v>43531</v>
      </c>
      <c r="C3" s="2250"/>
      <c r="D3" s="2250"/>
      <c r="E3" s="2250"/>
      <c r="F3" s="2250"/>
      <c r="G3" s="2251"/>
    </row>
    <row r="4" spans="1:10" ht="33">
      <c r="A4" s="2249" t="s">
        <v>694</v>
      </c>
      <c r="B4" s="2249" t="s">
        <v>695</v>
      </c>
      <c r="C4" s="2249" t="s">
        <v>696</v>
      </c>
      <c r="D4" s="2249" t="s">
        <v>697</v>
      </c>
      <c r="E4" s="2250"/>
      <c r="F4" s="2251"/>
      <c r="G4" s="2251"/>
    </row>
    <row r="5" spans="1:10" ht="16.5">
      <c r="A5" s="2249" t="s">
        <v>698</v>
      </c>
      <c r="B5" s="2249">
        <f ca="1">SUM(D14:D23)</f>
        <v>8405</v>
      </c>
      <c r="C5" s="2249">
        <f ca="1">ROUND(B5*10000/$B$1,0)</f>
        <v>1135</v>
      </c>
      <c r="D5" s="2249">
        <f ca="1">ROUND(B5*10000/$B$2,0)</f>
        <v>1102</v>
      </c>
      <c r="E5" s="2250"/>
      <c r="F5" s="2251"/>
      <c r="G5" s="2251"/>
    </row>
    <row r="6" spans="1:10" ht="16.5">
      <c r="A6" s="2249" t="s">
        <v>699</v>
      </c>
      <c r="B6" s="2249">
        <f ca="1">SUM(G14:G23)</f>
        <v>8405</v>
      </c>
      <c r="C6" s="2249">
        <f ca="1">ROUND(B6*10000/$B$1,0)</f>
        <v>1135</v>
      </c>
      <c r="D6" s="2249">
        <f ca="1">ROUND(B6*10000/$B$2,0)</f>
        <v>1102</v>
      </c>
      <c r="E6" s="2250"/>
      <c r="F6" s="2251"/>
      <c r="G6" s="2251"/>
    </row>
    <row r="7" spans="1:10" ht="16.5">
      <c r="A7" s="2249" t="s">
        <v>700</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701</v>
      </c>
      <c r="B9" s="2253"/>
      <c r="C9" s="2250"/>
      <c r="D9" s="2250"/>
      <c r="E9" s="2250"/>
      <c r="F9" s="2251"/>
      <c r="G9" s="2251"/>
    </row>
    <row r="10" spans="1:10" ht="16.5">
      <c r="A10" s="2249" t="s">
        <v>702</v>
      </c>
      <c r="B10" s="2253"/>
      <c r="C10" s="2250"/>
      <c r="D10" s="2250"/>
      <c r="E10" s="2250"/>
      <c r="F10" s="2251"/>
      <c r="G10" s="2251"/>
    </row>
    <row r="11" spans="1:10" ht="16.5">
      <c r="A11" s="2249" t="s">
        <v>703</v>
      </c>
      <c r="B11" s="2253"/>
      <c r="C11" s="2250"/>
      <c r="D11" s="2250"/>
      <c r="E11" s="2250"/>
      <c r="F11" s="2251"/>
      <c r="G11" s="2251"/>
    </row>
    <row r="12" spans="1:10" ht="16.5">
      <c r="A12" s="2250"/>
      <c r="B12" s="2250"/>
      <c r="C12" s="2250"/>
      <c r="D12" s="2250"/>
      <c r="E12" s="2250"/>
      <c r="F12" s="2251"/>
      <c r="G12" s="2251"/>
    </row>
    <row r="13" spans="1:10" ht="33">
      <c r="A13" s="2254" t="s">
        <v>704</v>
      </c>
      <c r="B13" s="2255" t="s">
        <v>691</v>
      </c>
      <c r="C13" s="2255" t="s">
        <v>692</v>
      </c>
      <c r="D13" s="2255" t="s">
        <v>705</v>
      </c>
      <c r="E13" s="2249" t="s">
        <v>696</v>
      </c>
      <c r="F13" s="2249" t="s">
        <v>697</v>
      </c>
      <c r="G13" s="2255" t="s">
        <v>706</v>
      </c>
      <c r="H13" s="2255" t="s">
        <v>707</v>
      </c>
      <c r="I13" s="2255" t="s">
        <v>708</v>
      </c>
      <c r="J13" s="2251"/>
    </row>
    <row r="14" spans="1:10" ht="16.5">
      <c r="A14" s="2256" t="s">
        <v>709</v>
      </c>
      <c r="B14" s="2255">
        <f>结果表!B118</f>
        <v>17987.810000000001</v>
      </c>
      <c r="C14" s="2255">
        <f>结果表!C118</f>
        <v>18527.18</v>
      </c>
      <c r="D14" s="2255">
        <f ca="1">结果表!H118</f>
        <v>5401</v>
      </c>
      <c r="E14" s="2255">
        <f ca="1">ROUND(D14*10000/B14,0)</f>
        <v>3003</v>
      </c>
      <c r="F14" s="2255">
        <f ca="1">ROUND(D14*10000/C14,0)</f>
        <v>2915</v>
      </c>
      <c r="G14" s="2255">
        <f ca="1">结果表!D122</f>
        <v>5401</v>
      </c>
      <c r="H14" s="2255" t="str">
        <f>结果表!D124</f>
        <v>——</v>
      </c>
      <c r="I14" s="2255" t="str">
        <f>结果表!D126</f>
        <v>——</v>
      </c>
      <c r="J14" s="2251"/>
    </row>
    <row r="15" spans="1:10" ht="16.5">
      <c r="A15" s="2256" t="s">
        <v>710</v>
      </c>
      <c r="B15" s="2257">
        <f>[1]系统读取表!B14</f>
        <v>56061.700000000004</v>
      </c>
      <c r="C15" s="2257">
        <f>[1]系统读取表!C14</f>
        <v>57742.73</v>
      </c>
      <c r="D15" s="2257">
        <f ca="1">[1]系统读取表!D14</f>
        <v>3004</v>
      </c>
      <c r="E15" s="2255">
        <f t="shared" ref="E15:E23" ca="1" si="0">ROUND(D15*10000/B15,0)</f>
        <v>536</v>
      </c>
      <c r="F15" s="2255">
        <f t="shared" ref="F15:F23" ca="1" si="1">ROUND(D15*10000/C15,0)</f>
        <v>520</v>
      </c>
      <c r="G15" s="2257">
        <f ca="1">[1]系统读取表!G14</f>
        <v>3004</v>
      </c>
      <c r="H15" s="2257" t="str">
        <f>[1]系统读取表!H14</f>
        <v>——</v>
      </c>
      <c r="I15" s="2257" t="str">
        <f>[1]系统读取表!I14</f>
        <v>——</v>
      </c>
      <c r="J15" s="2251"/>
    </row>
    <row r="16" spans="1:10" ht="16.5">
      <c r="A16" s="2256" t="s">
        <v>711</v>
      </c>
      <c r="B16" s="2258"/>
      <c r="C16" s="2258"/>
      <c r="D16" s="2258"/>
      <c r="E16" s="2255" t="e">
        <f t="shared" si="0"/>
        <v>#DIV/0!</v>
      </c>
      <c r="F16" s="2255" t="e">
        <f t="shared" si="1"/>
        <v>#DIV/0!</v>
      </c>
      <c r="G16" s="2258"/>
      <c r="H16" s="2258"/>
      <c r="I16" s="2258"/>
    </row>
    <row r="17" spans="1:9" ht="16.5">
      <c r="A17" s="2256" t="s">
        <v>712</v>
      </c>
      <c r="B17" s="2258"/>
      <c r="C17" s="2258"/>
      <c r="D17" s="2258"/>
      <c r="E17" s="2255" t="e">
        <f t="shared" si="0"/>
        <v>#DIV/0!</v>
      </c>
      <c r="F17" s="2255" t="e">
        <f t="shared" si="1"/>
        <v>#DIV/0!</v>
      </c>
      <c r="G17" s="2259"/>
      <c r="H17" s="2259"/>
      <c r="I17" s="2258"/>
    </row>
    <row r="18" spans="1:9" ht="16.5">
      <c r="A18" s="2256" t="s">
        <v>713</v>
      </c>
      <c r="B18" s="2258"/>
      <c r="C18" s="2258"/>
      <c r="D18" s="2258"/>
      <c r="E18" s="2255" t="e">
        <f t="shared" si="0"/>
        <v>#DIV/0!</v>
      </c>
      <c r="F18" s="2255" t="e">
        <f t="shared" si="1"/>
        <v>#DIV/0!</v>
      </c>
      <c r="G18" s="2258"/>
      <c r="H18" s="2258"/>
      <c r="I18" s="2258"/>
    </row>
    <row r="19" spans="1:9" ht="16.5">
      <c r="A19" s="2256" t="s">
        <v>714</v>
      </c>
      <c r="B19" s="2258"/>
      <c r="C19" s="2258"/>
      <c r="D19" s="2258"/>
      <c r="E19" s="2255" t="e">
        <f t="shared" si="0"/>
        <v>#DIV/0!</v>
      </c>
      <c r="F19" s="2255" t="e">
        <f t="shared" si="1"/>
        <v>#DIV/0!</v>
      </c>
      <c r="G19" s="2258"/>
      <c r="H19" s="2258"/>
      <c r="I19" s="2258"/>
    </row>
    <row r="20" spans="1:9" ht="16.5">
      <c r="A20" s="2256" t="s">
        <v>715</v>
      </c>
      <c r="B20" s="2258"/>
      <c r="C20" s="2258"/>
      <c r="D20" s="2258"/>
      <c r="E20" s="2255" t="e">
        <f t="shared" si="0"/>
        <v>#DIV/0!</v>
      </c>
      <c r="F20" s="2255" t="e">
        <f t="shared" si="1"/>
        <v>#DIV/0!</v>
      </c>
      <c r="G20" s="2258"/>
      <c r="H20" s="2258"/>
      <c r="I20" s="2258"/>
    </row>
    <row r="21" spans="1:9" ht="16.5">
      <c r="A21" s="2256" t="s">
        <v>716</v>
      </c>
      <c r="B21" s="2258"/>
      <c r="C21" s="2258"/>
      <c r="D21" s="2258"/>
      <c r="E21" s="2255" t="e">
        <f t="shared" si="0"/>
        <v>#DIV/0!</v>
      </c>
      <c r="F21" s="2255" t="e">
        <f t="shared" si="1"/>
        <v>#DIV/0!</v>
      </c>
      <c r="G21" s="2258"/>
      <c r="H21" s="2258"/>
      <c r="I21" s="2258"/>
    </row>
    <row r="22" spans="1:9" ht="16.5">
      <c r="A22" s="2256" t="s">
        <v>717</v>
      </c>
      <c r="B22" s="2258"/>
      <c r="C22" s="2258"/>
      <c r="D22" s="2258"/>
      <c r="E22" s="2255" t="e">
        <f t="shared" si="0"/>
        <v>#DIV/0!</v>
      </c>
      <c r="F22" s="2255" t="e">
        <f t="shared" si="1"/>
        <v>#DIV/0!</v>
      </c>
      <c r="G22" s="2258"/>
      <c r="H22" s="2258"/>
      <c r="I22" s="2258"/>
    </row>
    <row r="23" spans="1:9" ht="16.5">
      <c r="A23" s="2256" t="s">
        <v>718</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F27" sqref="F27"/>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719</v>
      </c>
      <c r="B1" s="1973"/>
      <c r="C1" s="1974"/>
      <c r="D1" s="1973"/>
      <c r="E1" s="1973"/>
      <c r="F1" s="1975" t="s">
        <v>720</v>
      </c>
      <c r="G1" s="1976" t="s">
        <v>394</v>
      </c>
      <c r="H1" s="1977" t="str">
        <f>IF(G1="现房","——","估价对象范围")</f>
        <v>——</v>
      </c>
      <c r="I1" s="2113" t="s">
        <v>721</v>
      </c>
    </row>
    <row r="2" spans="1:12" ht="21.75" customHeight="1">
      <c r="A2" s="3147" t="str">
        <f>项目基本情况!S2</f>
        <v>河北省保定市定兴县新107国道东侧房地产</v>
      </c>
      <c r="B2" s="3148"/>
      <c r="C2" s="3148"/>
      <c r="D2" s="3148"/>
      <c r="E2" s="3148"/>
      <c r="F2" s="3148"/>
      <c r="G2" s="3148"/>
      <c r="H2" s="3148"/>
      <c r="I2" s="3149"/>
    </row>
    <row r="3" spans="1:12" ht="12.75">
      <c r="A3" s="3150" t="s">
        <v>722</v>
      </c>
      <c r="B3" s="3151"/>
      <c r="C3" s="3151"/>
      <c r="D3" s="3151"/>
      <c r="E3" s="3151"/>
      <c r="F3" s="3151"/>
      <c r="G3" s="3151"/>
      <c r="H3" s="3151"/>
      <c r="I3" s="3151"/>
    </row>
    <row r="4" spans="1:12" ht="14.25">
      <c r="A4" s="1978" t="s">
        <v>723</v>
      </c>
      <c r="B4" s="1979" t="s">
        <v>724</v>
      </c>
      <c r="C4" s="1980" t="s">
        <v>725</v>
      </c>
      <c r="D4" s="1980" t="s">
        <v>590</v>
      </c>
      <c r="E4" s="3126" t="s">
        <v>726</v>
      </c>
      <c r="F4" s="3128"/>
      <c r="G4" s="3128"/>
      <c r="H4" s="3128"/>
      <c r="I4" s="3127"/>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076" t="s">
        <v>727</v>
      </c>
      <c r="B5" s="3020">
        <v>25</v>
      </c>
      <c r="C5" s="3086"/>
      <c r="D5" s="3160"/>
      <c r="E5" s="1636" t="s">
        <v>728</v>
      </c>
      <c r="F5" s="1984"/>
      <c r="G5" s="1984"/>
      <c r="H5" s="1984"/>
      <c r="I5" s="1845"/>
    </row>
    <row r="6" spans="1:12" ht="12.75">
      <c r="A6" s="3076"/>
      <c r="B6" s="3020"/>
      <c r="C6" s="3087"/>
      <c r="D6" s="3160"/>
      <c r="E6" s="1636" t="s">
        <v>729</v>
      </c>
      <c r="F6" s="1984"/>
      <c r="G6" s="1984"/>
      <c r="H6" s="1984"/>
      <c r="I6" s="1845"/>
    </row>
    <row r="7" spans="1:12" ht="12.75">
      <c r="A7" s="3076"/>
      <c r="B7" s="3020"/>
      <c r="C7" s="3088"/>
      <c r="D7" s="3160"/>
      <c r="E7" s="1636" t="s">
        <v>730</v>
      </c>
      <c r="F7" s="1984"/>
      <c r="G7" s="1984"/>
      <c r="H7" s="1984"/>
      <c r="I7" s="1845"/>
    </row>
    <row r="8" spans="1:12" ht="12.75">
      <c r="A8" s="3076" t="s">
        <v>731</v>
      </c>
      <c r="B8" s="3020">
        <v>15</v>
      </c>
      <c r="C8" s="3086"/>
      <c r="D8" s="3160"/>
      <c r="E8" s="1636" t="s">
        <v>732</v>
      </c>
      <c r="F8" s="1984"/>
      <c r="G8" s="1984"/>
      <c r="H8" s="1984"/>
      <c r="I8" s="1845"/>
    </row>
    <row r="9" spans="1:12" ht="12.75">
      <c r="A9" s="3076"/>
      <c r="B9" s="3020"/>
      <c r="C9" s="3088"/>
      <c r="D9" s="3160"/>
      <c r="E9" s="1636" t="s">
        <v>733</v>
      </c>
      <c r="F9" s="1984"/>
      <c r="G9" s="1984"/>
      <c r="H9" s="1984"/>
      <c r="I9" s="1845"/>
    </row>
    <row r="10" spans="1:12" ht="12.75">
      <c r="A10" s="3076" t="s">
        <v>734</v>
      </c>
      <c r="B10" s="3020">
        <v>15</v>
      </c>
      <c r="C10" s="3086"/>
      <c r="D10" s="3160"/>
      <c r="E10" s="1636" t="s">
        <v>735</v>
      </c>
      <c r="F10" s="1984"/>
      <c r="G10" s="1984"/>
      <c r="H10" s="1984"/>
      <c r="I10" s="1845"/>
    </row>
    <row r="11" spans="1:12" ht="12.75">
      <c r="A11" s="3076"/>
      <c r="B11" s="3020"/>
      <c r="C11" s="3088"/>
      <c r="D11" s="3160"/>
      <c r="E11" s="1636" t="s">
        <v>736</v>
      </c>
      <c r="F11" s="1984"/>
      <c r="G11" s="1984"/>
      <c r="H11" s="1984"/>
      <c r="I11" s="1845"/>
    </row>
    <row r="12" spans="1:12" ht="12.75">
      <c r="A12" s="3076" t="s">
        <v>737</v>
      </c>
      <c r="B12" s="3020">
        <v>15</v>
      </c>
      <c r="C12" s="3086"/>
      <c r="D12" s="3160"/>
      <c r="E12" s="1636" t="s">
        <v>738</v>
      </c>
      <c r="F12" s="1984"/>
      <c r="G12" s="1984"/>
      <c r="H12" s="1984"/>
      <c r="I12" s="1845"/>
    </row>
    <row r="13" spans="1:12" ht="12.75">
      <c r="A13" s="3076"/>
      <c r="B13" s="3020"/>
      <c r="C13" s="3088"/>
      <c r="D13" s="3160"/>
      <c r="E13" s="1636" t="s">
        <v>739</v>
      </c>
      <c r="F13" s="1984"/>
      <c r="G13" s="1984"/>
      <c r="H13" s="1984"/>
      <c r="I13" s="1845"/>
    </row>
    <row r="14" spans="1:12" ht="12.75">
      <c r="A14" s="3076" t="s">
        <v>740</v>
      </c>
      <c r="B14" s="3020">
        <v>30</v>
      </c>
      <c r="C14" s="3086">
        <v>5</v>
      </c>
      <c r="D14" s="3160">
        <v>5</v>
      </c>
      <c r="E14" s="1636" t="s">
        <v>741</v>
      </c>
      <c r="F14" s="1984"/>
      <c r="G14" s="1984"/>
      <c r="H14" s="1984"/>
      <c r="I14" s="1845"/>
    </row>
    <row r="15" spans="1:12" ht="12.75">
      <c r="A15" s="3076"/>
      <c r="B15" s="3020"/>
      <c r="C15" s="3087"/>
      <c r="D15" s="3160"/>
      <c r="E15" s="1636" t="s">
        <v>742</v>
      </c>
      <c r="F15" s="1984"/>
      <c r="G15" s="1984"/>
      <c r="H15" s="1984"/>
      <c r="I15" s="1845"/>
    </row>
    <row r="16" spans="1:12" ht="12.75">
      <c r="A16" s="3076"/>
      <c r="B16" s="3020"/>
      <c r="C16" s="3088"/>
      <c r="D16" s="3160"/>
      <c r="E16" s="1636" t="s">
        <v>743</v>
      </c>
      <c r="F16" s="1984"/>
      <c r="G16" s="1984"/>
      <c r="H16" s="1984"/>
      <c r="I16" s="1845"/>
    </row>
    <row r="17" spans="1:35" ht="15">
      <c r="A17" s="1985" t="s">
        <v>744</v>
      </c>
      <c r="B17" s="1986"/>
      <c r="C17" s="1987">
        <f>SUM(C5:C16)</f>
        <v>5</v>
      </c>
      <c r="D17" s="1987">
        <f>SUM(D5:D16)</f>
        <v>5</v>
      </c>
      <c r="E17" s="280"/>
      <c r="F17" s="280"/>
      <c r="G17" s="280"/>
      <c r="H17" s="280"/>
      <c r="I17" s="280"/>
      <c r="K17" s="2114"/>
      <c r="L17" s="2115" t="s">
        <v>745</v>
      </c>
      <c r="M17" s="2115" t="s">
        <v>746</v>
      </c>
    </row>
    <row r="18" spans="1:35" ht="15">
      <c r="A18" s="1988" t="s">
        <v>747</v>
      </c>
      <c r="B18" s="1989"/>
      <c r="C18" s="1990">
        <f>ROUND(C17/SUM(C17:D17),2)</f>
        <v>0.5</v>
      </c>
      <c r="D18" s="1990">
        <f>1-C18</f>
        <v>0.5</v>
      </c>
      <c r="E18" s="280"/>
      <c r="F18" s="280"/>
      <c r="G18" s="280"/>
      <c r="H18" s="280"/>
      <c r="I18" s="280"/>
      <c r="J18" s="2973" t="s">
        <v>2746</v>
      </c>
      <c r="K18" s="2114" t="s">
        <v>440</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748</v>
      </c>
      <c r="B19" s="1992" t="s">
        <v>749</v>
      </c>
      <c r="C19" s="1993">
        <f ca="1">SUMIF(INDIRECT("'"&amp;C4&amp;"'"&amp;"!A:A"),结果表!B19,INDIRECT("'"&amp;C4&amp;"'"&amp;"!B:B"))</f>
        <v>5650</v>
      </c>
      <c r="D19" s="1066">
        <f ca="1">SUMIF(INDIRECT("'"&amp;D4&amp;"'"&amp;"!A:A"),结果表!B19,INDIRECT("'"&amp;D4&amp;"'"&amp;"!B:B"))</f>
        <v>5151</v>
      </c>
      <c r="E19" s="1991" t="s">
        <v>750</v>
      </c>
      <c r="F19" s="1992" t="s">
        <v>749</v>
      </c>
      <c r="G19" s="1994">
        <f ca="1">ROUND(C19*$C$18+D19*$D$18,0)</f>
        <v>5401</v>
      </c>
      <c r="H19" s="1995" t="s">
        <v>751</v>
      </c>
      <c r="I19" s="280"/>
      <c r="J19" s="2974">
        <v>8405</v>
      </c>
      <c r="K19" s="2114" t="s">
        <v>439</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752</v>
      </c>
      <c r="C20" s="1479">
        <f ca="1">SUMIF(INDIRECT("'"&amp;C4&amp;"'"&amp;"!A:A"),结果表!B20,INDIRECT("'"&amp;C4&amp;"'"&amp;"!B:B"))</f>
        <v>3141</v>
      </c>
      <c r="D20" s="1482">
        <f ca="1">SUMIF(INDIRECT("'"&amp;D4&amp;"'"&amp;"!A:A"),结果表!B20,INDIRECT("'"&amp;D4&amp;"'"&amp;"!B:B"))</f>
        <v>2864</v>
      </c>
      <c r="E20" s="1996"/>
      <c r="F20" s="1997" t="s">
        <v>752</v>
      </c>
      <c r="G20" s="1998">
        <f ca="1">ROUND(C20*$C$18+D20*$D$18,0)</f>
        <v>3003</v>
      </c>
      <c r="H20" s="1747" t="s">
        <v>753</v>
      </c>
      <c r="I20" s="280"/>
    </row>
    <row r="21" spans="1:35" ht="15" customHeight="1">
      <c r="A21" s="1925"/>
      <c r="B21" s="1999" t="s">
        <v>754</v>
      </c>
      <c r="C21" s="2000">
        <f ca="1">ROUND(C19*10000/L19,0)</f>
        <v>3050</v>
      </c>
      <c r="D21" s="2001">
        <f ca="1">ROUND(D19*10000/L19,0)</f>
        <v>2780</v>
      </c>
      <c r="E21" s="1925"/>
      <c r="F21" s="1999" t="s">
        <v>754</v>
      </c>
      <c r="G21" s="2002">
        <f ca="1">ROUND(G19*10000/L19,0)</f>
        <v>2915</v>
      </c>
      <c r="H21" s="2003" t="s">
        <v>753</v>
      </c>
      <c r="I21" s="280"/>
    </row>
    <row r="22" spans="1:35" ht="14.25">
      <c r="A22" s="2004" t="s">
        <v>755</v>
      </c>
      <c r="B22" s="2005"/>
      <c r="C22" s="2006"/>
      <c r="D22" s="2007">
        <f ca="1">IF(C19&lt;D19,D19/C19-1,C19/D19-1)</f>
        <v>9.6874393321685126E-2</v>
      </c>
      <c r="E22" s="280"/>
      <c r="F22" s="280"/>
      <c r="G22" s="280"/>
      <c r="H22" s="280"/>
      <c r="I22" s="280"/>
    </row>
    <row r="23" spans="1:35" ht="12.75">
      <c r="A23" s="1973"/>
      <c r="B23" s="1973"/>
      <c r="C23" s="1973"/>
      <c r="D23" s="1973"/>
      <c r="E23" s="280"/>
      <c r="F23" s="280"/>
      <c r="G23" s="280"/>
      <c r="H23" s="280"/>
      <c r="I23" s="280"/>
    </row>
    <row r="24" spans="1:35" ht="14.25">
      <c r="A24" s="3077" t="s">
        <v>756</v>
      </c>
      <c r="B24" s="1992" t="s">
        <v>749</v>
      </c>
      <c r="C24" s="1994">
        <f>IF(B30=0,0,D30)</f>
        <v>0</v>
      </c>
      <c r="D24" s="2008"/>
      <c r="E24" s="280"/>
      <c r="F24" s="280"/>
      <c r="G24" s="280"/>
      <c r="H24" s="280"/>
      <c r="I24" s="280"/>
    </row>
    <row r="25" spans="1:35" ht="14.25">
      <c r="A25" s="3078"/>
      <c r="B25" s="1997" t="s">
        <v>752</v>
      </c>
      <c r="C25" s="2009">
        <f>IF(B30=0,0,C30)</f>
        <v>0</v>
      </c>
      <c r="D25" s="2010"/>
      <c r="E25" s="280"/>
      <c r="F25" s="280"/>
      <c r="G25" s="280"/>
      <c r="H25" s="280"/>
      <c r="I25" s="280"/>
    </row>
    <row r="26" spans="1:35" ht="13.5" customHeight="1">
      <c r="A26" s="2011" t="s">
        <v>757</v>
      </c>
      <c r="B26" s="2012" t="s">
        <v>758</v>
      </c>
      <c r="C26" s="2012" t="s">
        <v>759</v>
      </c>
      <c r="D26" s="2013" t="s">
        <v>760</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761</v>
      </c>
      <c r="B30" s="2012"/>
      <c r="C30" s="2012"/>
      <c r="D30" s="2012"/>
      <c r="E30" s="2014" t="s">
        <v>762</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763</v>
      </c>
      <c r="B32" s="2017"/>
      <c r="C32" s="2018">
        <f ca="1">IF(D32="总价",G19-C24,G20-C25)</f>
        <v>5401</v>
      </c>
      <c r="D32" s="2019" t="s">
        <v>764</v>
      </c>
      <c r="E32" s="280"/>
      <c r="F32" s="280"/>
      <c r="G32" s="280"/>
      <c r="H32" s="280"/>
      <c r="I32" s="280"/>
    </row>
    <row r="33" spans="1:15" ht="15">
      <c r="A33" s="1865" t="s">
        <v>765</v>
      </c>
      <c r="B33" s="2020"/>
      <c r="C33" s="2021" t="s">
        <v>766</v>
      </c>
      <c r="D33" s="2022" t="s">
        <v>725</v>
      </c>
      <c r="E33" s="2023" t="s">
        <v>767</v>
      </c>
      <c r="F33" s="2024" t="str">
        <f>IF(D32="楼面单价","取值（单价）","取值（总价）")</f>
        <v>取值（总价）</v>
      </c>
      <c r="G33" s="280"/>
      <c r="H33" s="280"/>
      <c r="I33" s="280"/>
    </row>
    <row r="34" spans="1:15" ht="15">
      <c r="A34" s="2025"/>
      <c r="B34" s="2026" t="s">
        <v>768</v>
      </c>
      <c r="C34" s="2027">
        <f ca="1">IF(C33="自定义",F34,C32-C35)</f>
        <v>1059</v>
      </c>
      <c r="D34" s="2028">
        <f ca="1">IF(C33="自定义",ROUND(C34/C32,3),IF(C33="收益比率",SUMIF(INDIRECT("'"&amp;D33&amp;"'"&amp;"!b:b"),"土地收益比率",INDIRECT("'"&amp;D33&amp;"'"&amp;"!c:c")),SUMIF(INDIRECT("'"&amp;D33&amp;"'"&amp;"!b:b"),"土地成本比率",INDIRECT("'"&amp;D33&amp;"'"&amp;"!c:c"))))</f>
        <v>0.19599999999999995</v>
      </c>
      <c r="E34" s="2029" t="s">
        <v>769</v>
      </c>
      <c r="F34" s="2030"/>
      <c r="G34" s="280"/>
      <c r="H34" s="280"/>
      <c r="I34" s="280"/>
    </row>
    <row r="35" spans="1:15" ht="15">
      <c r="A35" s="2031"/>
      <c r="B35" s="2032" t="s">
        <v>770</v>
      </c>
      <c r="C35" s="2033">
        <f ca="1">IF(C33="自定义",F35,ROUND(C32*D35,0))</f>
        <v>4342</v>
      </c>
      <c r="D35" s="2034">
        <f ca="1">IF(C33="自定义",ROUND(C35/C32,3),IF(C33="收益比率",SUMIF(INDIRECT("'"&amp;D33&amp;"'"&amp;"!b:b"),"建筑物收益比率",INDIRECT("'"&amp;D33&amp;"'"&amp;"!c:c")),SUMIF(INDIRECT("'"&amp;D33&amp;"'"&amp;"!b:b"),"建筑物成本比率",INDIRECT("'"&amp;D33&amp;"'"&amp;"!c:c"))))</f>
        <v>0.80400000000000005</v>
      </c>
      <c r="E35" s="2035" t="s">
        <v>771</v>
      </c>
      <c r="F35" s="2036"/>
      <c r="G35" s="280"/>
      <c r="H35" s="280"/>
      <c r="I35" s="280"/>
    </row>
    <row r="36" spans="1:15" ht="15">
      <c r="A36" s="3079" t="s">
        <v>772</v>
      </c>
      <c r="B36" s="2037" t="s">
        <v>773</v>
      </c>
      <c r="C36" s="2038"/>
      <c r="D36" s="2039"/>
      <c r="E36" s="2040"/>
      <c r="F36" s="2041"/>
      <c r="G36" s="280"/>
      <c r="H36" s="280"/>
      <c r="I36" s="280"/>
    </row>
    <row r="37" spans="1:15" ht="15">
      <c r="A37" s="3080"/>
      <c r="B37" s="2042" t="s">
        <v>774</v>
      </c>
      <c r="C37" s="2043"/>
      <c r="D37" s="2044"/>
      <c r="E37" s="2044"/>
      <c r="F37" s="2041"/>
      <c r="G37" s="280"/>
      <c r="H37" s="280"/>
      <c r="I37" s="280"/>
    </row>
    <row r="38" spans="1:15" ht="15">
      <c r="A38" s="3081"/>
      <c r="B38" s="2045" t="s">
        <v>775</v>
      </c>
      <c r="C38" s="2046"/>
      <c r="D38" s="2047" t="s">
        <v>776</v>
      </c>
      <c r="E38" s="2044"/>
      <c r="F38" s="2041"/>
      <c r="G38" s="280"/>
      <c r="H38" s="280"/>
      <c r="I38" s="280"/>
    </row>
    <row r="39" spans="1:15" ht="15">
      <c r="A39" s="1996" t="s">
        <v>777</v>
      </c>
      <c r="B39" s="2048" t="s">
        <v>758</v>
      </c>
      <c r="C39" s="2049" t="s">
        <v>759</v>
      </c>
      <c r="D39" s="2049" t="s">
        <v>778</v>
      </c>
      <c r="E39" s="2050" t="s">
        <v>760</v>
      </c>
      <c r="F39" s="2041"/>
      <c r="G39" s="280"/>
      <c r="H39" s="280"/>
      <c r="I39" s="280"/>
    </row>
    <row r="40" spans="1:15" ht="14.25">
      <c r="A40" s="2051" t="s">
        <v>779</v>
      </c>
      <c r="B40" s="2052"/>
      <c r="C40" s="298"/>
      <c r="D40" s="298"/>
      <c r="E40" s="2053"/>
      <c r="F40" s="2041"/>
      <c r="G40" s="280"/>
      <c r="H40" s="280"/>
      <c r="I40" s="280"/>
    </row>
    <row r="41" spans="1:15" ht="14.25">
      <c r="A41" s="2051" t="s">
        <v>780</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hidden="1">
      <c r="A44" s="2059" t="s">
        <v>781</v>
      </c>
      <c r="B44" s="2060"/>
      <c r="C44" s="2060"/>
      <c r="D44" s="2061"/>
      <c r="E44" s="2061"/>
      <c r="F44" s="2062"/>
      <c r="G44" s="2062"/>
      <c r="H44" s="2062"/>
      <c r="I44" s="2062"/>
      <c r="J44" s="2117" t="s">
        <v>782</v>
      </c>
      <c r="K44" s="2118"/>
      <c r="L44" s="2118"/>
      <c r="M44" s="2118"/>
      <c r="N44" s="2118"/>
      <c r="O44" s="2118"/>
    </row>
    <row r="45" spans="1:15" ht="14.25" hidden="1" customHeight="1">
      <c r="A45" s="3152" t="s">
        <v>783</v>
      </c>
      <c r="B45" s="3153"/>
      <c r="C45" s="3154"/>
      <c r="D45" s="1595">
        <f ca="1">ROUND(H101*F45,0)</f>
        <v>5401</v>
      </c>
      <c r="E45" s="2063" t="s">
        <v>784</v>
      </c>
      <c r="F45" s="2064">
        <v>1</v>
      </c>
      <c r="G45" s="2065" t="s">
        <v>785</v>
      </c>
      <c r="H45" s="280"/>
      <c r="I45" s="280"/>
      <c r="J45" s="3142" t="s">
        <v>786</v>
      </c>
      <c r="K45" s="3142"/>
      <c r="L45" s="3142"/>
      <c r="M45" s="3142"/>
      <c r="N45" s="3142"/>
      <c r="O45" s="3142"/>
    </row>
    <row r="46" spans="1:15" ht="14.25" hidden="1" customHeight="1">
      <c r="A46" s="3155" t="s">
        <v>787</v>
      </c>
      <c r="B46" s="3156"/>
      <c r="C46" s="3156"/>
      <c r="D46" s="3156"/>
      <c r="E46" s="3156"/>
      <c r="F46" s="3156"/>
      <c r="G46" s="3157"/>
      <c r="H46" s="2066"/>
      <c r="I46" s="281"/>
      <c r="J46" s="723">
        <v>1</v>
      </c>
      <c r="K46" s="3142" t="s">
        <v>788</v>
      </c>
      <c r="L46" s="3142"/>
      <c r="M46" s="3158"/>
      <c r="N46" s="3158"/>
      <c r="O46" s="3158"/>
    </row>
    <row r="47" spans="1:15" ht="12" hidden="1" customHeight="1">
      <c r="A47" s="2067" t="s">
        <v>789</v>
      </c>
      <c r="B47" s="2068"/>
      <c r="C47" s="2069"/>
      <c r="D47" s="2070" t="s">
        <v>790</v>
      </c>
      <c r="E47" s="291" t="s">
        <v>791</v>
      </c>
      <c r="F47" s="2071" t="s">
        <v>792</v>
      </c>
      <c r="G47" s="2072" t="s">
        <v>793</v>
      </c>
      <c r="H47" s="2066"/>
      <c r="I47" s="281"/>
      <c r="J47" s="723">
        <v>2</v>
      </c>
      <c r="K47" s="3142" t="s">
        <v>794</v>
      </c>
      <c r="L47" s="3142"/>
      <c r="M47" s="3159">
        <f>'数据-取费表'!B2</f>
        <v>43531</v>
      </c>
      <c r="N47" s="3159"/>
      <c r="O47" s="3159"/>
    </row>
    <row r="48" spans="1:15" ht="25.5" hidden="1">
      <c r="A48" s="3141" t="s">
        <v>795</v>
      </c>
      <c r="B48" s="3138"/>
      <c r="C48" s="3138"/>
      <c r="D48" s="1636">
        <f>IF(H48="情况1",0,IF(H48="情况2",D52,IF(H48="情况3",D53,IF(H48="情况4",D54))))</f>
        <v>0</v>
      </c>
      <c r="E48" s="1649" t="str">
        <f>IF(H48="情况4","(销售额-原购置价)×税（费）率","销售额×税（费）率")</f>
        <v>销售额×税（费）率</v>
      </c>
      <c r="F48" s="2073" t="str">
        <f>IF(H48="情况1","免征",'数据-取费表'!B41)</f>
        <v>免征</v>
      </c>
      <c r="G48" s="2074" t="s">
        <v>796</v>
      </c>
      <c r="H48" s="2075" t="s">
        <v>797</v>
      </c>
      <c r="I48" s="2066"/>
      <c r="J48" s="723">
        <v>3</v>
      </c>
      <c r="K48" s="3142" t="s">
        <v>798</v>
      </c>
      <c r="L48" s="3142"/>
      <c r="M48" s="3143">
        <f ca="1">H101</f>
        <v>5401</v>
      </c>
      <c r="N48" s="3143"/>
      <c r="O48" s="3143"/>
    </row>
    <row r="49" spans="1:35" ht="25.5" hidden="1" customHeight="1">
      <c r="A49" s="2076" t="s">
        <v>799</v>
      </c>
      <c r="B49" s="3111" t="s">
        <v>800</v>
      </c>
      <c r="C49" s="3111"/>
      <c r="D49" s="1872">
        <v>0</v>
      </c>
      <c r="E49" s="2077" t="s">
        <v>801</v>
      </c>
      <c r="F49" s="2078" t="s">
        <v>124</v>
      </c>
      <c r="G49" s="3144"/>
      <c r="H49" s="280"/>
      <c r="I49" s="2120"/>
      <c r="J49" s="723">
        <v>4</v>
      </c>
      <c r="K49" s="3142" t="str">
        <f>IF(项目基本情况!E8="房地产抵押价值","房地产抵押价值","抵押担保权已注销时的房地产抵押价值")</f>
        <v>房地产抵押价值</v>
      </c>
      <c r="L49" s="3142"/>
      <c r="M49" s="3143">
        <f ca="1">IF(项目基本情况!E8="房地产抵押价值",H107,H109)</f>
        <v>5401</v>
      </c>
      <c r="N49" s="3143"/>
      <c r="O49" s="3143"/>
    </row>
    <row r="50" spans="1:35" ht="25.5" hidden="1" customHeight="1">
      <c r="A50" s="2080"/>
      <c r="B50" s="3111" t="s">
        <v>802</v>
      </c>
      <c r="C50" s="3111"/>
      <c r="D50" s="2081"/>
      <c r="E50" s="2082"/>
      <c r="F50" s="2083"/>
      <c r="G50" s="3145"/>
      <c r="H50" s="280"/>
      <c r="I50" s="2120"/>
      <c r="J50" s="3142" t="s">
        <v>803</v>
      </c>
      <c r="K50" s="3142"/>
      <c r="L50" s="3142"/>
      <c r="M50" s="3142"/>
      <c r="N50" s="3142"/>
      <c r="O50" s="3142"/>
    </row>
    <row r="51" spans="1:35" ht="12" hidden="1" customHeight="1">
      <c r="A51" s="2084"/>
      <c r="B51" s="3111" t="s">
        <v>804</v>
      </c>
      <c r="C51" s="3111"/>
      <c r="D51" s="2085"/>
      <c r="E51" s="618"/>
      <c r="F51" s="2083"/>
      <c r="G51" s="3146"/>
      <c r="H51" s="280"/>
      <c r="I51" s="2120"/>
      <c r="J51" s="2119" t="s">
        <v>805</v>
      </c>
      <c r="K51" s="3142" t="s">
        <v>806</v>
      </c>
      <c r="L51" s="3142"/>
      <c r="M51" s="2119" t="s">
        <v>807</v>
      </c>
      <c r="N51" s="2119" t="s">
        <v>808</v>
      </c>
      <c r="O51" s="2119" t="s">
        <v>809</v>
      </c>
    </row>
    <row r="52" spans="1:35" ht="24" hidden="1" customHeight="1">
      <c r="A52" s="2087" t="s">
        <v>810</v>
      </c>
      <c r="B52" s="3111" t="s">
        <v>811</v>
      </c>
      <c r="C52" s="3111"/>
      <c r="D52" s="2085">
        <f ca="1">ROUND(D45*'数据-取费表'!B41/(1+'数据-取费表'!C42),0)</f>
        <v>283</v>
      </c>
      <c r="E52" s="294" t="s">
        <v>812</v>
      </c>
      <c r="F52" s="2088">
        <f>'数据-取费表'!B41</f>
        <v>5.5E-2</v>
      </c>
      <c r="G52" s="2089"/>
      <c r="H52" s="280"/>
      <c r="I52" s="2120"/>
      <c r="J52" s="723">
        <v>1</v>
      </c>
      <c r="K52" s="3132" t="s">
        <v>813</v>
      </c>
      <c r="L52" s="3132"/>
      <c r="M52" s="2121">
        <f>D48</f>
        <v>0</v>
      </c>
      <c r="N52" s="723" t="str">
        <f>E48</f>
        <v>销售额×税（费）率</v>
      </c>
      <c r="O52" s="2122" t="str">
        <f>F48</f>
        <v>免征</v>
      </c>
    </row>
    <row r="53" spans="1:35" ht="12" hidden="1" customHeight="1">
      <c r="A53" s="2087" t="s">
        <v>814</v>
      </c>
      <c r="B53" s="3110" t="s">
        <v>815</v>
      </c>
      <c r="C53" s="3136"/>
      <c r="D53" s="2085">
        <f ca="1">ROUND(D45*'数据-取费表'!B41/(1+'数据-取费表'!C42),0)</f>
        <v>283</v>
      </c>
      <c r="E53" s="294" t="s">
        <v>812</v>
      </c>
      <c r="F53" s="2088">
        <f>'数据-取费表'!B41</f>
        <v>5.5E-2</v>
      </c>
      <c r="G53" s="2089"/>
      <c r="H53" s="280"/>
      <c r="I53" s="2120"/>
      <c r="J53" s="723">
        <v>2</v>
      </c>
      <c r="K53" s="3132" t="s">
        <v>816</v>
      </c>
      <c r="L53" s="3132"/>
      <c r="M53" s="2121">
        <f t="shared" ref="M53:O54" ca="1" si="0">D55</f>
        <v>3</v>
      </c>
      <c r="N53" s="723" t="str">
        <f t="shared" si="0"/>
        <v>销售额×税（费）率</v>
      </c>
      <c r="O53" s="2122">
        <f t="shared" si="0"/>
        <v>5.0000000000000001E-4</v>
      </c>
    </row>
    <row r="54" spans="1:35" ht="12" hidden="1" customHeight="1">
      <c r="A54" s="2087" t="s">
        <v>817</v>
      </c>
      <c r="B54" s="3110" t="s">
        <v>818</v>
      </c>
      <c r="C54" s="3136"/>
      <c r="D54" s="2085">
        <f ca="1">C68</f>
        <v>283</v>
      </c>
      <c r="E54" s="618" t="s">
        <v>819</v>
      </c>
      <c r="F54" s="2088">
        <f>'数据-取费表'!B41</f>
        <v>5.5E-2</v>
      </c>
      <c r="G54" s="2089"/>
      <c r="H54" s="2090"/>
      <c r="I54" s="2120"/>
      <c r="J54" s="723">
        <v>3</v>
      </c>
      <c r="K54" s="3132" t="s">
        <v>820</v>
      </c>
      <c r="L54" s="3132"/>
      <c r="M54" s="2121">
        <f t="shared" ca="1" si="0"/>
        <v>3062</v>
      </c>
      <c r="N54" s="723" t="str">
        <f t="shared" si="0"/>
        <v>增值额×税（费）率</v>
      </c>
      <c r="O54" s="2123" t="str">
        <f t="shared" si="0"/>
        <v>——</v>
      </c>
    </row>
    <row r="55" spans="1:35" ht="24" hidden="1" customHeight="1">
      <c r="A55" s="3137" t="s">
        <v>821</v>
      </c>
      <c r="B55" s="3138"/>
      <c r="C55" s="3138"/>
      <c r="D55" s="2091">
        <f ca="1">IF(H55="个人住宅",0,ROUND(D45*I55,0))</f>
        <v>3</v>
      </c>
      <c r="E55" s="294" t="s">
        <v>822</v>
      </c>
      <c r="F55" s="2088">
        <f>IF(H55="正常",I55,"免征")</f>
        <v>5.0000000000000001E-4</v>
      </c>
      <c r="G55" s="2089"/>
      <c r="H55" s="2075" t="s">
        <v>823</v>
      </c>
      <c r="I55" s="2124">
        <f>'数据-取费表'!B49</f>
        <v>5.0000000000000001E-4</v>
      </c>
      <c r="J55" s="723" t="str">
        <f>IF(H59="非个人房产","",4)</f>
        <v/>
      </c>
      <c r="K55" s="3132" t="str">
        <f>IF(H59="非个人房产","——","个人所得税")</f>
        <v>——</v>
      </c>
      <c r="L55" s="3132"/>
      <c r="M55" s="2125" t="str">
        <f>D59</f>
        <v>——</v>
      </c>
      <c r="N55" s="854" t="str">
        <f>E59</f>
        <v>——</v>
      </c>
      <c r="O55" s="2126" t="str">
        <f>F59</f>
        <v>——</v>
      </c>
    </row>
    <row r="56" spans="1:35" ht="24.75" hidden="1">
      <c r="A56" s="3137" t="s">
        <v>824</v>
      </c>
      <c r="B56" s="3138"/>
      <c r="C56" s="3138"/>
      <c r="D56" s="2091">
        <f ca="1">IF(H56="个人住宅",D57,D58)</f>
        <v>3062</v>
      </c>
      <c r="E56" s="294" t="s">
        <v>825</v>
      </c>
      <c r="F56" s="2088" t="str">
        <f>IF(H56="正常",F58,"免征")</f>
        <v>——</v>
      </c>
      <c r="G56" s="2092" t="s">
        <v>826</v>
      </c>
      <c r="H56" s="2093" t="s">
        <v>823</v>
      </c>
      <c r="I56" s="2096"/>
      <c r="J56" s="723" t="str">
        <f>IF(项目基本情况!K6="上海银行",IF(J55="",4,J55+1),"")</f>
        <v/>
      </c>
      <c r="K56" s="3139" t="str">
        <f>IF(项目基本情况!K6="上海银行","其他处置费用","")</f>
        <v/>
      </c>
      <c r="L56" s="3140"/>
      <c r="M56" s="2121" t="str">
        <f>IF(项目基本情况!K6="上海银行",M69,"")</f>
        <v/>
      </c>
      <c r="N56" s="3124" t="str">
        <f>IF(项目基本情况!K6="上海银行","包含处置中涉及的律师、诉讼、拍卖、评估等费用","")</f>
        <v/>
      </c>
      <c r="O56" s="3125"/>
    </row>
    <row r="57" spans="1:35" ht="12.75" hidden="1">
      <c r="A57" s="2087" t="s">
        <v>799</v>
      </c>
      <c r="B57" s="3126" t="s">
        <v>827</v>
      </c>
      <c r="C57" s="3127"/>
      <c r="D57" s="2095">
        <v>0</v>
      </c>
      <c r="E57" s="2077" t="s">
        <v>801</v>
      </c>
      <c r="F57" s="238"/>
      <c r="G57" s="2089"/>
      <c r="H57" s="2096"/>
      <c r="I57" s="2096"/>
      <c r="J57" s="3132">
        <f>IF(AND(J55="",J56=""),4,IF(项目基本情况!K6="上海银行",结果表!J56+1,结果表!J55+1))</f>
        <v>4</v>
      </c>
      <c r="K57" s="3132" t="s">
        <v>828</v>
      </c>
      <c r="L57" s="2127" t="s">
        <v>829</v>
      </c>
      <c r="M57" s="2128"/>
      <c r="N57" s="2129">
        <f ca="1">SUMIF(M52:M56,"&lt;9e307")</f>
        <v>3065</v>
      </c>
      <c r="O57" s="2130"/>
      <c r="P57" s="2131">
        <f ca="1">N57/M49</f>
        <v>0.56748750231438627</v>
      </c>
    </row>
    <row r="58" spans="1:35" ht="24.75" hidden="1">
      <c r="A58" s="2087" t="s">
        <v>810</v>
      </c>
      <c r="B58" s="3126" t="s">
        <v>830</v>
      </c>
      <c r="C58" s="3128"/>
      <c r="D58" s="2091">
        <f ca="1">IF(H58="转让取得",C81,C97)</f>
        <v>3062</v>
      </c>
      <c r="E58" s="294" t="s">
        <v>825</v>
      </c>
      <c r="F58" s="291" t="s">
        <v>124</v>
      </c>
      <c r="G58" s="2089"/>
      <c r="H58" s="2093" t="s">
        <v>831</v>
      </c>
      <c r="I58" s="2096"/>
      <c r="J58" s="3132"/>
      <c r="K58" s="3132"/>
      <c r="L58" s="2127" t="s">
        <v>832</v>
      </c>
      <c r="M58" s="2132"/>
      <c r="N58" s="2133" t="str">
        <f ca="1">NUMBERSTRING(INT(N57*10000),2)&amp;"元整"</f>
        <v>叁仟零陆拾伍万元整</v>
      </c>
      <c r="O58" s="2134"/>
    </row>
    <row r="59" spans="1:35" ht="24" hidden="1">
      <c r="A59" s="3129" t="s">
        <v>833</v>
      </c>
      <c r="B59" s="3130"/>
      <c r="C59" s="3130"/>
      <c r="D59" s="2097" t="str">
        <f>IF(H59="非个人房产","——",IF(H59="个人住宅",0,ROUND(D45*I59,0)))</f>
        <v>——</v>
      </c>
      <c r="E59" s="2098" t="str">
        <f>IF(H59="非个人房产","——","销售额×税（费）率")</f>
        <v>——</v>
      </c>
      <c r="F59" s="2099" t="str">
        <f>IF(H59="非个人房产","——",IF(H59="个人住宅","免征",I59))</f>
        <v>——</v>
      </c>
      <c r="G59" s="2100" t="s">
        <v>826</v>
      </c>
      <c r="H59" s="2093" t="s">
        <v>834</v>
      </c>
      <c r="I59" s="2135">
        <v>0.01</v>
      </c>
      <c r="J59" s="3133">
        <f>J57+1</f>
        <v>5</v>
      </c>
      <c r="K59" s="3132" t="s">
        <v>835</v>
      </c>
      <c r="L59" s="723" t="s">
        <v>829</v>
      </c>
      <c r="M59" s="2136"/>
      <c r="N59" s="2137">
        <f ca="1">M49-N57</f>
        <v>2336</v>
      </c>
      <c r="O59" s="2138"/>
    </row>
    <row r="60" spans="1:35" ht="12" hidden="1" customHeight="1">
      <c r="A60" s="2101"/>
      <c r="B60" s="1973"/>
      <c r="C60" s="1973"/>
      <c r="D60" s="1973"/>
      <c r="E60" s="2102"/>
      <c r="F60" s="2096"/>
      <c r="G60" s="2096"/>
      <c r="H60" s="2103"/>
      <c r="I60" s="280"/>
      <c r="J60" s="3134"/>
      <c r="K60" s="3132"/>
      <c r="L60" s="2127" t="s">
        <v>832</v>
      </c>
      <c r="M60" s="2132"/>
      <c r="N60" s="2133" t="str">
        <f ca="1">NUMBERSTRING(INT(N59*10000),2)&amp;"元整"</f>
        <v>贰仟叁佰叁拾陆万元整</v>
      </c>
      <c r="O60" s="2134"/>
    </row>
    <row r="61" spans="1:35" ht="12.75" hidden="1">
      <c r="A61" s="3131" t="s">
        <v>836</v>
      </c>
      <c r="B61" s="3131"/>
      <c r="C61" s="3131"/>
      <c r="D61" s="3131"/>
      <c r="E61" s="3131"/>
      <c r="F61" s="2096"/>
      <c r="G61" s="2096"/>
      <c r="H61" s="2103"/>
      <c r="I61" s="280"/>
      <c r="J61" s="723">
        <f>J59+1</f>
        <v>6</v>
      </c>
      <c r="K61" s="3132" t="s">
        <v>837</v>
      </c>
      <c r="L61" s="3132"/>
      <c r="M61" s="2139"/>
      <c r="N61" s="2140">
        <f ca="1">ROUND(N59*10000/'数据-汇总表'!E3,0)</f>
        <v>1299</v>
      </c>
      <c r="O61" s="2141"/>
    </row>
    <row r="62" spans="1:35" ht="12.75" hidden="1">
      <c r="A62" s="3118" t="s">
        <v>838</v>
      </c>
      <c r="B62" s="3119"/>
      <c r="C62" s="629"/>
      <c r="D62" s="629" t="s">
        <v>839</v>
      </c>
      <c r="E62" s="2104" t="s">
        <v>793</v>
      </c>
      <c r="F62" s="2096"/>
      <c r="G62" s="2096"/>
      <c r="H62" s="2103"/>
      <c r="I62" s="280"/>
    </row>
    <row r="63" spans="1:35" ht="12.75" hidden="1">
      <c r="A63" s="2105" t="s">
        <v>840</v>
      </c>
      <c r="B63" s="2106" t="s">
        <v>841</v>
      </c>
      <c r="C63" s="2107">
        <f ca="1">ROUND((C64+C65)/(1+'数据-取费表'!C42),0)</f>
        <v>5144</v>
      </c>
      <c r="D63" s="2108"/>
      <c r="E63" s="2109"/>
      <c r="F63" s="2096"/>
      <c r="G63" s="2096"/>
      <c r="H63" s="2103"/>
      <c r="I63" s="280"/>
      <c r="J63" s="3135" t="s">
        <v>842</v>
      </c>
      <c r="K63" s="2142" t="s">
        <v>843</v>
      </c>
      <c r="L63" s="2143">
        <f ca="1">IF(M49&gt;10000,M49*0.5%,IF(AND(M49&gt;1000,M49&lt;=10000),M49*1%,IF(AND(M49&gt;100,M49&lt;=1000),M49*3%,IF(AND(M49&gt;10,M49&lt;=100),M49*5%,M49*8%))))</f>
        <v>54.01</v>
      </c>
      <c r="M63" s="291">
        <f ca="1">ROUND(L63,1)</f>
        <v>54</v>
      </c>
      <c r="Z63" s="1970"/>
      <c r="AI63" s="1971"/>
    </row>
    <row r="64" spans="1:35" ht="14.25" hidden="1" customHeight="1">
      <c r="A64" s="2110" t="s">
        <v>844</v>
      </c>
      <c r="B64" s="581" t="s">
        <v>845</v>
      </c>
      <c r="C64" s="2111">
        <f ca="1">D45</f>
        <v>5401</v>
      </c>
      <c r="D64" s="606" t="s">
        <v>124</v>
      </c>
      <c r="E64" s="2112"/>
      <c r="F64" s="2096"/>
      <c r="G64" s="2096"/>
      <c r="H64" s="2103"/>
      <c r="I64" s="280"/>
      <c r="J64" s="3135"/>
      <c r="K64" s="2142" t="s">
        <v>846</v>
      </c>
      <c r="L64" s="2143">
        <f ca="1">IF(M49&gt;2000,M49*0.5%,IF(AND(M49&gt;1000,M49&lt;=2000),M49*0.6%,IF(AND(M49&gt;500,M49&lt;=1000),M49*0.7%,IF(AND(M49&gt;200,M49&lt;=500),M49*0.8%,IF(AND(M49&gt;100,M49&lt;=200),M49*0.9%,IF(AND(M49&gt;50,M49&lt;=100),M49*1%,IF(AND(M49&gt;20,M49&lt;=50),M49*1.5%,IF(AND(M49&gt;10,M49&lt;=20),M49*2%,IF(AND(M49&gt;1,M49&lt;=10),M49*2.5%)))))))))</f>
        <v>27.004999999999999</v>
      </c>
      <c r="M64" s="291">
        <f t="shared" ref="M64:M65" ca="1" si="1">ROUND(L64,1)</f>
        <v>27</v>
      </c>
      <c r="N64" s="280" t="s">
        <v>847</v>
      </c>
      <c r="Z64" s="1970"/>
      <c r="AI64" s="1971"/>
    </row>
    <row r="65" spans="1:35" ht="14.25" hidden="1" customHeight="1">
      <c r="A65" s="2110" t="s">
        <v>848</v>
      </c>
      <c r="B65" s="581" t="s">
        <v>849</v>
      </c>
      <c r="C65" s="2144"/>
      <c r="D65" s="606"/>
      <c r="E65" s="2112"/>
      <c r="F65" s="2096"/>
      <c r="G65" s="2096"/>
      <c r="H65" s="2103"/>
      <c r="I65" s="280"/>
      <c r="J65" s="3135"/>
      <c r="K65" s="2142" t="s">
        <v>850</v>
      </c>
      <c r="L65" s="2143">
        <f ca="1">IF(M49&gt;1000,M49*0.1%,IF(AND(M49&gt;500,M49&lt;=1000),M49*0.5%,IF(AND(M49&gt;50,M49&lt;=500),M49*1%,IF(AND(M49&gt;1,M49&lt;=50),M49*1.5%))))</f>
        <v>5.4009999999999998</v>
      </c>
      <c r="M65" s="291">
        <f t="shared" ca="1" si="1"/>
        <v>5.4</v>
      </c>
      <c r="N65" s="280" t="s">
        <v>847</v>
      </c>
      <c r="Z65" s="1970"/>
      <c r="AI65" s="1971"/>
    </row>
    <row r="66" spans="1:35" ht="14.25" hidden="1" customHeight="1">
      <c r="A66" s="2105" t="s">
        <v>851</v>
      </c>
      <c r="B66" s="2145" t="s">
        <v>852</v>
      </c>
      <c r="C66" s="2146"/>
      <c r="D66" s="672" t="s">
        <v>124</v>
      </c>
      <c r="E66" s="2147" t="s">
        <v>853</v>
      </c>
      <c r="F66" s="2096"/>
      <c r="G66" s="2096"/>
      <c r="H66" s="2103"/>
      <c r="I66" s="280"/>
      <c r="J66" s="3135"/>
      <c r="K66" s="2142" t="s">
        <v>854</v>
      </c>
      <c r="L66" s="2143">
        <f ca="1">M49*0.5%</f>
        <v>27.004999999999999</v>
      </c>
      <c r="M66" s="291">
        <f ca="1">IF(L66&gt;0.5,0.5,ROUND(L66,0))</f>
        <v>0.5</v>
      </c>
      <c r="N66" s="280" t="s">
        <v>855</v>
      </c>
      <c r="Z66" s="1970"/>
      <c r="AI66" s="1971"/>
    </row>
    <row r="67" spans="1:35" ht="14.25" hidden="1" customHeight="1">
      <c r="A67" s="2105" t="s">
        <v>856</v>
      </c>
      <c r="B67" s="2145" t="s">
        <v>857</v>
      </c>
      <c r="C67" s="2148">
        <f ca="1">C63-C66</f>
        <v>5144</v>
      </c>
      <c r="D67" s="606" t="s">
        <v>124</v>
      </c>
      <c r="E67" s="2112"/>
      <c r="F67" s="2096"/>
      <c r="G67" s="2096"/>
      <c r="H67" s="2103"/>
      <c r="I67" s="280"/>
      <c r="J67" s="3135"/>
      <c r="K67" s="2142" t="s">
        <v>858</v>
      </c>
      <c r="L67" s="2143">
        <f ca="1">IF(M49&gt;=10000,(8.25+(M49-10000)*0.01%),IF(AND(M49&gt;=8000,M49&lt;10000),(7.85+(M49-8000)*0.02%),IF(AND(M49&gt;=5000,M49&lt;8000),(6.65+(M49-5000)*0.04%),IF(AND(M49&gt;=2000,M49&lt;5000),(4.25+(PM49-2000)*0.08%),IF(AND(M49&gt;=1000,M49&lt;2000),(2.75+(M49-1000)*0.15%),IF(AND(M49&gt;=100,M49&lt;1000),(0.5+(M49-100)*0.25%),IF(AND(M49&gt;0,M49&lt;100),M49*0.5%)))))))</f>
        <v>6.8104000000000005</v>
      </c>
      <c r="M67" s="291">
        <f ca="1">ROUND(L67*0.9,1)</f>
        <v>6.1</v>
      </c>
      <c r="Z67" s="1970"/>
      <c r="AI67" s="1971"/>
    </row>
    <row r="68" spans="1:35" ht="14.25" hidden="1" customHeight="1">
      <c r="A68" s="2149" t="s">
        <v>859</v>
      </c>
      <c r="B68" s="2150" t="s">
        <v>860</v>
      </c>
      <c r="C68" s="2151">
        <f ca="1">IF(C67&lt;=0,0,ROUND(C67*D68,0))</f>
        <v>283</v>
      </c>
      <c r="D68" s="769">
        <f>'数据-取费表'!B41</f>
        <v>5.5E-2</v>
      </c>
      <c r="E68" s="2152"/>
      <c r="F68" s="2096"/>
      <c r="G68" s="2096"/>
      <c r="H68" s="2103"/>
      <c r="I68" s="280"/>
      <c r="J68" s="3135"/>
      <c r="K68" s="2142" t="s">
        <v>861</v>
      </c>
      <c r="L68" s="2143">
        <f ca="1">IF(M49&gt;10000,M49*0.5%,IF(AND(M49&gt;5000,M49&lt;=10000),M49*1%,IF(AND(M49&gt;1000,M49&lt;=5000),M49*2%,IF(AND(M49&gt;200,M49&lt;=1000),M49*3%,M49*5%))))</f>
        <v>54.01</v>
      </c>
      <c r="M68" s="291">
        <f ca="1">ROUND(L68,1)</f>
        <v>54</v>
      </c>
      <c r="Z68" s="1970"/>
      <c r="AI68" s="1971"/>
    </row>
    <row r="69" spans="1:35" s="1968" customFormat="1" ht="16.5" hidden="1" customHeight="1">
      <c r="A69" s="2153"/>
      <c r="B69" s="2154"/>
      <c r="C69" s="2155"/>
      <c r="D69" s="730"/>
      <c r="E69" s="2156"/>
      <c r="F69" s="2102"/>
      <c r="G69" s="2102"/>
      <c r="H69" s="2057"/>
      <c r="I69" s="1973"/>
      <c r="J69" s="3135"/>
      <c r="K69" s="2142" t="s">
        <v>862</v>
      </c>
      <c r="L69" s="2216"/>
      <c r="M69" s="291">
        <f ca="1">ROUND(SUM(M63:M68),0)</f>
        <v>147</v>
      </c>
      <c r="N69" s="2131">
        <f ca="1">M69/M49</f>
        <v>2.7217182003332716E-2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hidden="1">
      <c r="A70" s="3116" t="s">
        <v>863</v>
      </c>
      <c r="B70" s="3117"/>
      <c r="C70" s="3117"/>
      <c r="D70" s="3117"/>
      <c r="E70" s="3117"/>
      <c r="F70" s="3117"/>
      <c r="G70" s="3117"/>
      <c r="H70" s="3117"/>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hidden="1">
      <c r="A71" s="3118" t="s">
        <v>838</v>
      </c>
      <c r="B71" s="3119"/>
      <c r="C71" s="629"/>
      <c r="D71" s="629" t="s">
        <v>839</v>
      </c>
      <c r="E71" s="2157" t="s">
        <v>793</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hidden="1">
      <c r="A72" s="2105" t="s">
        <v>840</v>
      </c>
      <c r="B72" s="2145" t="s">
        <v>864</v>
      </c>
      <c r="C72" s="2148">
        <f ca="1">ROUND(D45/(1+'数据-取费表'!C42),0)</f>
        <v>5144</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hidden="1">
      <c r="A73" s="2105" t="s">
        <v>851</v>
      </c>
      <c r="B73" s="2071" t="s">
        <v>865</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hidden="1">
      <c r="A74" s="2161" t="s">
        <v>844</v>
      </c>
      <c r="B74" s="581" t="s">
        <v>866</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hidden="1">
      <c r="A75" s="2161" t="s">
        <v>867</v>
      </c>
      <c r="B75" s="581" t="s">
        <v>868</v>
      </c>
      <c r="C75" s="710"/>
      <c r="D75" s="606" t="s">
        <v>124</v>
      </c>
      <c r="E75" s="2162" t="s">
        <v>869</v>
      </c>
      <c r="F75" s="2163" t="s">
        <v>870</v>
      </c>
      <c r="G75" s="2162" t="s">
        <v>871</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hidden="1" customHeight="1">
      <c r="A76" s="2161" t="s">
        <v>872</v>
      </c>
      <c r="B76" s="2165" t="s">
        <v>873</v>
      </c>
      <c r="C76" s="606">
        <f>IF(F75="购房发票",ROUND(C75*H75*D76,0),0)</f>
        <v>0</v>
      </c>
      <c r="D76" s="2166">
        <v>0.05</v>
      </c>
      <c r="E76" s="3110" t="s">
        <v>874</v>
      </c>
      <c r="F76" s="3111"/>
      <c r="G76" s="3111"/>
      <c r="H76" s="3112"/>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hidden="1" customHeight="1">
      <c r="A77" s="2161" t="s">
        <v>875</v>
      </c>
      <c r="B77" s="581" t="s">
        <v>876</v>
      </c>
      <c r="C77" s="606">
        <f>ROUND(IF(G77="个人住宅",0,IF(G77="2016年5月1日前购买",C75*D77,C75*D77/(1+'数据-取费表'!C42))),0)</f>
        <v>0</v>
      </c>
      <c r="D77" s="2168">
        <f>'数据-取费表'!B48+'数据-取费表'!B49</f>
        <v>4.0500000000000001E-2</v>
      </c>
      <c r="E77" s="1745" t="s">
        <v>877</v>
      </c>
      <c r="F77" s="2169"/>
      <c r="G77" s="2170" t="s">
        <v>878</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hidden="1" customHeight="1">
      <c r="A78" s="2161" t="s">
        <v>848</v>
      </c>
      <c r="B78" s="581" t="s">
        <v>879</v>
      </c>
      <c r="C78" s="2171">
        <f ca="1">ROUND(D45*D78/(1+'数据-取费表'!C42),0)</f>
        <v>26</v>
      </c>
      <c r="D78" s="2172">
        <f>'数据-取费表'!B43</f>
        <v>5.0000000000000001E-3</v>
      </c>
      <c r="E78" s="3113" t="s">
        <v>880</v>
      </c>
      <c r="F78" s="3114"/>
      <c r="G78" s="3114"/>
      <c r="H78" s="3115"/>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hidden="1">
      <c r="A79" s="2176" t="s">
        <v>856</v>
      </c>
      <c r="B79" s="2145" t="s">
        <v>881</v>
      </c>
      <c r="C79" s="2148">
        <f ca="1">C72-C73</f>
        <v>5118</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hidden="1">
      <c r="A80" s="2176" t="s">
        <v>859</v>
      </c>
      <c r="B80" s="2145" t="s">
        <v>882</v>
      </c>
      <c r="C80" s="2177">
        <f ca="1">IF(C79&lt;=0,0,C79/C73)</f>
        <v>196.84615384615384</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hidden="1">
      <c r="A81" s="2178" t="s">
        <v>883</v>
      </c>
      <c r="B81" s="2150" t="s">
        <v>884</v>
      </c>
      <c r="C81" s="2179">
        <f ca="1">ROUND(IF(C79&lt;=0,0,IF(C80&gt;=200%,C79*60%-C73*35%,IF(C80&gt;=100%,C79*50%-C73*15%,IF(C80&gt;=50%,C79*40%-C73*5%,IF(C80&lt;50%,C79*30%,0))))),0)</f>
        <v>3062</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hidden="1"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hidden="1">
      <c r="A83" s="3116" t="s">
        <v>885</v>
      </c>
      <c r="B83" s="3117"/>
      <c r="C83" s="3117"/>
      <c r="D83" s="3117"/>
      <c r="E83" s="3117"/>
      <c r="F83" s="3117"/>
      <c r="G83" s="3117"/>
      <c r="H83" s="3117"/>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hidden="1">
      <c r="A84" s="3118" t="s">
        <v>838</v>
      </c>
      <c r="B84" s="3119"/>
      <c r="C84" s="629"/>
      <c r="D84" s="629" t="s">
        <v>839</v>
      </c>
      <c r="E84" s="2157" t="s">
        <v>793</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hidden="1">
      <c r="A85" s="2105" t="s">
        <v>840</v>
      </c>
      <c r="B85" s="2145" t="s">
        <v>864</v>
      </c>
      <c r="C85" s="2148">
        <f ca="1">ROUND(D45/(1+'数据-取费表'!C42),0)</f>
        <v>5144</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hidden="1">
      <c r="A86" s="2105" t="s">
        <v>851</v>
      </c>
      <c r="B86" s="2071" t="s">
        <v>865</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hidden="1">
      <c r="A87" s="2161" t="s">
        <v>844</v>
      </c>
      <c r="B87" s="581" t="s">
        <v>886</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hidden="1">
      <c r="A88" s="2161" t="s">
        <v>867</v>
      </c>
      <c r="B88" s="581" t="s">
        <v>887</v>
      </c>
      <c r="C88" s="2189"/>
      <c r="D88" s="2172"/>
      <c r="E88" s="2190" t="s">
        <v>888</v>
      </c>
      <c r="F88" s="2174"/>
      <c r="G88" s="2191" t="s">
        <v>889</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hidden="1">
      <c r="A89" s="2161" t="s">
        <v>872</v>
      </c>
      <c r="B89" s="581" t="s">
        <v>876</v>
      </c>
      <c r="C89" s="2171">
        <f>ROUND(C88*D89,0)</f>
        <v>0</v>
      </c>
      <c r="D89" s="2172">
        <f>'数据-取费表'!B48+'数据-取费表'!B49</f>
        <v>4.0500000000000001E-2</v>
      </c>
      <c r="E89" s="2190" t="s">
        <v>890</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hidden="1">
      <c r="A90" s="2161" t="s">
        <v>848</v>
      </c>
      <c r="B90" s="581" t="s">
        <v>891</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hidden="1" customHeight="1">
      <c r="A91" s="2161" t="s">
        <v>892</v>
      </c>
      <c r="B91" s="581" t="s">
        <v>893</v>
      </c>
      <c r="C91" s="2171">
        <f>IF(H91="——",成本法!C33,I91)</f>
        <v>0</v>
      </c>
      <c r="D91" s="2172"/>
      <c r="E91" s="3113" t="s">
        <v>894</v>
      </c>
      <c r="F91" s="3114"/>
      <c r="G91" s="3114"/>
      <c r="H91" s="2193" t="s">
        <v>895</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hidden="1" customHeight="1">
      <c r="A92" s="2161" t="s">
        <v>896</v>
      </c>
      <c r="B92" s="581" t="s">
        <v>897</v>
      </c>
      <c r="C92" s="2171">
        <f>ROUND((C87+C90+C91)*D92,0)</f>
        <v>0</v>
      </c>
      <c r="D92" s="2172">
        <v>0.1</v>
      </c>
      <c r="E92" s="3113" t="s">
        <v>898</v>
      </c>
      <c r="F92" s="3114"/>
      <c r="G92" s="3114"/>
      <c r="H92" s="3115"/>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hidden="1" customHeight="1">
      <c r="A93" s="2161" t="s">
        <v>899</v>
      </c>
      <c r="B93" s="581" t="s">
        <v>879</v>
      </c>
      <c r="C93" s="2171">
        <f ca="1">ROUND(D45*D93/(1+'数据-取费表'!C42),0)</f>
        <v>26</v>
      </c>
      <c r="D93" s="2172">
        <f>'数据-取费表'!B43</f>
        <v>5.0000000000000001E-3</v>
      </c>
      <c r="E93" s="3113" t="s">
        <v>880</v>
      </c>
      <c r="F93" s="3114"/>
      <c r="G93" s="3114"/>
      <c r="H93" s="3115"/>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hidden="1" customHeight="1">
      <c r="A94" s="2161" t="s">
        <v>900</v>
      </c>
      <c r="B94" s="581" t="s">
        <v>901</v>
      </c>
      <c r="C94" s="2189">
        <f>ROUND((C87+C90+C91)*D94,0)</f>
        <v>0</v>
      </c>
      <c r="D94" s="2172">
        <v>0.2</v>
      </c>
      <c r="E94" s="3120" t="s">
        <v>902</v>
      </c>
      <c r="F94" s="3121"/>
      <c r="G94" s="3121"/>
      <c r="H94" s="3122"/>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hidden="1">
      <c r="A95" s="2176" t="s">
        <v>856</v>
      </c>
      <c r="B95" s="2145" t="s">
        <v>881</v>
      </c>
      <c r="C95" s="2148">
        <f ca="1">ROUND(C85-C86,0)</f>
        <v>5118</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hidden="1">
      <c r="A96" s="2176" t="s">
        <v>859</v>
      </c>
      <c r="B96" s="2145" t="s">
        <v>882</v>
      </c>
      <c r="C96" s="2177">
        <f ca="1">IF(C95&lt;=0,0,C95/C86)</f>
        <v>196.84615384615384</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hidden="1">
      <c r="A97" s="2178" t="s">
        <v>883</v>
      </c>
      <c r="B97" s="2150" t="s">
        <v>884</v>
      </c>
      <c r="C97" s="2179">
        <f ca="1">ROUND(IF(C95&lt;=0,0,IF(C96&gt;=200%,C95*60%-C86*35%,IF(C96&gt;=100%,C95*50%-C86*15%,IF(C96&gt;=50%,C95*40%-C86*5%,IF(C96&lt;50%,C95*30%,0))))),0)</f>
        <v>3062</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903</v>
      </c>
      <c r="B99" s="1973"/>
      <c r="C99" s="1973"/>
      <c r="D99" s="1973"/>
      <c r="E99" s="2102"/>
      <c r="F99" s="2102"/>
      <c r="G99" s="2102"/>
      <c r="H99" s="2057"/>
      <c r="I99" s="280"/>
    </row>
    <row r="100" spans="1:35" ht="18.75" customHeight="1">
      <c r="A100" s="3062" t="s">
        <v>904</v>
      </c>
      <c r="B100" s="3063"/>
      <c r="C100" s="3063"/>
      <c r="D100" s="3123"/>
      <c r="E100" s="3063" t="s">
        <v>905</v>
      </c>
      <c r="F100" s="3063"/>
      <c r="G100" s="3063"/>
      <c r="H100" s="3123"/>
      <c r="I100" s="280"/>
    </row>
    <row r="101" spans="1:35" ht="18.75" customHeight="1">
      <c r="A101" s="3092" t="s">
        <v>906</v>
      </c>
      <c r="B101" s="3093"/>
      <c r="C101" s="2195" t="str">
        <f>C4</f>
        <v>成本法</v>
      </c>
      <c r="D101" s="2196" t="str">
        <f>D4</f>
        <v>收益法</v>
      </c>
      <c r="E101" s="3103" t="s">
        <v>907</v>
      </c>
      <c r="F101" s="3104"/>
      <c r="G101" s="2198" t="s">
        <v>908</v>
      </c>
      <c r="H101" s="2199">
        <f ca="1">H118</f>
        <v>5401</v>
      </c>
      <c r="I101" s="280"/>
    </row>
    <row r="102" spans="1:35" ht="18.75" customHeight="1">
      <c r="A102" s="3082" t="s">
        <v>909</v>
      </c>
      <c r="B102" s="2198" t="s">
        <v>908</v>
      </c>
      <c r="C102" s="2195">
        <f ca="1">C19</f>
        <v>5650</v>
      </c>
      <c r="D102" s="2196">
        <f ca="1">D19</f>
        <v>5151</v>
      </c>
      <c r="E102" s="3103"/>
      <c r="F102" s="3104"/>
      <c r="G102" s="2198" t="s">
        <v>99</v>
      </c>
      <c r="H102" s="1640">
        <f ca="1">I118</f>
        <v>3003</v>
      </c>
      <c r="I102" s="280"/>
    </row>
    <row r="103" spans="1:35" ht="42.75" customHeight="1">
      <c r="A103" s="3082"/>
      <c r="B103" s="2198" t="s">
        <v>99</v>
      </c>
      <c r="C103" s="2200">
        <f ca="1">C20</f>
        <v>3141</v>
      </c>
      <c r="D103" s="2201">
        <f ca="1">D20</f>
        <v>2864</v>
      </c>
      <c r="E103" s="3094" t="s">
        <v>910</v>
      </c>
      <c r="F103" s="3095"/>
      <c r="G103" s="2202" t="s">
        <v>102</v>
      </c>
      <c r="H103" s="2199">
        <f>IF(D36="正常操作",H104+H105+H106,H105+H106)</f>
        <v>0</v>
      </c>
      <c r="I103" s="280"/>
    </row>
    <row r="104" spans="1:35" ht="18.75" customHeight="1">
      <c r="A104" s="3082" t="s">
        <v>911</v>
      </c>
      <c r="B104" s="2203" t="s">
        <v>908</v>
      </c>
      <c r="C104" s="2204">
        <f ca="1">H118</f>
        <v>5401</v>
      </c>
      <c r="D104" s="2205"/>
      <c r="E104" s="2042" t="s">
        <v>912</v>
      </c>
      <c r="F104" s="2206"/>
      <c r="G104" s="2202" t="s">
        <v>102</v>
      </c>
      <c r="H104" s="2207">
        <f>IF(D36="同一抵押权人同一抵押物续贷",C36&amp;"（未扣减，详见特别提示）",C36)</f>
        <v>0</v>
      </c>
      <c r="I104" s="280"/>
    </row>
    <row r="105" spans="1:35" ht="18.75" customHeight="1">
      <c r="A105" s="3083"/>
      <c r="B105" s="2208" t="s">
        <v>99</v>
      </c>
      <c r="C105" s="2209">
        <f ca="1">I118</f>
        <v>3003</v>
      </c>
      <c r="D105" s="2210"/>
      <c r="E105" s="2042" t="s">
        <v>913</v>
      </c>
      <c r="F105" s="2206"/>
      <c r="G105" s="2202" t="s">
        <v>102</v>
      </c>
      <c r="H105" s="2207">
        <f>C37</f>
        <v>0</v>
      </c>
      <c r="I105" s="280"/>
    </row>
    <row r="106" spans="1:35" ht="18.75" customHeight="1">
      <c r="A106" s="1973" t="s">
        <v>914</v>
      </c>
      <c r="B106" s="1973"/>
      <c r="C106" s="1973"/>
      <c r="D106" s="1973"/>
      <c r="E106" s="2211" t="s">
        <v>915</v>
      </c>
      <c r="F106" s="2206"/>
      <c r="G106" s="2202" t="s">
        <v>102</v>
      </c>
      <c r="H106" s="2207">
        <f>C38</f>
        <v>0</v>
      </c>
      <c r="I106" s="280"/>
    </row>
    <row r="107" spans="1:35" ht="18.75" customHeight="1">
      <c r="A107" s="280"/>
      <c r="B107" s="280"/>
      <c r="C107" s="280"/>
      <c r="D107" s="280"/>
      <c r="E107" s="3105" t="str">
        <f>IF(项目基本情况!E8="已注销","——","3.房地产抵押价值")</f>
        <v>3.房地产抵押价值</v>
      </c>
      <c r="F107" s="3104"/>
      <c r="G107" s="2198" t="s">
        <v>908</v>
      </c>
      <c r="H107" s="2199">
        <f ca="1">IF(E107="——","——",H101-H103)</f>
        <v>5401</v>
      </c>
      <c r="I107" s="280"/>
    </row>
    <row r="108" spans="1:35" ht="18.75" customHeight="1">
      <c r="A108" s="280"/>
      <c r="B108" s="280"/>
      <c r="C108" s="280"/>
      <c r="D108" s="280"/>
      <c r="E108" s="3105"/>
      <c r="F108" s="3104"/>
      <c r="G108" s="2198" t="s">
        <v>99</v>
      </c>
      <c r="H108" s="1640">
        <f ca="1">ROUND(H107*10000/'数据-汇总表'!E3,0)</f>
        <v>3003</v>
      </c>
      <c r="I108" s="280"/>
    </row>
    <row r="109" spans="1:35" ht="18.75" customHeight="1">
      <c r="A109" s="280"/>
      <c r="B109" s="280"/>
      <c r="C109" s="280"/>
      <c r="D109" s="280"/>
      <c r="E109" s="3105" t="str">
        <f>IF(项目基本情况!E8="已注销及未注销","4.抵押担保权已注销时的房地产抵押价值",IF(项目基本情况!E8="已注销","3.抵押担保权已注销时的房地产抵押价值","——"))</f>
        <v>——</v>
      </c>
      <c r="F109" s="3104"/>
      <c r="G109" s="2198" t="s">
        <v>908</v>
      </c>
      <c r="H109" s="1597" t="str">
        <f>IF(E109="——","——",H101-H105-H106)</f>
        <v>——</v>
      </c>
      <c r="I109" s="280"/>
    </row>
    <row r="110" spans="1:35" ht="18.75" customHeight="1">
      <c r="A110" s="280"/>
      <c r="B110" s="280"/>
      <c r="C110" s="280"/>
      <c r="D110" s="280"/>
      <c r="E110" s="3105"/>
      <c r="F110" s="3104"/>
      <c r="G110" s="2198" t="s">
        <v>99</v>
      </c>
      <c r="H110" s="1640" t="str">
        <f>IF(H109="——","——",ROUND(H109*10000/'数据-汇总表'!E3,0))</f>
        <v>——</v>
      </c>
      <c r="I110" s="280"/>
    </row>
    <row r="111" spans="1:35" ht="18.75" customHeight="1">
      <c r="A111" s="280"/>
      <c r="B111" s="280"/>
      <c r="C111" s="280"/>
      <c r="D111" s="280"/>
      <c r="E111" s="3106" t="str">
        <f>IF(项目基本情况!E9="抵押净值",IF(OR(项目基本情况!E8="已注销",项目基本情况!E8="房地产抵押价值"),"4.抵押净值","5.抵押净值"),"——")</f>
        <v>——</v>
      </c>
      <c r="F111" s="3107"/>
      <c r="G111" s="2198" t="s">
        <v>908</v>
      </c>
      <c r="H111" s="2199" t="str">
        <f>IF(E111="——","——",N59)</f>
        <v>——</v>
      </c>
      <c r="I111" s="280"/>
    </row>
    <row r="112" spans="1:35" ht="18.75" customHeight="1">
      <c r="A112" s="280"/>
      <c r="B112" s="280"/>
      <c r="C112" s="280"/>
      <c r="D112" s="280"/>
      <c r="E112" s="3108"/>
      <c r="F112" s="3109"/>
      <c r="G112" s="2212" t="s">
        <v>99</v>
      </c>
      <c r="H112" s="2001" t="str">
        <f>IF(E111="——","——",N61)</f>
        <v>——</v>
      </c>
      <c r="I112" s="280"/>
    </row>
    <row r="113" spans="1:11" ht="18.75" customHeight="1">
      <c r="A113" s="280"/>
      <c r="B113" s="280"/>
      <c r="C113" s="280"/>
      <c r="D113" s="280"/>
      <c r="E113" s="3096" t="s">
        <v>914</v>
      </c>
      <c r="F113" s="3096"/>
      <c r="G113" s="3096"/>
      <c r="H113" s="3096"/>
      <c r="I113" s="280"/>
    </row>
    <row r="114" spans="1:11" ht="3.75" customHeight="1">
      <c r="A114" s="1973"/>
      <c r="B114" s="1973"/>
      <c r="C114" s="1973"/>
      <c r="D114" s="1973"/>
      <c r="E114" s="2101"/>
      <c r="F114" s="2101"/>
      <c r="G114" s="2101"/>
      <c r="H114" s="2101"/>
      <c r="I114" s="1973"/>
    </row>
    <row r="115" spans="1:11" ht="18.75" customHeight="1">
      <c r="A115" s="3097" t="s">
        <v>916</v>
      </c>
      <c r="B115" s="3098"/>
      <c r="C115" s="3098"/>
      <c r="D115" s="3098"/>
      <c r="E115" s="3098"/>
      <c r="F115" s="3098"/>
      <c r="G115" s="3098"/>
      <c r="H115" s="3098"/>
      <c r="I115" s="3099"/>
    </row>
    <row r="116" spans="1:11" ht="27" customHeight="1">
      <c r="A116" s="3020" t="s">
        <v>917</v>
      </c>
      <c r="B116" s="3084" t="s">
        <v>918</v>
      </c>
      <c r="C116" s="3084" t="s">
        <v>919</v>
      </c>
      <c r="D116" s="3100" t="s">
        <v>920</v>
      </c>
      <c r="E116" s="3101"/>
      <c r="F116" s="3102" t="s">
        <v>921</v>
      </c>
      <c r="G116" s="3102"/>
      <c r="H116" s="3020" t="s">
        <v>922</v>
      </c>
      <c r="I116" s="3020"/>
    </row>
    <row r="117" spans="1:11" ht="18.75" customHeight="1">
      <c r="A117" s="3020"/>
      <c r="B117" s="3085"/>
      <c r="C117" s="3085"/>
      <c r="D117" s="1079" t="s">
        <v>923</v>
      </c>
      <c r="E117" s="1079" t="s">
        <v>752</v>
      </c>
      <c r="F117" s="1079" t="s">
        <v>923</v>
      </c>
      <c r="G117" s="1079" t="s">
        <v>752</v>
      </c>
      <c r="H117" s="1079" t="s">
        <v>923</v>
      </c>
      <c r="I117" s="1079" t="s">
        <v>752</v>
      </c>
    </row>
    <row r="118" spans="1:11" ht="24.75" customHeight="1">
      <c r="A118" s="2214" t="str">
        <f>项目基本情况!S2</f>
        <v>河北省保定市定兴县新107国道东侧房地产</v>
      </c>
      <c r="B118" s="1079">
        <f>M18</f>
        <v>17987.810000000001</v>
      </c>
      <c r="C118" s="1079">
        <f>M19</f>
        <v>18527.18</v>
      </c>
      <c r="D118" s="1079">
        <f ca="1">ROUND(IF(D32="总价",C34,E118*B118/10000),0)</f>
        <v>1059</v>
      </c>
      <c r="E118" s="1079">
        <f ca="1">ROUND(IF(C33="自定义",IF(D32="楼面单价",C34,D118*10000/B118),I118-G118),0)</f>
        <v>589</v>
      </c>
      <c r="F118" s="1079">
        <f ca="1">ROUND(IF(D32="总价",C35,G118*B118/10000),0)</f>
        <v>4342</v>
      </c>
      <c r="G118" s="1079">
        <f ca="1">ROUND(IF(D32="楼面单价",C35,F118*10000/B118),0)</f>
        <v>2414</v>
      </c>
      <c r="H118" s="1079">
        <f ca="1">ROUND(IF(D32="总价",C32,I118*B118/10000),0)</f>
        <v>5401</v>
      </c>
      <c r="I118" s="1079">
        <f ca="1">ROUND(IF(D32="楼面单价",C32,H118*10000/B118),0)</f>
        <v>3003</v>
      </c>
      <c r="J118" s="237">
        <f ca="1">D118/C118*666.67</f>
        <v>38.106367509788321</v>
      </c>
    </row>
    <row r="119" spans="1:11" ht="18.75" customHeight="1">
      <c r="A119" s="3020" t="s">
        <v>924</v>
      </c>
      <c r="B119" s="3020"/>
      <c r="C119" s="3020"/>
      <c r="D119" s="3068" t="str">
        <f ca="1">NUMBERSTRING(INT(D118*10000),2)&amp;"元整"</f>
        <v>壹仟零伍拾玖万元整</v>
      </c>
      <c r="E119" s="3070"/>
      <c r="F119" s="3068" t="str">
        <f ca="1">NUMBERSTRING(INT(F118*10000),2)&amp;"元整"</f>
        <v>肆仟叁佰肆拾贰万元整</v>
      </c>
      <c r="G119" s="3070"/>
      <c r="H119" s="3068" t="str">
        <f ca="1">NUMBERSTRING(INT(H118*10000),2)&amp;"元整"</f>
        <v>伍仟肆佰零壹万元整</v>
      </c>
      <c r="I119" s="3070"/>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1970" t="str">
        <f>IF(D120=0,"故，本次评估不存在"&amp;A120,"故，本次评估"&amp;A120&amp;"为人民币"&amp;D120&amp;"万元整。")</f>
        <v>故，本次评估不存在估价师知悉的法定优先受偿款</v>
      </c>
    </row>
    <row r="121" spans="1:11" ht="18.75" customHeight="1">
      <c r="A121" s="3089" t="s">
        <v>924</v>
      </c>
      <c r="B121" s="3090"/>
      <c r="C121" s="3091"/>
      <c r="D121" s="3068" t="str">
        <f>IF(D120=0,"零元整",NUMBERSTRING(INT(D120*10000),2)&amp;"元整")</f>
        <v>零元整</v>
      </c>
      <c r="E121" s="3069"/>
      <c r="F121" s="3069"/>
      <c r="G121" s="3069"/>
      <c r="H121" s="3069"/>
      <c r="I121" s="3070"/>
    </row>
    <row r="122" spans="1:11" ht="18.75" customHeight="1">
      <c r="A122" s="3071" t="str">
        <f>IF(项目基本情况!B9="房地产市场价值","",MID(E107,3,LEN(E107)-2))</f>
        <v>房地产抵押价值</v>
      </c>
      <c r="B122" s="3071"/>
      <c r="C122" s="3071"/>
      <c r="D122" s="3072">
        <f ca="1">H107</f>
        <v>5401</v>
      </c>
      <c r="E122" s="3073"/>
      <c r="F122" s="3073"/>
      <c r="G122" s="3073"/>
      <c r="H122" s="3073"/>
      <c r="I122" s="3074"/>
    </row>
    <row r="123" spans="1:11" ht="18.75" customHeight="1">
      <c r="A123" s="3020" t="s">
        <v>924</v>
      </c>
      <c r="B123" s="3020"/>
      <c r="C123" s="3020"/>
      <c r="D123" s="3068" t="str">
        <f ca="1">NUMBERSTRING(INT(D122*10000),2)&amp;"元整"</f>
        <v>伍仟肆佰零壹万元整</v>
      </c>
      <c r="E123" s="3069"/>
      <c r="F123" s="3069"/>
      <c r="G123" s="3069"/>
      <c r="H123" s="3069"/>
      <c r="I123" s="3070"/>
    </row>
    <row r="124" spans="1:11" ht="18.75" customHeight="1">
      <c r="A124" s="3071" t="str">
        <f>IF(项目基本情况!B9="房地产市场价值","",MID(E109,3,LEN(E109)-2))</f>
        <v/>
      </c>
      <c r="B124" s="3071"/>
      <c r="C124" s="3071"/>
      <c r="D124" s="3072" t="str">
        <f>H109</f>
        <v>——</v>
      </c>
      <c r="E124" s="3073"/>
      <c r="F124" s="3073"/>
      <c r="G124" s="3073"/>
      <c r="H124" s="3073"/>
      <c r="I124" s="3074"/>
    </row>
    <row r="125" spans="1:11" ht="18.75" customHeight="1">
      <c r="A125" s="3020" t="s">
        <v>924</v>
      </c>
      <c r="B125" s="3020"/>
      <c r="C125" s="3020"/>
      <c r="D125" s="3068" t="e">
        <f>NUMBERSTRING(INT(D124*10000),2)&amp;"元整"</f>
        <v>#VALUE!</v>
      </c>
      <c r="E125" s="3069"/>
      <c r="F125" s="3069"/>
      <c r="G125" s="3069"/>
      <c r="H125" s="3069"/>
      <c r="I125" s="3070"/>
    </row>
    <row r="126" spans="1:11" ht="18.75" customHeight="1">
      <c r="A126" s="3071" t="str">
        <f>IF(项目基本情况!B9="房地产市场价值","",MID(E111,3,LEN(E111)-2))</f>
        <v/>
      </c>
      <c r="B126" s="3071"/>
      <c r="C126" s="3071"/>
      <c r="D126" s="3072" t="str">
        <f>H111</f>
        <v>——</v>
      </c>
      <c r="E126" s="3073"/>
      <c r="F126" s="3073"/>
      <c r="G126" s="3073"/>
      <c r="H126" s="3073"/>
      <c r="I126" s="3074"/>
    </row>
    <row r="127" spans="1:11" ht="18.75" customHeight="1">
      <c r="A127" s="3020" t="s">
        <v>924</v>
      </c>
      <c r="B127" s="3020"/>
      <c r="C127" s="3020"/>
      <c r="D127" s="3068" t="e">
        <f>NUMBERSTRING(INT(D126*10000),2)&amp;"元整"</f>
        <v>#VALUE!</v>
      </c>
      <c r="E127" s="3069"/>
      <c r="F127" s="3069"/>
      <c r="G127" s="3069"/>
      <c r="H127" s="3069"/>
      <c r="I127" s="3070"/>
    </row>
    <row r="128" spans="1:11" ht="21.75" customHeight="1">
      <c r="A128" s="3075" t="s">
        <v>113</v>
      </c>
      <c r="B128" s="3075"/>
      <c r="C128" s="3075"/>
      <c r="D128" s="3075"/>
      <c r="E128" s="3075"/>
      <c r="F128" s="3075"/>
      <c r="G128" s="3075"/>
      <c r="H128" s="3075"/>
      <c r="I128" s="3075"/>
    </row>
    <row r="129" spans="1:35" ht="21.75" customHeight="1">
      <c r="A129" s="2225" t="s">
        <v>925</v>
      </c>
      <c r="B129" s="2226"/>
      <c r="C129" s="2227" t="s">
        <v>926</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927</v>
      </c>
      <c r="G135" s="2239"/>
      <c r="H135" s="2239"/>
      <c r="I135" s="2247" t="s">
        <v>928</v>
      </c>
    </row>
    <row r="136" spans="1:35" ht="21.75" customHeight="1">
      <c r="A136" s="237"/>
      <c r="B136" s="2240" t="s">
        <v>929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930</v>
      </c>
    </row>
    <row r="139" spans="1:35" ht="21.75" customHeight="1">
      <c r="A139" s="237"/>
      <c r="B139" s="2240" t="s">
        <v>931</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930</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10" zoomScale="80" zoomScaleNormal="80" workbookViewId="0">
      <selection activeCell="F61" sqref="F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932</v>
      </c>
      <c r="B1" s="888"/>
      <c r="C1" s="889" t="s">
        <v>933</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935</v>
      </c>
      <c r="B2" s="892">
        <f>F61</f>
        <v>847</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f>ROUND(IF(D3="",B2*10000/'数据-汇总表'!E3,B2*10000/D3),0)</f>
        <v>471</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2" t="s">
        <v>941</v>
      </c>
      <c r="AC4" s="3161" t="s">
        <v>942</v>
      </c>
    </row>
    <row r="5" spans="1:29" ht="15">
      <c r="A5" s="900"/>
      <c r="B5" s="901"/>
      <c r="C5" s="3201" t="s">
        <v>945</v>
      </c>
      <c r="D5" s="3202"/>
      <c r="E5" s="3203" t="str">
        <f>土地案例!A2</f>
        <v>定兴县新107国道东侧、吉祥路北侧</v>
      </c>
      <c r="F5" s="3204"/>
      <c r="G5" s="3201" t="str">
        <f>土地案例!A3</f>
        <v>定兴县新107国道西侧</v>
      </c>
      <c r="H5" s="3202"/>
      <c r="I5" s="3201" t="str">
        <f>土地案例!A4</f>
        <v>新107国道东侧、京港澳高速引线南侧</v>
      </c>
      <c r="J5" s="3202"/>
      <c r="K5" s="1032"/>
      <c r="L5" s="1033"/>
      <c r="M5" s="1034"/>
      <c r="N5" s="1034"/>
      <c r="O5" s="1034"/>
      <c r="P5" s="3166"/>
      <c r="Q5" s="3167"/>
      <c r="R5" s="3172"/>
      <c r="S5" s="3173"/>
      <c r="T5" s="3172"/>
      <c r="U5" s="3173"/>
      <c r="V5" s="3176"/>
      <c r="W5" s="3176"/>
      <c r="X5" s="1074"/>
      <c r="Y5" s="3172"/>
      <c r="Z5" s="3173"/>
      <c r="AA5" s="3162"/>
      <c r="AB5" s="3162"/>
      <c r="AC5" s="3162"/>
    </row>
    <row r="6" spans="1:29" ht="15">
      <c r="A6" s="902"/>
      <c r="B6" s="903"/>
      <c r="C6" s="3192" t="s">
        <v>946</v>
      </c>
      <c r="D6" s="3193"/>
      <c r="E6" s="3194" t="s">
        <v>947</v>
      </c>
      <c r="F6" s="3195"/>
      <c r="G6" s="3196" t="s">
        <v>947</v>
      </c>
      <c r="H6" s="3193"/>
      <c r="I6" s="3196" t="s">
        <v>947</v>
      </c>
      <c r="J6" s="3193"/>
      <c r="K6" s="1032" t="s">
        <v>948</v>
      </c>
      <c r="L6" s="1033"/>
      <c r="M6" s="1034"/>
      <c r="N6" s="1034"/>
      <c r="O6" s="1034"/>
      <c r="P6" s="3168"/>
      <c r="Q6" s="3169"/>
      <c r="R6" s="3172"/>
      <c r="S6" s="3173"/>
      <c r="T6" s="3174"/>
      <c r="U6" s="3175"/>
      <c r="V6" s="3176"/>
      <c r="W6" s="3176"/>
      <c r="X6" s="1074"/>
      <c r="Y6" s="3174"/>
      <c r="Z6" s="3175"/>
      <c r="AA6" s="3163"/>
      <c r="AB6" s="3163"/>
      <c r="AC6" s="3163"/>
    </row>
    <row r="7" spans="1:29" s="878" customFormat="1" ht="15">
      <c r="A7" s="904" t="s">
        <v>949</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90" t="s">
        <v>950</v>
      </c>
      <c r="Q7" s="3197"/>
      <c r="R7" s="1075" t="s">
        <v>951</v>
      </c>
      <c r="S7" s="1076">
        <f t="shared" ref="S7:S15" si="0">F7</f>
        <v>99.5</v>
      </c>
      <c r="T7" s="1075" t="s">
        <v>951</v>
      </c>
      <c r="U7" s="1076">
        <f t="shared" ref="U7:U15" si="1">H7</f>
        <v>99</v>
      </c>
      <c r="V7" s="1075" t="s">
        <v>951</v>
      </c>
      <c r="W7" s="1076">
        <f t="shared" ref="W7:W15" si="2">J7</f>
        <v>99</v>
      </c>
      <c r="X7" s="1077"/>
      <c r="Y7" s="3190" t="s">
        <v>950</v>
      </c>
      <c r="Z7" s="3191"/>
      <c r="AA7" s="1090">
        <f>D7/F7</f>
        <v>1.0050251256281399</v>
      </c>
      <c r="AB7" s="1090">
        <f>D7/H7</f>
        <v>1.0101010101010099</v>
      </c>
      <c r="AC7" s="1090">
        <f>D7/J7</f>
        <v>1.0101010101010099</v>
      </c>
    </row>
    <row r="8" spans="1:29" s="878" customFormat="1" ht="15">
      <c r="A8" s="904" t="s">
        <v>952</v>
      </c>
      <c r="B8" s="905"/>
      <c r="C8" s="911" t="s">
        <v>953</v>
      </c>
      <c r="D8" s="907">
        <v>100</v>
      </c>
      <c r="E8" s="911" t="s">
        <v>953</v>
      </c>
      <c r="F8" s="909">
        <f>SUMIF(68:68,E8,69:69)-SUMIF(68:68,C8,69:69)+100</f>
        <v>100</v>
      </c>
      <c r="G8" s="911" t="s">
        <v>953</v>
      </c>
      <c r="H8" s="907">
        <f>SUMIF(68:68,G8,69:69)-SUMIF(68:68,C8,69:69)+100</f>
        <v>100</v>
      </c>
      <c r="I8" s="911" t="s">
        <v>953</v>
      </c>
      <c r="J8" s="907">
        <f>SUMIF(68:68,I8,69:69)-SUMIF(68:68,C8,69:69)+100</f>
        <v>100</v>
      </c>
      <c r="K8" s="1035"/>
      <c r="L8" s="1036"/>
      <c r="M8" s="1037"/>
      <c r="N8" s="1037"/>
      <c r="O8" s="1037"/>
      <c r="P8" s="3190" t="s">
        <v>954</v>
      </c>
      <c r="Q8" s="3191"/>
      <c r="R8" s="1075" t="s">
        <v>951</v>
      </c>
      <c r="S8" s="1076">
        <f t="shared" si="0"/>
        <v>100</v>
      </c>
      <c r="T8" s="1075" t="s">
        <v>951</v>
      </c>
      <c r="U8" s="1076">
        <f t="shared" si="1"/>
        <v>100</v>
      </c>
      <c r="V8" s="1075" t="s">
        <v>951</v>
      </c>
      <c r="W8" s="1076">
        <f t="shared" si="2"/>
        <v>100</v>
      </c>
      <c r="X8" s="1077"/>
      <c r="Y8" s="3190" t="s">
        <v>954</v>
      </c>
      <c r="Z8" s="3191"/>
      <c r="AA8" s="1090">
        <f t="shared" ref="AA8:AA40" si="3">D8/F8</f>
        <v>1</v>
      </c>
      <c r="AB8" s="1090">
        <f t="shared" ref="AB8:AB40" si="4">D8/H8</f>
        <v>1</v>
      </c>
      <c r="AC8" s="1090">
        <f t="shared" ref="AC8:AC40" si="5">D8/J8</f>
        <v>1</v>
      </c>
    </row>
    <row r="9" spans="1:29" s="878" customFormat="1">
      <c r="A9" s="912" t="s">
        <v>955</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78"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090">
        <f t="shared" si="5"/>
        <v>1</v>
      </c>
    </row>
    <row r="10" spans="1:29" s="879" customFormat="1" ht="27">
      <c r="A10" s="916"/>
      <c r="B10" s="917" t="s">
        <v>958</v>
      </c>
      <c r="C10" s="918">
        <f>'数据-取费表'!F6</f>
        <v>47.35</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78"/>
      <c r="Q10" s="1079" t="str">
        <f t="shared" si="6"/>
        <v>土地使用年限（年）</v>
      </c>
      <c r="R10" s="1075" t="s">
        <v>951</v>
      </c>
      <c r="S10" s="1076">
        <f t="shared" si="0"/>
        <v>102</v>
      </c>
      <c r="T10" s="1075" t="s">
        <v>951</v>
      </c>
      <c r="U10" s="1076">
        <f t="shared" si="1"/>
        <v>102</v>
      </c>
      <c r="V10" s="1075" t="s">
        <v>951</v>
      </c>
      <c r="W10" s="1076">
        <f t="shared" si="2"/>
        <v>102</v>
      </c>
      <c r="X10" s="1077"/>
      <c r="Y10" s="3020"/>
      <c r="Z10" s="1091" t="str">
        <f t="shared" si="7"/>
        <v>土地使用年限（年）</v>
      </c>
      <c r="AA10" s="1090">
        <f t="shared" si="3"/>
        <v>0.98039215686274506</v>
      </c>
      <c r="AB10" s="1090">
        <f t="shared" si="4"/>
        <v>0.98039215686274506</v>
      </c>
      <c r="AC10" s="1090">
        <f t="shared" si="5"/>
        <v>0.98039215686274506</v>
      </c>
    </row>
    <row r="11" spans="1:29" ht="15">
      <c r="A11" s="922"/>
      <c r="B11" s="917" t="s">
        <v>959</v>
      </c>
      <c r="C11" s="923">
        <f>'数据-汇总表'!I4</f>
        <v>0.97</v>
      </c>
      <c r="D11" s="919">
        <v>100</v>
      </c>
      <c r="E11" s="923">
        <f>土地案例!L2</f>
        <v>1</v>
      </c>
      <c r="F11" s="919">
        <f>LOOKUP(E11,75:75,76:76)-LOOKUP(C11,75:75,76:76)+100</f>
        <v>101</v>
      </c>
      <c r="G11" s="924">
        <f>土地案例!L3</f>
        <v>1</v>
      </c>
      <c r="H11" s="919">
        <f>LOOKUP(G11,75:75,76:76)-LOOKUP(C11,75:75,76:76)+100</f>
        <v>101</v>
      </c>
      <c r="I11" s="923">
        <f>土地案例!L4</f>
        <v>1</v>
      </c>
      <c r="J11" s="919">
        <f>LOOKUP(I11,75:75,76:76)-LOOKUP(C11,75:75,76:76)+100</f>
        <v>101</v>
      </c>
      <c r="K11" s="1043">
        <v>1</v>
      </c>
      <c r="L11" s="1044"/>
      <c r="M11" s="1034"/>
      <c r="N11" s="1034"/>
      <c r="O11" s="1045"/>
      <c r="P11" s="3178"/>
      <c r="Q11" s="1079" t="str">
        <f t="shared" si="6"/>
        <v>容积率</v>
      </c>
      <c r="R11" s="1075" t="s">
        <v>951</v>
      </c>
      <c r="S11" s="1076">
        <f t="shared" si="0"/>
        <v>101</v>
      </c>
      <c r="T11" s="1075" t="s">
        <v>951</v>
      </c>
      <c r="U11" s="1076">
        <f t="shared" si="1"/>
        <v>101</v>
      </c>
      <c r="V11" s="1075" t="s">
        <v>951</v>
      </c>
      <c r="W11" s="1076">
        <f t="shared" si="2"/>
        <v>101</v>
      </c>
      <c r="X11" s="1077"/>
      <c r="Y11" s="3020"/>
      <c r="Z11" s="1091" t="str">
        <f t="shared" si="7"/>
        <v>容积率</v>
      </c>
      <c r="AA11" s="1090">
        <f t="shared" si="3"/>
        <v>0.99009900990099009</v>
      </c>
      <c r="AB11" s="1090">
        <f t="shared" si="4"/>
        <v>0.99009900990099009</v>
      </c>
      <c r="AC11" s="1090">
        <f t="shared" si="5"/>
        <v>0.99009900990099009</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78"/>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78"/>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78"/>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090">
        <f t="shared" si="5"/>
        <v>1</v>
      </c>
    </row>
    <row r="15" spans="1:29" ht="15">
      <c r="A15" s="936" t="s">
        <v>960</v>
      </c>
      <c r="B15" s="1321" t="s">
        <v>669</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79" t="s">
        <v>961</v>
      </c>
      <c r="Q15" s="661" t="str">
        <f t="shared" si="6"/>
        <v>产业集聚程度</v>
      </c>
      <c r="R15" s="1080" t="s">
        <v>951</v>
      </c>
      <c r="S15" s="1081">
        <f t="shared" si="0"/>
        <v>100</v>
      </c>
      <c r="T15" s="1080" t="s">
        <v>951</v>
      </c>
      <c r="U15" s="1081">
        <f t="shared" si="1"/>
        <v>100</v>
      </c>
      <c r="V15" s="1080" t="s">
        <v>951</v>
      </c>
      <c r="W15" s="1081">
        <f t="shared" si="2"/>
        <v>100</v>
      </c>
      <c r="X15" s="1074"/>
      <c r="Y15" s="3179" t="s">
        <v>961</v>
      </c>
      <c r="Z15" s="1073" t="str">
        <f t="shared" si="7"/>
        <v>产业集聚程度</v>
      </c>
      <c r="AA15" s="1092">
        <f t="shared" si="3"/>
        <v>1</v>
      </c>
      <c r="AB15" s="1092">
        <f t="shared" si="4"/>
        <v>1</v>
      </c>
      <c r="AC15" s="1092">
        <f t="shared" si="5"/>
        <v>1</v>
      </c>
    </row>
    <row r="16" spans="1:29" ht="15">
      <c r="A16" s="922"/>
      <c r="B16" s="1387"/>
      <c r="C16" s="942" t="s">
        <v>670</v>
      </c>
      <c r="D16" s="943"/>
      <c r="E16" s="942" t="s">
        <v>670</v>
      </c>
      <c r="F16" s="943"/>
      <c r="G16" s="942" t="s">
        <v>670</v>
      </c>
      <c r="H16" s="945"/>
      <c r="I16" s="942" t="s">
        <v>670</v>
      </c>
      <c r="J16" s="943"/>
      <c r="K16" s="1039"/>
      <c r="L16" s="1046"/>
      <c r="M16" s="1034"/>
      <c r="N16" s="1034"/>
      <c r="O16" s="1045"/>
      <c r="P16" s="3180"/>
      <c r="Q16" s="661"/>
      <c r="R16" s="1080"/>
      <c r="S16" s="1081"/>
      <c r="T16" s="1080"/>
      <c r="U16" s="1081"/>
      <c r="V16" s="1080"/>
      <c r="W16" s="1081"/>
      <c r="X16" s="1074"/>
      <c r="Y16" s="3180"/>
      <c r="Z16" s="1073"/>
      <c r="AA16" s="1092">
        <v>1</v>
      </c>
      <c r="AB16" s="1092">
        <v>1</v>
      </c>
      <c r="AC16" s="1092">
        <v>1</v>
      </c>
    </row>
    <row r="17" spans="1:29" ht="15">
      <c r="A17" s="922"/>
      <c r="B17" s="1323" t="s">
        <v>673</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80"/>
      <c r="Q17" s="661" t="str">
        <f>B17</f>
        <v>交通便捷度</v>
      </c>
      <c r="R17" s="1080" t="s">
        <v>951</v>
      </c>
      <c r="S17" s="1081">
        <f>F17</f>
        <v>100</v>
      </c>
      <c r="T17" s="1080" t="s">
        <v>951</v>
      </c>
      <c r="U17" s="1081">
        <f>H17</f>
        <v>100</v>
      </c>
      <c r="V17" s="1080" t="s">
        <v>951</v>
      </c>
      <c r="W17" s="1081">
        <f>J17</f>
        <v>100</v>
      </c>
      <c r="X17" s="1074"/>
      <c r="Y17" s="3180"/>
      <c r="Z17" s="1073" t="str">
        <f>Q17</f>
        <v>交通便捷度</v>
      </c>
      <c r="AA17" s="1092">
        <f t="shared" si="3"/>
        <v>1</v>
      </c>
      <c r="AB17" s="1092">
        <f t="shared" si="4"/>
        <v>1</v>
      </c>
      <c r="AC17" s="1092">
        <f t="shared" si="5"/>
        <v>1</v>
      </c>
    </row>
    <row r="18" spans="1:29" ht="15">
      <c r="A18" s="922"/>
      <c r="B18" s="1324"/>
      <c r="C18" s="942" t="s">
        <v>674</v>
      </c>
      <c r="D18" s="943"/>
      <c r="E18" s="942" t="s">
        <v>674</v>
      </c>
      <c r="F18" s="943"/>
      <c r="G18" s="942" t="s">
        <v>674</v>
      </c>
      <c r="H18" s="943"/>
      <c r="I18" s="942" t="s">
        <v>674</v>
      </c>
      <c r="J18" s="943"/>
      <c r="K18" s="1039"/>
      <c r="L18" s="1046"/>
      <c r="M18" s="1034"/>
      <c r="N18" s="1034"/>
      <c r="O18" s="1045"/>
      <c r="P18" s="3180"/>
      <c r="Q18" s="661"/>
      <c r="R18" s="1080"/>
      <c r="S18" s="1081"/>
      <c r="T18" s="1080"/>
      <c r="U18" s="1081"/>
      <c r="V18" s="1080"/>
      <c r="W18" s="1081"/>
      <c r="X18" s="1074"/>
      <c r="Y18" s="3180"/>
      <c r="Z18" s="1073"/>
      <c r="AA18" s="1092">
        <v>1</v>
      </c>
      <c r="AB18" s="1092">
        <v>1</v>
      </c>
      <c r="AC18" s="1092">
        <v>1</v>
      </c>
    </row>
    <row r="19" spans="1:29" ht="15">
      <c r="A19" s="922"/>
      <c r="B19" s="1323" t="s">
        <v>687</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80"/>
      <c r="Q19" s="661" t="str">
        <f t="shared" ref="Q19:Q34" si="8">B19</f>
        <v>区域土地利用方向</v>
      </c>
      <c r="R19" s="1080" t="s">
        <v>951</v>
      </c>
      <c r="S19" s="1081">
        <f>F19</f>
        <v>100</v>
      </c>
      <c r="T19" s="1080" t="s">
        <v>951</v>
      </c>
      <c r="U19" s="1081">
        <f>H19</f>
        <v>100</v>
      </c>
      <c r="V19" s="1080" t="s">
        <v>951</v>
      </c>
      <c r="W19" s="1081">
        <f>J19</f>
        <v>100</v>
      </c>
      <c r="X19" s="1074"/>
      <c r="Y19" s="3180"/>
      <c r="Z19" s="1073" t="str">
        <f>Q19</f>
        <v>区域土地利用方向</v>
      </c>
      <c r="AA19" s="1092">
        <f t="shared" si="3"/>
        <v>1</v>
      </c>
      <c r="AB19" s="1092">
        <f t="shared" si="4"/>
        <v>1</v>
      </c>
      <c r="AC19" s="1092">
        <f t="shared" si="5"/>
        <v>1</v>
      </c>
    </row>
    <row r="20" spans="1:29" ht="15">
      <c r="A20" s="900"/>
      <c r="B20" s="1324"/>
      <c r="C20" s="942" t="s">
        <v>670</v>
      </c>
      <c r="D20" s="943"/>
      <c r="E20" s="942" t="s">
        <v>670</v>
      </c>
      <c r="F20" s="943"/>
      <c r="G20" s="942" t="s">
        <v>670</v>
      </c>
      <c r="H20" s="943"/>
      <c r="I20" s="942" t="s">
        <v>670</v>
      </c>
      <c r="J20" s="943"/>
      <c r="K20" s="1050"/>
      <c r="L20" s="1046"/>
      <c r="M20" s="1034"/>
      <c r="N20" s="1034"/>
      <c r="O20" s="1045"/>
      <c r="P20" s="3180"/>
      <c r="Q20" s="661"/>
      <c r="R20" s="1080"/>
      <c r="S20" s="1081"/>
      <c r="T20" s="1080"/>
      <c r="U20" s="1081"/>
      <c r="V20" s="1080"/>
      <c r="W20" s="1081"/>
      <c r="X20" s="1074"/>
      <c r="Y20" s="3180"/>
      <c r="Z20" s="1073"/>
      <c r="AA20" s="1092"/>
      <c r="AB20" s="1092"/>
      <c r="AC20" s="1092"/>
    </row>
    <row r="21" spans="1:29" ht="15">
      <c r="A21" s="900"/>
      <c r="B21" s="1323" t="s">
        <v>681</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80"/>
      <c r="Q21" s="661" t="str">
        <f t="shared" si="8"/>
        <v>环境状况</v>
      </c>
      <c r="R21" s="1080" t="s">
        <v>951</v>
      </c>
      <c r="S21" s="1081">
        <f>F21</f>
        <v>100</v>
      </c>
      <c r="T21" s="1080" t="s">
        <v>951</v>
      </c>
      <c r="U21" s="1081">
        <f>H21</f>
        <v>100</v>
      </c>
      <c r="V21" s="1080" t="s">
        <v>951</v>
      </c>
      <c r="W21" s="1081">
        <f>J21</f>
        <v>100</v>
      </c>
      <c r="X21" s="1074"/>
      <c r="Y21" s="3180"/>
      <c r="Z21" s="1073" t="str">
        <f>Q21</f>
        <v>环境状况</v>
      </c>
      <c r="AA21" s="1092">
        <f t="shared" si="3"/>
        <v>1</v>
      </c>
      <c r="AB21" s="1092">
        <f t="shared" si="4"/>
        <v>1</v>
      </c>
      <c r="AC21" s="1092">
        <f t="shared" si="5"/>
        <v>1</v>
      </c>
    </row>
    <row r="22" spans="1:29" ht="15">
      <c r="A22" s="900"/>
      <c r="B22" s="1324"/>
      <c r="C22" s="942" t="s">
        <v>674</v>
      </c>
      <c r="D22" s="943"/>
      <c r="E22" s="942" t="s">
        <v>674</v>
      </c>
      <c r="F22" s="943"/>
      <c r="G22" s="942" t="s">
        <v>674</v>
      </c>
      <c r="H22" s="943"/>
      <c r="I22" s="942" t="s">
        <v>674</v>
      </c>
      <c r="J22" s="943"/>
      <c r="K22" s="1039"/>
      <c r="L22" s="1046"/>
      <c r="M22" s="1034"/>
      <c r="N22" s="1034"/>
      <c r="O22" s="1045"/>
      <c r="P22" s="3180"/>
      <c r="Q22" s="661"/>
      <c r="R22" s="1080"/>
      <c r="S22" s="1081"/>
      <c r="T22" s="1080"/>
      <c r="U22" s="1081"/>
      <c r="V22" s="1080"/>
      <c r="W22" s="1081"/>
      <c r="X22" s="1074"/>
      <c r="Y22" s="3180"/>
      <c r="Z22" s="1073"/>
      <c r="AA22" s="1092">
        <v>1</v>
      </c>
      <c r="AB22" s="1092">
        <v>1</v>
      </c>
      <c r="AC22" s="1092">
        <v>1</v>
      </c>
    </row>
    <row r="23" spans="1:29" s="878" customFormat="1" ht="15">
      <c r="A23" s="960"/>
      <c r="B23" s="1325" t="s">
        <v>677</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80"/>
      <c r="Q23" s="1079" t="str">
        <f t="shared" si="8"/>
        <v>公共配套设施</v>
      </c>
      <c r="R23" s="1075" t="s">
        <v>951</v>
      </c>
      <c r="S23" s="1076">
        <f>F23</f>
        <v>100</v>
      </c>
      <c r="T23" s="1075" t="s">
        <v>951</v>
      </c>
      <c r="U23" s="1076">
        <f>H23</f>
        <v>100</v>
      </c>
      <c r="V23" s="1075" t="s">
        <v>951</v>
      </c>
      <c r="W23" s="1076">
        <f>J23</f>
        <v>100</v>
      </c>
      <c r="X23" s="1077"/>
      <c r="Y23" s="3180"/>
      <c r="Z23" s="1091" t="str">
        <f>Q23</f>
        <v>公共配套设施</v>
      </c>
      <c r="AA23" s="1092">
        <f>D23/F23</f>
        <v>1</v>
      </c>
      <c r="AB23" s="1092">
        <f>D23/H23</f>
        <v>1</v>
      </c>
      <c r="AC23" s="1092">
        <f>D23/J23</f>
        <v>1</v>
      </c>
    </row>
    <row r="24" spans="1:29" s="878" customFormat="1" ht="15">
      <c r="A24" s="960"/>
      <c r="B24" s="1324"/>
      <c r="C24" s="961" t="s">
        <v>674</v>
      </c>
      <c r="D24" s="943"/>
      <c r="E24" s="961" t="s">
        <v>674</v>
      </c>
      <c r="F24" s="943"/>
      <c r="G24" s="961" t="s">
        <v>674</v>
      </c>
      <c r="H24" s="943"/>
      <c r="I24" s="961" t="s">
        <v>674</v>
      </c>
      <c r="J24" s="943"/>
      <c r="K24" s="1039"/>
      <c r="L24" s="1036"/>
      <c r="M24" s="1037"/>
      <c r="N24" s="1037"/>
      <c r="O24" s="1038"/>
      <c r="P24" s="3180"/>
      <c r="Q24" s="1079"/>
      <c r="R24" s="1075"/>
      <c r="S24" s="1076"/>
      <c r="T24" s="1075"/>
      <c r="U24" s="1076"/>
      <c r="V24" s="1075"/>
      <c r="W24" s="1076"/>
      <c r="X24" s="1077"/>
      <c r="Y24" s="3180"/>
      <c r="Z24" s="1091"/>
      <c r="AA24" s="1090">
        <v>1</v>
      </c>
      <c r="AB24" s="1090">
        <v>1</v>
      </c>
      <c r="AC24" s="1090">
        <v>1</v>
      </c>
    </row>
    <row r="25" spans="1:29" s="878" customFormat="1" ht="15">
      <c r="A25" s="960"/>
      <c r="B25" s="1325" t="s">
        <v>679</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80"/>
      <c r="Q25" s="1079" t="str">
        <f t="shared" ref="Q25" si="9">B25</f>
        <v>基础设施水平</v>
      </c>
      <c r="R25" s="1075" t="s">
        <v>951</v>
      </c>
      <c r="S25" s="1076">
        <f>F25</f>
        <v>100</v>
      </c>
      <c r="T25" s="1075" t="s">
        <v>951</v>
      </c>
      <c r="U25" s="1076">
        <f>H25</f>
        <v>100</v>
      </c>
      <c r="V25" s="1075" t="s">
        <v>951</v>
      </c>
      <c r="W25" s="1076">
        <f>J25</f>
        <v>100</v>
      </c>
      <c r="X25" s="1077"/>
      <c r="Y25" s="3180"/>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80"/>
      <c r="Q26" s="1079"/>
      <c r="R26" s="1075"/>
      <c r="S26" s="1076"/>
      <c r="T26" s="1075"/>
      <c r="U26" s="1076"/>
      <c r="V26" s="1075"/>
      <c r="W26" s="1076"/>
      <c r="X26" s="1077"/>
      <c r="Y26" s="3180"/>
      <c r="Z26" s="1091"/>
      <c r="AA26" s="1090">
        <v>1</v>
      </c>
      <c r="AB26" s="1090">
        <v>1</v>
      </c>
      <c r="AC26" s="1090">
        <v>1</v>
      </c>
    </row>
    <row r="27" spans="1:29" ht="15">
      <c r="A27" s="922"/>
      <c r="B27" s="1324" t="s">
        <v>689</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80"/>
      <c r="Q27" s="661" t="str">
        <f t="shared" si="8"/>
        <v>临街状况</v>
      </c>
      <c r="R27" s="1080" t="s">
        <v>951</v>
      </c>
      <c r="S27" s="1081">
        <f t="shared" ref="S27:S40" si="10">F27</f>
        <v>100</v>
      </c>
      <c r="T27" s="1080" t="s">
        <v>951</v>
      </c>
      <c r="U27" s="1081">
        <f t="shared" ref="U27:U40" si="11">H27</f>
        <v>100</v>
      </c>
      <c r="V27" s="1080" t="s">
        <v>951</v>
      </c>
      <c r="W27" s="1081">
        <f t="shared" ref="W27:W40" si="12">J27</f>
        <v>100</v>
      </c>
      <c r="X27" s="1074"/>
      <c r="Y27" s="3180"/>
      <c r="Z27" s="1073" t="str">
        <f t="shared" ref="Z27:Z40" si="13">Q27</f>
        <v>临街状况</v>
      </c>
      <c r="AA27" s="1092">
        <f t="shared" si="3"/>
        <v>1</v>
      </c>
      <c r="AB27" s="1092">
        <f t="shared" si="4"/>
        <v>1</v>
      </c>
      <c r="AC27" s="1092">
        <f t="shared" si="5"/>
        <v>1</v>
      </c>
    </row>
    <row r="28" spans="1:29" ht="27">
      <c r="A28" s="922"/>
      <c r="B28" s="1325" t="s">
        <v>685</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80"/>
      <c r="Q28" s="661" t="str">
        <f t="shared" si="8"/>
        <v>毗邻道路的类型与等级</v>
      </c>
      <c r="R28" s="1080" t="s">
        <v>951</v>
      </c>
      <c r="S28" s="1081">
        <f t="shared" si="10"/>
        <v>100</v>
      </c>
      <c r="T28" s="1080" t="s">
        <v>951</v>
      </c>
      <c r="U28" s="1081">
        <f t="shared" si="11"/>
        <v>100</v>
      </c>
      <c r="V28" s="1080" t="s">
        <v>951</v>
      </c>
      <c r="W28" s="1081">
        <f t="shared" si="12"/>
        <v>100</v>
      </c>
      <c r="X28" s="1074"/>
      <c r="Y28" s="3180"/>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80"/>
      <c r="Q29" s="661"/>
      <c r="R29" s="1080"/>
      <c r="S29" s="1081"/>
      <c r="T29" s="1080"/>
      <c r="U29" s="1081"/>
      <c r="V29" s="1080"/>
      <c r="W29" s="1081"/>
      <c r="X29" s="1074"/>
      <c r="Y29" s="3180"/>
      <c r="Z29" s="1073"/>
      <c r="AA29" s="1092">
        <v>1</v>
      </c>
      <c r="AB29" s="1092">
        <v>1</v>
      </c>
      <c r="AC29" s="1092">
        <v>1</v>
      </c>
    </row>
    <row r="30" spans="1:29" ht="15" hidden="1">
      <c r="A30" s="922"/>
      <c r="B30" s="1335" t="s">
        <v>690</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80"/>
      <c r="Q30" s="661" t="str">
        <f t="shared" si="8"/>
        <v>土地级别</v>
      </c>
      <c r="R30" s="1080" t="s">
        <v>951</v>
      </c>
      <c r="S30" s="1081">
        <f t="shared" si="10"/>
        <v>100</v>
      </c>
      <c r="T30" s="1080" t="s">
        <v>951</v>
      </c>
      <c r="U30" s="1081">
        <f t="shared" si="11"/>
        <v>100</v>
      </c>
      <c r="V30" s="1080" t="s">
        <v>951</v>
      </c>
      <c r="W30" s="1081">
        <f t="shared" si="12"/>
        <v>100</v>
      </c>
      <c r="X30" s="1074"/>
      <c r="Y30" s="3180"/>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80"/>
      <c r="Q31" s="661">
        <f t="shared" si="8"/>
        <v>111</v>
      </c>
      <c r="R31" s="1080" t="s">
        <v>951</v>
      </c>
      <c r="S31" s="1081">
        <f t="shared" si="10"/>
        <v>100</v>
      </c>
      <c r="T31" s="1080" t="s">
        <v>951</v>
      </c>
      <c r="U31" s="1081">
        <f t="shared" si="11"/>
        <v>100</v>
      </c>
      <c r="V31" s="1080" t="s">
        <v>951</v>
      </c>
      <c r="W31" s="1081">
        <f t="shared" si="12"/>
        <v>100</v>
      </c>
      <c r="X31" s="1074"/>
      <c r="Y31" s="3180"/>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1" t="s">
        <v>962</v>
      </c>
      <c r="Q32" s="661">
        <f t="shared" si="8"/>
        <v>111</v>
      </c>
      <c r="R32" s="1080" t="s">
        <v>951</v>
      </c>
      <c r="S32" s="1081">
        <f t="shared" si="10"/>
        <v>100</v>
      </c>
      <c r="T32" s="1080" t="s">
        <v>951</v>
      </c>
      <c r="U32" s="1081">
        <f t="shared" si="11"/>
        <v>100</v>
      </c>
      <c r="V32" s="1080" t="s">
        <v>951</v>
      </c>
      <c r="W32" s="1081">
        <f t="shared" si="12"/>
        <v>100</v>
      </c>
      <c r="X32" s="1074"/>
      <c r="Y32" s="3182" t="s">
        <v>962</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2"/>
      <c r="Q33" s="661">
        <f t="shared" si="8"/>
        <v>111</v>
      </c>
      <c r="R33" s="1082" t="s">
        <v>951</v>
      </c>
      <c r="S33" s="1083">
        <f t="shared" si="10"/>
        <v>100</v>
      </c>
      <c r="T33" s="1082" t="s">
        <v>951</v>
      </c>
      <c r="U33" s="1083">
        <f t="shared" si="11"/>
        <v>100</v>
      </c>
      <c r="V33" s="1082" t="s">
        <v>951</v>
      </c>
      <c r="W33" s="1083">
        <f t="shared" si="12"/>
        <v>100</v>
      </c>
      <c r="X33" s="1084"/>
      <c r="Y33" s="3182"/>
      <c r="Z33" s="1093">
        <f t="shared" si="13"/>
        <v>111</v>
      </c>
      <c r="AA33" s="1092">
        <f t="shared" si="3"/>
        <v>1</v>
      </c>
      <c r="AB33" s="1092">
        <f t="shared" si="4"/>
        <v>1</v>
      </c>
      <c r="AC33" s="1092">
        <f t="shared" si="5"/>
        <v>1</v>
      </c>
    </row>
    <row r="34" spans="1:29" ht="15">
      <c r="A34" s="936" t="s">
        <v>963</v>
      </c>
      <c r="B34" s="949" t="s">
        <v>964</v>
      </c>
      <c r="C34" s="974">
        <f>'数据-基础表'!A3</f>
        <v>76269.909999999989</v>
      </c>
      <c r="D34" s="975">
        <v>100</v>
      </c>
      <c r="E34" s="974">
        <f>土地案例!J2</f>
        <v>11442.82</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2"/>
      <c r="Q34" s="661" t="str">
        <f t="shared" si="8"/>
        <v>宗地面积</v>
      </c>
      <c r="R34" s="1080" t="s">
        <v>951</v>
      </c>
      <c r="S34" s="1081">
        <f t="shared" si="10"/>
        <v>96</v>
      </c>
      <c r="T34" s="1080" t="s">
        <v>951</v>
      </c>
      <c r="U34" s="1081">
        <f t="shared" si="11"/>
        <v>96</v>
      </c>
      <c r="V34" s="1080" t="s">
        <v>951</v>
      </c>
      <c r="W34" s="1081">
        <f t="shared" si="12"/>
        <v>100</v>
      </c>
      <c r="X34" s="1074"/>
      <c r="Y34" s="3182"/>
      <c r="Z34" s="1073" t="str">
        <f t="shared" si="13"/>
        <v>宗地面积</v>
      </c>
      <c r="AA34" s="1092">
        <f t="shared" si="3"/>
        <v>1.0416666666666667</v>
      </c>
      <c r="AB34" s="1092">
        <f t="shared" si="4"/>
        <v>1.0416666666666667</v>
      </c>
      <c r="AC34" s="1092">
        <f t="shared" si="5"/>
        <v>1</v>
      </c>
    </row>
    <row r="35" spans="1:29" ht="15">
      <c r="A35" s="973"/>
      <c r="B35" s="917" t="s">
        <v>965</v>
      </c>
      <c r="C35" s="976" t="s">
        <v>966</v>
      </c>
      <c r="D35" s="929">
        <v>100</v>
      </c>
      <c r="E35" s="976" t="s">
        <v>966</v>
      </c>
      <c r="F35" s="929">
        <f>SUMIF(110:110,E35,111:111)-SUMIF(110:110,C35,111:111)+100</f>
        <v>100</v>
      </c>
      <c r="G35" s="976" t="s">
        <v>966</v>
      </c>
      <c r="H35" s="929">
        <f>SUMIF(110:110,G35,111:111)-SUMIF(110:110,C35,111:111)+100</f>
        <v>100</v>
      </c>
      <c r="I35" s="976" t="s">
        <v>966</v>
      </c>
      <c r="J35" s="929">
        <f>SUMIF(110:110,I35,111:111)-SUMIF(110:110,C35,111:111)+100</f>
        <v>100</v>
      </c>
      <c r="K35" s="1052">
        <v>2</v>
      </c>
      <c r="L35" s="1046"/>
      <c r="M35" s="1034"/>
      <c r="N35" s="1034"/>
      <c r="O35" s="1045"/>
      <c r="P35" s="3182"/>
      <c r="Q35" s="661" t="str">
        <f t="shared" ref="Q35:Q40" si="14">B35</f>
        <v>宗地形状</v>
      </c>
      <c r="R35" s="1080" t="s">
        <v>951</v>
      </c>
      <c r="S35" s="1081">
        <f t="shared" si="10"/>
        <v>100</v>
      </c>
      <c r="T35" s="1080" t="s">
        <v>951</v>
      </c>
      <c r="U35" s="1081">
        <f t="shared" si="11"/>
        <v>100</v>
      </c>
      <c r="V35" s="1080" t="s">
        <v>951</v>
      </c>
      <c r="W35" s="1081">
        <f t="shared" si="12"/>
        <v>100</v>
      </c>
      <c r="X35" s="1074"/>
      <c r="Y35" s="3182"/>
      <c r="Z35" s="1073" t="str">
        <f t="shared" si="13"/>
        <v>宗地形状</v>
      </c>
      <c r="AA35" s="1092">
        <f t="shared" si="3"/>
        <v>1</v>
      </c>
      <c r="AB35" s="1092">
        <f t="shared" si="4"/>
        <v>1</v>
      </c>
      <c r="AC35" s="1092">
        <f t="shared" si="5"/>
        <v>1</v>
      </c>
    </row>
    <row r="36" spans="1:29" s="878" customFormat="1" ht="15">
      <c r="A36" s="977"/>
      <c r="B36" s="917" t="s">
        <v>967</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2"/>
      <c r="Q36" s="661" t="str">
        <f t="shared" si="14"/>
        <v>宗地开发程度</v>
      </c>
      <c r="R36" s="1075" t="s">
        <v>951</v>
      </c>
      <c r="S36" s="1076">
        <f t="shared" si="10"/>
        <v>100</v>
      </c>
      <c r="T36" s="1075" t="s">
        <v>951</v>
      </c>
      <c r="U36" s="1076">
        <f t="shared" si="11"/>
        <v>100</v>
      </c>
      <c r="V36" s="1075" t="s">
        <v>951</v>
      </c>
      <c r="W36" s="1076">
        <f t="shared" si="12"/>
        <v>100</v>
      </c>
      <c r="X36" s="1077"/>
      <c r="Y36" s="3182"/>
      <c r="Z36" s="1091" t="str">
        <f t="shared" si="13"/>
        <v>宗地开发程度</v>
      </c>
      <c r="AA36" s="1090">
        <f t="shared" si="3"/>
        <v>1</v>
      </c>
      <c r="AB36" s="1090">
        <f t="shared" si="4"/>
        <v>1</v>
      </c>
      <c r="AC36" s="1090">
        <f t="shared" si="5"/>
        <v>1</v>
      </c>
    </row>
    <row r="37" spans="1:29" ht="15">
      <c r="A37" s="973"/>
      <c r="B37" s="917" t="s">
        <v>968</v>
      </c>
      <c r="C37" s="976" t="s">
        <v>670</v>
      </c>
      <c r="D37" s="929">
        <v>100</v>
      </c>
      <c r="E37" s="976" t="s">
        <v>670</v>
      </c>
      <c r="F37" s="929">
        <f>SUMIF(114:114,E37,115:115)-SUMIF(114:114,C37,115:115)+100</f>
        <v>100</v>
      </c>
      <c r="G37" s="976" t="s">
        <v>670</v>
      </c>
      <c r="H37" s="929">
        <f>SUMIF(114:114,G37,115:115)-SUMIF(114:114,C37,115:115)+100</f>
        <v>100</v>
      </c>
      <c r="I37" s="976" t="s">
        <v>670</v>
      </c>
      <c r="J37" s="929">
        <f>SUMIF(114:114,I37,115:115)-SUMIF(114:114,C37,115:115)+100</f>
        <v>100</v>
      </c>
      <c r="K37" s="1052">
        <v>2</v>
      </c>
      <c r="L37" s="1046"/>
      <c r="M37" s="1034"/>
      <c r="N37" s="1034"/>
      <c r="O37" s="1045"/>
      <c r="P37" s="3182" t="s">
        <v>962</v>
      </c>
      <c r="Q37" s="661" t="str">
        <f t="shared" si="14"/>
        <v>工程地质条件</v>
      </c>
      <c r="R37" s="1080" t="s">
        <v>951</v>
      </c>
      <c r="S37" s="1081">
        <f t="shared" si="10"/>
        <v>100</v>
      </c>
      <c r="T37" s="1080" t="s">
        <v>951</v>
      </c>
      <c r="U37" s="1081">
        <f t="shared" si="11"/>
        <v>100</v>
      </c>
      <c r="V37" s="1080" t="s">
        <v>951</v>
      </c>
      <c r="W37" s="1081">
        <f t="shared" si="12"/>
        <v>100</v>
      </c>
      <c r="X37" s="1074"/>
      <c r="Y37" s="3182" t="s">
        <v>962</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2"/>
      <c r="Q38" s="661">
        <f t="shared" si="14"/>
        <v>111</v>
      </c>
      <c r="R38" s="1080" t="s">
        <v>951</v>
      </c>
      <c r="S38" s="1081">
        <f t="shared" si="10"/>
        <v>100</v>
      </c>
      <c r="T38" s="1080" t="s">
        <v>951</v>
      </c>
      <c r="U38" s="1081">
        <f t="shared" si="11"/>
        <v>100</v>
      </c>
      <c r="V38" s="1080" t="s">
        <v>951</v>
      </c>
      <c r="W38" s="1081">
        <f t="shared" si="12"/>
        <v>100</v>
      </c>
      <c r="X38" s="1074"/>
      <c r="Y38" s="3182"/>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2"/>
      <c r="Q39" s="661">
        <f t="shared" si="14"/>
        <v>111</v>
      </c>
      <c r="R39" s="1080" t="s">
        <v>951</v>
      </c>
      <c r="S39" s="1081">
        <f t="shared" si="10"/>
        <v>100</v>
      </c>
      <c r="T39" s="1080" t="s">
        <v>951</v>
      </c>
      <c r="U39" s="1081">
        <f t="shared" si="11"/>
        <v>100</v>
      </c>
      <c r="V39" s="1080" t="s">
        <v>951</v>
      </c>
      <c r="W39" s="1081">
        <f t="shared" si="12"/>
        <v>100</v>
      </c>
      <c r="X39" s="1074"/>
      <c r="Y39" s="3182"/>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2"/>
      <c r="Q40" s="661">
        <f t="shared" si="14"/>
        <v>111</v>
      </c>
      <c r="R40" s="1082" t="s">
        <v>951</v>
      </c>
      <c r="S40" s="1083">
        <f t="shared" si="10"/>
        <v>100</v>
      </c>
      <c r="T40" s="1082" t="s">
        <v>951</v>
      </c>
      <c r="U40" s="1083">
        <f t="shared" si="11"/>
        <v>100</v>
      </c>
      <c r="V40" s="1082" t="s">
        <v>951</v>
      </c>
      <c r="W40" s="1083">
        <f t="shared" si="12"/>
        <v>100</v>
      </c>
      <c r="X40" s="1084"/>
      <c r="Y40" s="3182"/>
      <c r="Z40" s="1093">
        <f t="shared" si="13"/>
        <v>111</v>
      </c>
      <c r="AA40" s="1092">
        <f t="shared" si="3"/>
        <v>1</v>
      </c>
      <c r="AB40" s="1092">
        <f t="shared" si="4"/>
        <v>1</v>
      </c>
      <c r="AC40" s="1092">
        <f t="shared" si="5"/>
        <v>1</v>
      </c>
    </row>
    <row r="41" spans="1:29" ht="15">
      <c r="A41" s="982" t="s">
        <v>969</v>
      </c>
      <c r="B41" s="983" t="s">
        <v>970</v>
      </c>
      <c r="C41" s="984" t="s">
        <v>124</v>
      </c>
      <c r="D41" s="985"/>
      <c r="E41" s="986">
        <f>土地案例!AN2</f>
        <v>454</v>
      </c>
      <c r="F41" s="987"/>
      <c r="G41" s="988">
        <f>土地案例!AN3</f>
        <v>455</v>
      </c>
      <c r="H41" s="989"/>
      <c r="I41" s="986">
        <f>土地案例!AN4</f>
        <v>454</v>
      </c>
      <c r="J41" s="989"/>
      <c r="K41" s="1057"/>
      <c r="L41" s="1058"/>
      <c r="M41" s="1034"/>
      <c r="N41" s="1034"/>
      <c r="O41" s="999"/>
      <c r="P41" s="3178" t="str">
        <f>A41</f>
        <v>成交单价</v>
      </c>
      <c r="Q41" s="3178"/>
      <c r="R41" s="3176">
        <f>E41</f>
        <v>454</v>
      </c>
      <c r="S41" s="3176"/>
      <c r="T41" s="3176">
        <f>G41</f>
        <v>455</v>
      </c>
      <c r="U41" s="3176"/>
      <c r="V41" s="3176">
        <f>I41</f>
        <v>454</v>
      </c>
      <c r="W41" s="3176"/>
      <c r="X41" s="1085"/>
      <c r="Y41" s="1094"/>
      <c r="Z41" s="1085"/>
      <c r="AA41" s="1085"/>
      <c r="AB41" s="1085"/>
      <c r="AC41" s="1085"/>
    </row>
    <row r="42" spans="1:29" ht="15">
      <c r="A42" s="990" t="s">
        <v>971</v>
      </c>
      <c r="B42" s="991"/>
      <c r="C42" s="992">
        <f>R43</f>
        <v>457</v>
      </c>
      <c r="D42" s="993"/>
      <c r="E42" s="992">
        <f>R42</f>
        <v>461</v>
      </c>
      <c r="F42" s="994"/>
      <c r="G42" s="995">
        <f>T42</f>
        <v>465</v>
      </c>
      <c r="H42" s="993"/>
      <c r="I42" s="992">
        <f>V42</f>
        <v>445</v>
      </c>
      <c r="J42" s="993"/>
      <c r="K42" s="1059"/>
      <c r="L42" s="1058"/>
      <c r="M42" s="1034"/>
      <c r="N42" s="1034"/>
      <c r="O42" s="999"/>
      <c r="P42" s="3178" t="str">
        <f>A42</f>
        <v>比较价值（元/平方米）</v>
      </c>
      <c r="Q42" s="3178"/>
      <c r="R42" s="3186">
        <f>ROUND(PRODUCT(R41,AA7:AA40),0)</f>
        <v>461</v>
      </c>
      <c r="S42" s="3186"/>
      <c r="T42" s="3186">
        <f>ROUND(PRODUCT(T41,AB7:AB40),0)</f>
        <v>465</v>
      </c>
      <c r="U42" s="3186"/>
      <c r="V42" s="3186">
        <f>ROUND(PRODUCT(V41,AC7:AC40),0)</f>
        <v>445</v>
      </c>
      <c r="W42" s="3186"/>
      <c r="X42" s="1085"/>
      <c r="Y42" s="1085"/>
      <c r="Z42" s="1085"/>
      <c r="AA42" s="1085"/>
      <c r="AB42" s="1085"/>
      <c r="AC42" s="1085"/>
    </row>
    <row r="43" spans="1:29" ht="15">
      <c r="A43" s="996" t="s">
        <v>972</v>
      </c>
      <c r="B43" s="997"/>
      <c r="C43" s="998">
        <f>R43</f>
        <v>457</v>
      </c>
      <c r="D43" s="998"/>
      <c r="E43" s="998"/>
      <c r="F43" s="998"/>
      <c r="G43" s="998"/>
      <c r="H43" s="998"/>
      <c r="I43" s="998"/>
      <c r="J43" s="998"/>
      <c r="K43" s="1060"/>
      <c r="L43" s="1058"/>
      <c r="M43" s="1034"/>
      <c r="N43" s="1034"/>
      <c r="O43" s="999"/>
      <c r="P43" s="3187" t="str">
        <f>A43</f>
        <v>估价对象XX用房的比较价值（楼面单价，元/平方米）</v>
      </c>
      <c r="Q43" s="3188"/>
      <c r="R43" s="3189">
        <f>ROUND(AVERAGE(R42:V42),0)</f>
        <v>457</v>
      </c>
      <c r="S43" s="3189"/>
      <c r="T43" s="3189"/>
      <c r="U43" s="3189"/>
      <c r="V43" s="3189"/>
      <c r="W43" s="3189"/>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973</v>
      </c>
      <c r="D46" s="701"/>
      <c r="E46" s="1002">
        <f>IF(E41&lt;E42,E42/E41-1,E41/E42-1)</f>
        <v>1.5418502202643181E-2</v>
      </c>
      <c r="F46" s="1003" t="str">
        <f>IF(OR(E46&gt;=0.3,E46&lt;=-0.3),"超过30%","")</f>
        <v/>
      </c>
      <c r="G46" s="1002">
        <f>IF(G41&lt;G42,G42/G41-1,G41/G42-1)</f>
        <v>2.19780219780219E-2</v>
      </c>
      <c r="H46" s="1003" t="str">
        <f>IF(OR(G46&gt;=0.3,G46&lt;=-0.3),"超过30%","")</f>
        <v/>
      </c>
      <c r="I46" s="1002">
        <f>IF(I41&lt;I42,I42/I41-1,I41/I42-1)</f>
        <v>2.0224719101123556E-2</v>
      </c>
      <c r="J46" s="1003" t="str">
        <f>IF(OR(I46&gt;=0.3,I46&lt;=-0.3),"超过30%","")</f>
        <v/>
      </c>
      <c r="K46" s="1062"/>
      <c r="L46" s="1063"/>
      <c r="M46" s="1034"/>
      <c r="N46" s="1034"/>
      <c r="O46" s="999"/>
    </row>
    <row r="47" spans="1:29" ht="13.5" customHeight="1">
      <c r="A47" s="999"/>
      <c r="B47" s="999"/>
      <c r="C47" s="1001" t="s">
        <v>974</v>
      </c>
      <c r="D47" s="700"/>
      <c r="E47" s="1002">
        <f>IF(E42&lt;G42,G42/E42-1,E42/G42-1)</f>
        <v>8.6767895878525625E-3</v>
      </c>
      <c r="F47" s="1003" t="str">
        <f>IF(OR(E47&gt;=0.2,E47&lt;=-0.2),"超过20%","")</f>
        <v/>
      </c>
      <c r="G47" s="1002">
        <f>IF(G42&lt;I42,I42/G42-1,G42/I42-1)</f>
        <v>4.4943820224719211E-2</v>
      </c>
      <c r="H47" s="1003" t="str">
        <f>IF(OR(G47&gt;=0.2,G47&lt;=-0.2),"超过20%","")</f>
        <v/>
      </c>
      <c r="I47" s="1002">
        <f>IF(I42&lt;E42,E42/I42-1,I42/E42-1)</f>
        <v>3.5955056179775235E-2</v>
      </c>
      <c r="J47" s="1003" t="str">
        <f>IF(OR(I47&gt;=0.2,I47&lt;=-0.2),"超过20%","")</f>
        <v/>
      </c>
      <c r="K47" s="1062"/>
      <c r="L47" s="1063"/>
      <c r="M47" s="999"/>
      <c r="N47" s="999"/>
      <c r="O47" s="999"/>
    </row>
    <row r="48" spans="1:29" s="881" customFormat="1" ht="13.5" customHeight="1">
      <c r="A48" s="1004"/>
      <c r="B48" s="1004"/>
      <c r="C48" s="1001" t="s">
        <v>975</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976</v>
      </c>
      <c r="B50" s="1009" t="s">
        <v>977</v>
      </c>
      <c r="C50" s="1010" t="s">
        <v>978</v>
      </c>
      <c r="D50" s="1011" t="s">
        <v>979</v>
      </c>
      <c r="E50" s="1012" t="s">
        <v>980</v>
      </c>
      <c r="F50" s="1958" t="s">
        <v>981</v>
      </c>
      <c r="G50" s="3183" t="s">
        <v>982</v>
      </c>
      <c r="H50" s="3184"/>
      <c r="I50" s="1073" t="s">
        <v>983</v>
      </c>
      <c r="J50" s="1073" t="str">
        <f>项目基本情况!F35</f>
        <v>河北省保定市</v>
      </c>
      <c r="K50" s="1068" t="s">
        <v>984</v>
      </c>
      <c r="L50" s="1063"/>
      <c r="M50" s="999"/>
      <c r="N50" s="999"/>
      <c r="O50" s="999"/>
    </row>
    <row r="51" spans="1:17" s="882" customFormat="1">
      <c r="A51" s="1014" t="s">
        <v>985</v>
      </c>
      <c r="B51" s="1015">
        <f>C43</f>
        <v>457</v>
      </c>
      <c r="C51" s="1016">
        <v>1</v>
      </c>
      <c r="D51" s="1017">
        <v>1</v>
      </c>
      <c r="E51" s="1016">
        <f>'数据-汇总表'!E8+'数据-汇总表'!E9</f>
        <v>17987.810000000001</v>
      </c>
      <c r="F51" s="1959">
        <f t="shared" ref="F51:F60" si="15">ROUND(B51*E51/10000,0)</f>
        <v>822</v>
      </c>
      <c r="G51" s="3185"/>
      <c r="H51" s="3178"/>
      <c r="I51" s="688">
        <v>1</v>
      </c>
      <c r="J51" s="688">
        <v>1</v>
      </c>
      <c r="K51" s="1004"/>
      <c r="L51" s="1071"/>
      <c r="M51" s="1071"/>
      <c r="N51" s="1071"/>
      <c r="O51" s="1071"/>
    </row>
    <row r="52" spans="1:17" s="882" customFormat="1">
      <c r="A52" s="1019" t="s">
        <v>986</v>
      </c>
      <c r="B52" s="165">
        <f>ROUND($C$43*C52*D52,0)</f>
        <v>0</v>
      </c>
      <c r="C52" s="606">
        <f t="shared" ref="C52:C60" si="16">IF($C$50="北京市系数",I52,J52)</f>
        <v>0</v>
      </c>
      <c r="D52" s="1020">
        <v>0.25</v>
      </c>
      <c r="E52" s="1021"/>
      <c r="F52" s="1959">
        <f t="shared" si="15"/>
        <v>0</v>
      </c>
      <c r="G52" s="3177" t="s">
        <v>987</v>
      </c>
      <c r="H52" s="1023">
        <f>项目基本情况!B37</f>
        <v>0</v>
      </c>
      <c r="I52" s="688">
        <f>SUMIF(修正!A45:A56,H52,修正!B45:B56)</f>
        <v>0</v>
      </c>
      <c r="J52" s="1960"/>
      <c r="K52" s="999"/>
      <c r="L52" s="1071"/>
      <c r="M52" s="1071"/>
      <c r="N52" s="1071"/>
      <c r="O52" s="1071"/>
    </row>
    <row r="53" spans="1:17" s="882" customFormat="1">
      <c r="A53" s="1019" t="s">
        <v>988</v>
      </c>
      <c r="B53" s="165">
        <f t="shared" ref="B53:B60" si="17">ROUND($C$43*C53*D53,0)</f>
        <v>0</v>
      </c>
      <c r="C53" s="606">
        <f t="shared" si="16"/>
        <v>0</v>
      </c>
      <c r="D53" s="1020">
        <v>0.25</v>
      </c>
      <c r="E53" s="1021"/>
      <c r="F53" s="1959">
        <f t="shared" si="15"/>
        <v>0</v>
      </c>
      <c r="G53" s="3177"/>
      <c r="H53" s="1023">
        <f>项目基本情况!B37</f>
        <v>0</v>
      </c>
      <c r="I53" s="688">
        <f>SUMIF(修正!A45:A56,H53,修正!C45:C56)</f>
        <v>0</v>
      </c>
      <c r="J53" s="1960"/>
      <c r="K53" s="1004"/>
      <c r="L53" s="1071"/>
      <c r="M53" s="1071"/>
      <c r="N53" s="1071"/>
      <c r="O53" s="1071"/>
    </row>
    <row r="54" spans="1:17" s="882" customFormat="1">
      <c r="A54" s="1019" t="s">
        <v>989</v>
      </c>
      <c r="B54" s="165">
        <f t="shared" si="17"/>
        <v>0</v>
      </c>
      <c r="C54" s="606">
        <f t="shared" si="16"/>
        <v>0</v>
      </c>
      <c r="D54" s="1020">
        <v>0.25</v>
      </c>
      <c r="E54" s="1021"/>
      <c r="F54" s="1959">
        <f t="shared" si="15"/>
        <v>0</v>
      </c>
      <c r="G54" s="3177"/>
      <c r="H54" s="1023">
        <f>项目基本情况!B37</f>
        <v>0</v>
      </c>
      <c r="I54" s="688">
        <f>SUMIF(修正!A45:A56,H54,修正!D45:D56)</f>
        <v>0</v>
      </c>
      <c r="J54" s="1960"/>
      <c r="K54" s="999"/>
      <c r="L54" s="1071"/>
      <c r="M54" s="1071"/>
      <c r="N54" s="1071"/>
      <c r="O54" s="1071"/>
    </row>
    <row r="55" spans="1:17" s="882" customFormat="1">
      <c r="A55" s="1019" t="s">
        <v>990</v>
      </c>
      <c r="B55" s="165">
        <f t="shared" si="17"/>
        <v>0</v>
      </c>
      <c r="C55" s="606">
        <f t="shared" si="16"/>
        <v>0</v>
      </c>
      <c r="D55" s="1020">
        <v>0.25</v>
      </c>
      <c r="E55" s="1021"/>
      <c r="F55" s="1959">
        <f t="shared" si="15"/>
        <v>0</v>
      </c>
      <c r="G55" s="3177"/>
      <c r="H55" s="1023">
        <f>项目基本情况!B37</f>
        <v>0</v>
      </c>
      <c r="I55" s="688">
        <f>SUMIF(修正!A45:A56,H55,修正!E45:E56)</f>
        <v>0</v>
      </c>
      <c r="J55" s="1960"/>
      <c r="K55" s="1004"/>
      <c r="L55" s="1071"/>
      <c r="M55" s="1071"/>
      <c r="N55" s="1071"/>
      <c r="O55" s="1071"/>
    </row>
    <row r="56" spans="1:17" s="882" customFormat="1">
      <c r="A56" s="1019" t="s">
        <v>991</v>
      </c>
      <c r="B56" s="165">
        <f t="shared" si="17"/>
        <v>0</v>
      </c>
      <c r="C56" s="606">
        <f t="shared" si="16"/>
        <v>0</v>
      </c>
      <c r="D56" s="1020">
        <v>0.25</v>
      </c>
      <c r="E56" s="164">
        <f>'数据-汇总表'!E11</f>
        <v>0</v>
      </c>
      <c r="F56" s="1959">
        <f t="shared" si="15"/>
        <v>0</v>
      </c>
      <c r="G56" s="1022" t="s">
        <v>992</v>
      </c>
      <c r="H56" s="1023">
        <f>项目基本情况!C37</f>
        <v>0</v>
      </c>
      <c r="I56" s="688">
        <f>SUMIF(修正!A45:A56,H56,修正!F45:F56)</f>
        <v>0</v>
      </c>
      <c r="J56" s="1960"/>
      <c r="K56" s="999"/>
      <c r="L56" s="1071"/>
      <c r="M56" s="1071"/>
      <c r="N56" s="1071"/>
      <c r="O56" s="1071"/>
    </row>
    <row r="57" spans="1:17" s="882" customFormat="1">
      <c r="A57" s="1019" t="s">
        <v>993</v>
      </c>
      <c r="B57" s="165">
        <f t="shared" si="17"/>
        <v>0</v>
      </c>
      <c r="C57" s="606">
        <f t="shared" si="16"/>
        <v>0</v>
      </c>
      <c r="D57" s="1020">
        <v>0.25</v>
      </c>
      <c r="E57" s="164">
        <f>'数据-汇总表'!E12</f>
        <v>0</v>
      </c>
      <c r="F57" s="1959">
        <f t="shared" si="15"/>
        <v>0</v>
      </c>
      <c r="G57" s="1024" t="s">
        <v>994</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995</v>
      </c>
      <c r="B58" s="165">
        <f t="shared" si="17"/>
        <v>0</v>
      </c>
      <c r="C58" s="606">
        <f t="shared" si="16"/>
        <v>0</v>
      </c>
      <c r="D58" s="1020">
        <v>0.25</v>
      </c>
      <c r="E58" s="164">
        <f>'数据-汇总表'!E13</f>
        <v>0</v>
      </c>
      <c r="F58" s="1959">
        <f t="shared" si="15"/>
        <v>0</v>
      </c>
      <c r="G58" s="1024" t="s">
        <v>996</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997</v>
      </c>
      <c r="B59" s="165">
        <f t="shared" si="17"/>
        <v>0</v>
      </c>
      <c r="C59" s="606">
        <f t="shared" si="16"/>
        <v>0</v>
      </c>
      <c r="D59" s="1020">
        <v>0.25</v>
      </c>
      <c r="E59" s="164">
        <f>'数据-汇总表'!E14</f>
        <v>0</v>
      </c>
      <c r="F59" s="1959">
        <f t="shared" si="15"/>
        <v>0</v>
      </c>
      <c r="G59" s="1022" t="s">
        <v>987</v>
      </c>
      <c r="H59" s="1023">
        <f>项目基本情况!B37</f>
        <v>0</v>
      </c>
      <c r="I59" s="688">
        <f>SUMIF(修正!A45:A56,H59,修正!H45:H56)</f>
        <v>0</v>
      </c>
      <c r="J59" s="1960"/>
      <c r="K59" s="1004"/>
      <c r="L59" s="1071"/>
      <c r="M59" s="1071"/>
      <c r="N59" s="1071"/>
      <c r="O59" s="1071"/>
    </row>
    <row r="60" spans="1:17" s="882" customFormat="1">
      <c r="A60" s="1019" t="s">
        <v>998</v>
      </c>
      <c r="B60" s="165">
        <f t="shared" si="17"/>
        <v>0</v>
      </c>
      <c r="C60" s="606">
        <f t="shared" si="16"/>
        <v>0</v>
      </c>
      <c r="D60" s="1020">
        <v>0.25</v>
      </c>
      <c r="E60" s="164">
        <f>'数据-汇总表'!E15</f>
        <v>0</v>
      </c>
      <c r="F60" s="1959">
        <f t="shared" si="15"/>
        <v>0</v>
      </c>
      <c r="G60" s="1095" t="s">
        <v>992</v>
      </c>
      <c r="H60" s="1096">
        <f>项目基本情况!C37</f>
        <v>0</v>
      </c>
      <c r="I60" s="688">
        <f>SUMIF(修正!A45:A56,H60,修正!H45:H56)</f>
        <v>0</v>
      </c>
      <c r="J60" s="1960"/>
      <c r="K60" s="999"/>
      <c r="L60" s="1071"/>
      <c r="M60" s="1071"/>
      <c r="N60" s="1071"/>
      <c r="O60" s="1071"/>
    </row>
    <row r="61" spans="1:17" s="882" customFormat="1">
      <c r="A61" s="1097" t="s">
        <v>999</v>
      </c>
      <c r="B61" s="1098" t="s">
        <v>1000</v>
      </c>
      <c r="C61" s="1098" t="s">
        <v>1000</v>
      </c>
      <c r="D61" s="1098" t="s">
        <v>1000</v>
      </c>
      <c r="E61" s="1098">
        <f>IF(B41="楼面地价",SUM(E51:E60),'数据-汇总表'!D3)</f>
        <v>18527.18</v>
      </c>
      <c r="F61" s="1099">
        <f>IF(B41="楼面地价",SUM(F51:F60),ROUND(C43*E61/10000,0))</f>
        <v>847</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1001</v>
      </c>
      <c r="B64" s="1085"/>
      <c r="C64" s="1103"/>
      <c r="D64" s="1103"/>
      <c r="E64" s="1103"/>
      <c r="F64" s="1104"/>
      <c r="G64" s="1104"/>
      <c r="H64" s="1103"/>
      <c r="I64" s="1103"/>
      <c r="J64" s="1103"/>
      <c r="K64" s="1290"/>
      <c r="L64" s="1291"/>
      <c r="M64" s="1103"/>
      <c r="N64" s="1103"/>
      <c r="O64" s="1161"/>
      <c r="P64" s="1164"/>
      <c r="Q64" s="1168"/>
    </row>
    <row r="65" spans="1:17" s="883" customFormat="1" ht="15">
      <c r="A65" s="1105" t="s">
        <v>1002</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665</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1003</v>
      </c>
      <c r="B67" s="1112"/>
      <c r="C67" s="1113"/>
      <c r="D67" s="1114"/>
      <c r="E67" s="1114"/>
      <c r="F67" s="1114"/>
      <c r="G67" s="1114"/>
      <c r="H67" s="1114"/>
      <c r="I67" s="1114"/>
      <c r="J67" s="1114"/>
      <c r="K67" s="1114"/>
      <c r="L67" s="1114"/>
      <c r="M67" s="1169"/>
      <c r="N67" s="1169"/>
      <c r="O67" s="1293"/>
      <c r="P67" s="1168"/>
      <c r="Q67" s="1168"/>
    </row>
    <row r="68" spans="1:17" s="878" customFormat="1" ht="15">
      <c r="A68" s="1115" t="s">
        <v>952</v>
      </c>
      <c r="B68" s="1116"/>
      <c r="C68" s="1117" t="s">
        <v>953</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1004</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958</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959</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101</v>
      </c>
      <c r="E76" s="1129">
        <f t="shared" ref="E76:M76" si="22">IF($B$41="单位面积地价",D76+$K11,D76-$K11)</f>
        <v>102</v>
      </c>
      <c r="F76" s="1129">
        <f t="shared" si="22"/>
        <v>103</v>
      </c>
      <c r="G76" s="1129">
        <f t="shared" si="22"/>
        <v>104</v>
      </c>
      <c r="H76" s="1129">
        <f t="shared" si="22"/>
        <v>105</v>
      </c>
      <c r="I76" s="1129">
        <f t="shared" si="22"/>
        <v>106</v>
      </c>
      <c r="J76" s="1129">
        <f t="shared" si="22"/>
        <v>107</v>
      </c>
      <c r="K76" s="1129">
        <f t="shared" si="22"/>
        <v>108</v>
      </c>
      <c r="L76" s="1129">
        <f t="shared" si="22"/>
        <v>109</v>
      </c>
      <c r="M76" s="1129">
        <f t="shared" si="22"/>
        <v>110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960</v>
      </c>
      <c r="B83" s="1122" t="s">
        <v>669</v>
      </c>
      <c r="C83" s="1143" t="s">
        <v>1005</v>
      </c>
      <c r="D83" s="1143" t="s">
        <v>1006</v>
      </c>
      <c r="E83" s="1143" t="s">
        <v>1007</v>
      </c>
      <c r="F83" s="1143" t="s">
        <v>1008</v>
      </c>
      <c r="G83" s="1143" t="s">
        <v>1009</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673</v>
      </c>
      <c r="C85" s="1145" t="s">
        <v>1005</v>
      </c>
      <c r="D85" s="1145" t="s">
        <v>1006</v>
      </c>
      <c r="E85" s="1145" t="s">
        <v>1007</v>
      </c>
      <c r="F85" s="1145" t="s">
        <v>1008</v>
      </c>
      <c r="G85" s="1145" t="s">
        <v>1009</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687</v>
      </c>
      <c r="C87" s="1143" t="s">
        <v>1005</v>
      </c>
      <c r="D87" s="1143" t="s">
        <v>1006</v>
      </c>
      <c r="E87" s="1143" t="s">
        <v>1007</v>
      </c>
      <c r="F87" s="1143" t="s">
        <v>1008</v>
      </c>
      <c r="G87" s="1143" t="s">
        <v>1009</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688</v>
      </c>
      <c r="C89" s="1143" t="s">
        <v>1005</v>
      </c>
      <c r="D89" s="1143" t="s">
        <v>1006</v>
      </c>
      <c r="E89" s="1143" t="s">
        <v>1007</v>
      </c>
      <c r="F89" s="1143" t="s">
        <v>1008</v>
      </c>
      <c r="G89" s="1143" t="s">
        <v>1009</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677</v>
      </c>
      <c r="C91" s="1143" t="s">
        <v>1005</v>
      </c>
      <c r="D91" s="1143" t="s">
        <v>1006</v>
      </c>
      <c r="E91" s="1143" t="s">
        <v>1007</v>
      </c>
      <c r="F91" s="1143" t="s">
        <v>1008</v>
      </c>
      <c r="G91" s="1143" t="s">
        <v>1009</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679</v>
      </c>
      <c r="C93" s="1150" t="s">
        <v>1010</v>
      </c>
      <c r="D93" s="1150" t="s">
        <v>1011</v>
      </c>
      <c r="E93" s="1150" t="s">
        <v>1012</v>
      </c>
      <c r="F93" s="1150" t="s">
        <v>1013</v>
      </c>
      <c r="G93" s="1150" t="s">
        <v>1014</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1015</v>
      </c>
      <c r="D95" s="1127" t="s">
        <v>1016</v>
      </c>
      <c r="E95" s="1127" t="s">
        <v>1017</v>
      </c>
      <c r="F95" s="1127" t="s">
        <v>1018</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685</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690</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963</v>
      </c>
      <c r="B107" s="1122" t="s">
        <v>964</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965</v>
      </c>
      <c r="C110" s="1963" t="s">
        <v>1019</v>
      </c>
      <c r="D110" s="1963" t="s">
        <v>966</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967</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968</v>
      </c>
      <c r="C114" s="1964" t="s">
        <v>1020</v>
      </c>
      <c r="D114" s="1964" t="s">
        <v>670</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5" t="str">
        <f>项目基本情况!B1</f>
        <v>河北省保定市定兴县新107国道东侧房地产抵押价值预评估</v>
      </c>
      <c r="C37" s="2975"/>
      <c r="D37" s="2975"/>
      <c r="E37" s="2975"/>
      <c r="F37" s="2975"/>
      <c r="G37" s="2975"/>
      <c r="H37" s="2975"/>
      <c r="I37" s="2975"/>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郑燚（注册号：1120070131)、崔锴（注册号：0)</v>
      </c>
    </row>
    <row r="47" spans="1:9">
      <c r="A47" s="2948"/>
      <c r="B47" s="2948" t="str">
        <f>项目基本情况!K5</f>
        <v/>
      </c>
    </row>
    <row r="48" spans="1:9">
      <c r="A48" s="2948" t="s">
        <v>75</v>
      </c>
      <c r="B48" s="2948" t="s">
        <v>81</v>
      </c>
    </row>
    <row r="49" spans="2:2">
      <c r="B49" s="2950"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7" sqref="C57"/>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1021</v>
      </c>
      <c r="B1" s="1941"/>
      <c r="C1" s="146"/>
      <c r="D1" s="146"/>
      <c r="E1" s="146"/>
      <c r="F1" s="146"/>
      <c r="G1" s="1943">
        <f>MATCH(B1,'数据-取费表'!A6:A16,0)+5</f>
        <v>7</v>
      </c>
    </row>
    <row r="2" spans="1:9" s="136" customFormat="1" ht="18" customHeight="1">
      <c r="A2" s="148" t="s">
        <v>935</v>
      </c>
      <c r="B2" s="149">
        <f ca="1">IF(D2="——",C52,C52-E2)</f>
        <v>5650</v>
      </c>
      <c r="C2" s="147" t="s">
        <v>1022</v>
      </c>
      <c r="D2" s="1944" t="s">
        <v>124</v>
      </c>
      <c r="E2" s="1945" t="e">
        <f ca="1">SUMIF(INDIRECT("'"&amp;G2&amp;"'"&amp;"!A:A"),"承租人权益价值",INDIRECT("'"&amp;G2&amp;"'"&amp;"!c:c"))</f>
        <v>#REF!</v>
      </c>
      <c r="F2" s="1946" t="s">
        <v>1022</v>
      </c>
      <c r="G2" s="1947"/>
    </row>
    <row r="3" spans="1:9" s="136" customFormat="1" ht="18" customHeight="1">
      <c r="A3" s="151" t="s">
        <v>936</v>
      </c>
      <c r="B3" s="152">
        <f ca="1">ROUND(B2*10000/(IF(B1="",'数据-汇总表'!E3,INDIRECT("'数据-取费表'!k"&amp;$G$1))),0)</f>
        <v>3141</v>
      </c>
      <c r="C3" s="147" t="s">
        <v>1023</v>
      </c>
      <c r="D3" s="147"/>
      <c r="E3" s="147"/>
      <c r="F3" s="147"/>
      <c r="G3" s="147"/>
    </row>
    <row r="4" spans="1:9" s="137" customFormat="1" ht="15.75">
      <c r="A4" s="153" t="s">
        <v>1024</v>
      </c>
      <c r="B4" s="154"/>
      <c r="C4" s="154"/>
      <c r="D4" s="154"/>
      <c r="E4" s="154"/>
      <c r="F4" s="154"/>
      <c r="G4" s="155"/>
    </row>
    <row r="5" spans="1:9" s="138" customFormat="1" ht="13.5" customHeight="1">
      <c r="A5" s="156" t="s">
        <v>1025</v>
      </c>
      <c r="B5" s="157" t="s">
        <v>1026</v>
      </c>
      <c r="C5" s="158">
        <f>C6+C7+C8</f>
        <v>881</v>
      </c>
      <c r="D5" s="158" t="s">
        <v>1027</v>
      </c>
      <c r="E5" s="159" t="s">
        <v>1028</v>
      </c>
      <c r="F5" s="159" t="s">
        <v>839</v>
      </c>
      <c r="G5" s="160"/>
    </row>
    <row r="6" spans="1:9" s="138" customFormat="1" ht="13.5" customHeight="1">
      <c r="A6" s="161" t="s">
        <v>1029</v>
      </c>
      <c r="B6" s="162" t="s">
        <v>1030</v>
      </c>
      <c r="C6" s="163">
        <f>'土地比较法-工业'!B2</f>
        <v>847</v>
      </c>
      <c r="D6" s="164"/>
      <c r="E6" s="165"/>
      <c r="F6" s="165"/>
      <c r="G6" s="166"/>
    </row>
    <row r="7" spans="1:9" s="138" customFormat="1" ht="13.5" customHeight="1">
      <c r="A7" s="161" t="s">
        <v>1031</v>
      </c>
      <c r="B7" s="162" t="s">
        <v>1032</v>
      </c>
      <c r="C7" s="167">
        <f>ROUND(C6*F7,0)</f>
        <v>34</v>
      </c>
      <c r="D7" s="167"/>
      <c r="E7" s="165"/>
      <c r="F7" s="168">
        <f>'数据-取费表'!B48+'数据-取费表'!B49</f>
        <v>4.0500000000000001E-2</v>
      </c>
      <c r="G7" s="166"/>
    </row>
    <row r="8" spans="1:9" s="139" customFormat="1">
      <c r="A8" s="161" t="s">
        <v>1033</v>
      </c>
      <c r="B8" s="162" t="s">
        <v>1034</v>
      </c>
      <c r="C8" s="167" t="str">
        <f>IF(G8="已包含在土地购买价格中","0",IF(B1="",'数据-取费表'!B29,IF(G9="全部缴纳",C9+C10,H9)))</f>
        <v>0</v>
      </c>
      <c r="D8" s="169"/>
      <c r="E8" s="167"/>
      <c r="F8" s="168"/>
      <c r="G8" s="1948" t="s">
        <v>1035</v>
      </c>
    </row>
    <row r="9" spans="1:9" s="138" customFormat="1" ht="13.5" customHeight="1">
      <c r="A9" s="171" t="s">
        <v>1036</v>
      </c>
      <c r="B9" s="172" t="s">
        <v>1037</v>
      </c>
      <c r="C9" s="173">
        <f ca="1">ROUND(D9*E9/10000,0)</f>
        <v>0</v>
      </c>
      <c r="D9" s="174">
        <f ca="1">IF(B1="",'数据-汇总表'!E5,IF(INDIRECT("'数据-取费表'!c"&amp;$G$1)="住宅",INDIRECT("'数据-取费表'!k"&amp;$G$1),0))</f>
        <v>0</v>
      </c>
      <c r="E9" s="173">
        <f>'数据-取费表'!B27</f>
        <v>20</v>
      </c>
      <c r="F9" s="168"/>
      <c r="G9" s="1952" t="s">
        <v>1038</v>
      </c>
      <c r="H9" s="1953"/>
      <c r="I9" s="1954" t="s">
        <v>1039</v>
      </c>
    </row>
    <row r="10" spans="1:9" s="138" customFormat="1" ht="13.5" customHeight="1">
      <c r="A10" s="171" t="s">
        <v>1040</v>
      </c>
      <c r="B10" s="172" t="s">
        <v>1041</v>
      </c>
      <c r="C10" s="173">
        <f ca="1">ROUND(D10*E10/10000,0)</f>
        <v>36</v>
      </c>
      <c r="D10" s="174">
        <f ca="1">IF(B1="",'数据-汇总表'!E6,IF(INDIRECT("'数据-取费表'!c"&amp;$G$1)="住宅",INDIRECT("'数据-取费表'!s"&amp;$G$1),INDIRECT("'数据-取费表'!k"&amp;$G$1)+INDIRECT("'数据-取费表'!s"&amp;$G$1)))</f>
        <v>17987.810000000001</v>
      </c>
      <c r="E10" s="173">
        <f>'数据-取费表'!B28</f>
        <v>20</v>
      </c>
      <c r="F10" s="168"/>
      <c r="G10" s="175"/>
    </row>
    <row r="11" spans="1:9" s="138" customFormat="1" ht="13.5" hidden="1" customHeight="1">
      <c r="A11" s="176" t="s">
        <v>1042</v>
      </c>
      <c r="B11" s="162" t="s">
        <v>1043</v>
      </c>
      <c r="C11" s="158"/>
      <c r="D11" s="177"/>
      <c r="E11" s="165"/>
      <c r="F11" s="165"/>
      <c r="G11" s="166"/>
    </row>
    <row r="12" spans="1:9" s="138" customFormat="1" ht="13.5" hidden="1" customHeight="1">
      <c r="A12" s="176" t="s">
        <v>1044</v>
      </c>
      <c r="B12" s="162" t="s">
        <v>876</v>
      </c>
      <c r="C12" s="158">
        <v>0</v>
      </c>
      <c r="D12" s="177"/>
      <c r="E12" s="178"/>
      <c r="F12" s="168">
        <v>3.0499999999999999E-2</v>
      </c>
      <c r="G12" s="166"/>
    </row>
    <row r="13" spans="1:9" s="138" customFormat="1" ht="13.5" hidden="1" customHeight="1">
      <c r="A13" s="176" t="s">
        <v>1045</v>
      </c>
      <c r="B13" s="162" t="s">
        <v>1046</v>
      </c>
      <c r="C13" s="158"/>
      <c r="D13" s="177"/>
      <c r="E13" s="165"/>
      <c r="F13" s="165"/>
      <c r="G13" s="166"/>
    </row>
    <row r="14" spans="1:9" s="138" customFormat="1" ht="13.5" hidden="1" customHeight="1">
      <c r="A14" s="176" t="s">
        <v>1047</v>
      </c>
      <c r="B14" s="162" t="s">
        <v>1034</v>
      </c>
      <c r="C14" s="158"/>
      <c r="D14" s="177"/>
      <c r="E14" s="165"/>
      <c r="F14" s="165"/>
      <c r="G14" s="166" t="s">
        <v>1048</v>
      </c>
    </row>
    <row r="15" spans="1:9" s="138" customFormat="1" ht="13.5" hidden="1" customHeight="1">
      <c r="A15" s="176" t="s">
        <v>1049</v>
      </c>
      <c r="B15" s="162" t="s">
        <v>1050</v>
      </c>
      <c r="C15" s="167"/>
      <c r="D15" s="177"/>
      <c r="E15" s="165"/>
      <c r="F15" s="165"/>
      <c r="G15" s="166" t="s">
        <v>1051</v>
      </c>
    </row>
    <row r="16" spans="1:9"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t="str">
        <f>IF(G19="已包含在土地取得成本中","0",ROUND(D19*E19/10000,0))</f>
        <v>0</v>
      </c>
      <c r="D19" s="182">
        <f ca="1">D9+D10</f>
        <v>17987.810000000001</v>
      </c>
      <c r="E19" s="158">
        <f>'数据-取费表'!B31</f>
        <v>180</v>
      </c>
      <c r="F19" s="183"/>
      <c r="G19" s="1948" t="s">
        <v>1060</v>
      </c>
    </row>
    <row r="20" spans="1:7" s="138" customFormat="1" ht="13.5" customHeight="1">
      <c r="A20" s="156" t="s">
        <v>1061</v>
      </c>
      <c r="B20" s="157" t="s">
        <v>1062</v>
      </c>
      <c r="C20" s="184">
        <f>ROUND((C5+C19)*F20,0)</f>
        <v>18</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0">
        <f ca="1">ROUND(SUM(C23:C25),0)</f>
        <v>38</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3">
        <f ca="1">ROUND(IF('数据-取费表'!B22&lt;=1,C5*F22*'数据-取费表'!B23,C5*(POWER((1+F22),'数据-取费表'!B23)-1)),0)</f>
        <v>38</v>
      </c>
      <c r="D23" s="194"/>
      <c r="E23" s="194"/>
      <c r="F23" s="195"/>
      <c r="G23" s="196" t="s">
        <v>1071</v>
      </c>
    </row>
    <row r="24" spans="1:7" s="138" customFormat="1" ht="13.5" customHeight="1">
      <c r="A24" s="192" t="s">
        <v>1031</v>
      </c>
      <c r="B24" s="162" t="s">
        <v>1072</v>
      </c>
      <c r="C24" s="193">
        <f ca="1">ROUND(IF('数据-取费表'!B22&lt;=1,C19*F22*('数据-取费表'!B19/2+'数据-取费表'!B21),C19*(POWER((1+F22),('数据-取费表'!B19/2+'数据-取费表'!B21))-1)),0)</f>
        <v>0</v>
      </c>
      <c r="D24" s="194"/>
      <c r="E24" s="194"/>
      <c r="F24" s="195"/>
      <c r="G24" s="196" t="s">
        <v>1073</v>
      </c>
    </row>
    <row r="25" spans="1:7" s="138" customFormat="1" ht="24">
      <c r="A25" s="192" t="s">
        <v>1033</v>
      </c>
      <c r="B25" s="162" t="s">
        <v>1074</v>
      </c>
      <c r="C25" s="193">
        <f ca="1">ROUND(IF('数据-取费表'!B22&lt;=1,C20*F22*'数据-取费表'!B23/2,C20*(POWER((1+F22),'数据-取费表'!B23/2)-1)),0)</f>
        <v>0</v>
      </c>
      <c r="D25" s="194"/>
      <c r="E25" s="197"/>
      <c r="F25" s="195"/>
      <c r="G25" s="198" t="s">
        <v>1075</v>
      </c>
    </row>
    <row r="26" spans="1:7" s="138" customFormat="1">
      <c r="A26" s="192" t="s">
        <v>1076</v>
      </c>
      <c r="B26" s="162" t="s">
        <v>1077</v>
      </c>
      <c r="C26" s="194">
        <f ca="1">ROUND(IF('数据-取费表'!B22&lt;=1,F21*F22*'数据-取费表'!B23/2,F21*(POWER((1+F22),'数据-取费表'!B23/2)-1)),4)</f>
        <v>4.0000000000000002E-4</v>
      </c>
      <c r="D26" s="194"/>
      <c r="E26" s="197"/>
      <c r="F26" s="195"/>
      <c r="G26" s="199"/>
    </row>
    <row r="27" spans="1:7" s="138" customFormat="1" ht="24.75">
      <c r="A27" s="156" t="s">
        <v>1078</v>
      </c>
      <c r="B27" s="200" t="s">
        <v>1079</v>
      </c>
      <c r="C27" s="201">
        <f ca="1">C28</f>
        <v>90</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ROUND((C5+C19+C20)*F27*'数据-取费表'!B21/'数据-取费表'!B20,0)</f>
        <v>90</v>
      </c>
      <c r="D28" s="187"/>
      <c r="E28" s="188"/>
      <c r="F28" s="202"/>
      <c r="G28" s="203"/>
    </row>
    <row r="29" spans="1:7" s="138" customFormat="1" ht="13.5" customHeight="1">
      <c r="A29" s="192" t="s">
        <v>1031</v>
      </c>
      <c r="B29" s="204" t="s">
        <v>1082</v>
      </c>
      <c r="C29" s="194">
        <f ca="1">ROUND(C21*F27*'数据-取费表'!B21/'数据-取费表'!B20,4)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1110</v>
      </c>
      <c r="D31" s="207"/>
      <c r="E31" s="158"/>
      <c r="F31" s="208"/>
      <c r="G31" s="189" t="s">
        <v>1087</v>
      </c>
    </row>
    <row r="32" spans="1:7" s="137" customFormat="1" ht="15.75">
      <c r="A32" s="209" t="s">
        <v>1088</v>
      </c>
      <c r="B32" s="210"/>
      <c r="C32" s="210"/>
      <c r="D32" s="210"/>
      <c r="E32" s="210"/>
      <c r="F32" s="210"/>
      <c r="G32" s="211"/>
    </row>
    <row r="33" spans="1:7" s="138" customFormat="1" ht="13.5" customHeight="1">
      <c r="A33" s="156" t="s">
        <v>1025</v>
      </c>
      <c r="B33" s="157" t="s">
        <v>1089</v>
      </c>
      <c r="C33" s="212">
        <f ca="1">SUM(C34:C38)</f>
        <v>3708</v>
      </c>
      <c r="D33" s="184"/>
      <c r="E33" s="159"/>
      <c r="F33" s="197"/>
      <c r="G33" s="189"/>
    </row>
    <row r="34" spans="1:7" s="140" customFormat="1" ht="13.5" customHeight="1">
      <c r="A34" s="192" t="s">
        <v>1029</v>
      </c>
      <c r="B34" s="162" t="s">
        <v>1090</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1091</v>
      </c>
    </row>
    <row r="35" spans="1:7" ht="13.5" customHeight="1">
      <c r="A35" s="192" t="s">
        <v>1031</v>
      </c>
      <c r="B35" s="162" t="s">
        <v>1092</v>
      </c>
      <c r="C35" s="167">
        <f ca="1">ROUND(C34*F35,0)</f>
        <v>97</v>
      </c>
      <c r="D35" s="167"/>
      <c r="E35" s="167"/>
      <c r="F35" s="214">
        <f>'数据-取费表'!B33</f>
        <v>0.03</v>
      </c>
      <c r="G35" s="166" t="s">
        <v>1093</v>
      </c>
    </row>
    <row r="36" spans="1:7" ht="24">
      <c r="A36" s="192" t="s">
        <v>1033</v>
      </c>
      <c r="B36" s="162" t="s">
        <v>1094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1095</v>
      </c>
    </row>
    <row r="37" spans="1:7" s="140" customFormat="1" ht="13.5" customHeight="1">
      <c r="A37" s="192" t="s">
        <v>1076</v>
      </c>
      <c r="B37" s="162" t="s">
        <v>1096</v>
      </c>
      <c r="C37" s="205">
        <f ca="1">ROUND(E37*D37*F34/10000,0)</f>
        <v>324</v>
      </c>
      <c r="D37" s="164">
        <f ca="1">D19</f>
        <v>17987.810000000001</v>
      </c>
      <c r="E37" s="205">
        <f>'数据-取费表'!B35</f>
        <v>180</v>
      </c>
      <c r="F37" s="214"/>
      <c r="G37" s="216" t="s">
        <v>1097</v>
      </c>
    </row>
    <row r="38" spans="1:7" ht="13.5" customHeight="1">
      <c r="A38" s="192" t="s">
        <v>1098</v>
      </c>
      <c r="B38" s="162" t="s">
        <v>876</v>
      </c>
      <c r="C38" s="167">
        <f ca="1">ROUND(C34*F38,0)</f>
        <v>49</v>
      </c>
      <c r="D38" s="167"/>
      <c r="E38" s="167"/>
      <c r="F38" s="214">
        <f>'数据-取费表'!B36</f>
        <v>1.4999999999999999E-2</v>
      </c>
      <c r="G38" s="166" t="s">
        <v>1093</v>
      </c>
    </row>
    <row r="39" spans="1:7" s="138" customFormat="1" ht="13.5" customHeight="1">
      <c r="A39" s="156" t="s">
        <v>1058</v>
      </c>
      <c r="B39" s="157" t="s">
        <v>1062</v>
      </c>
      <c r="C39" s="184">
        <f ca="1">ROUND(C33*F20,0)</f>
        <v>74</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83</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ROUND(IF('数据-取费表'!B22&lt;=1,C33*F22*'数据-取费表'!B21/2,C33*(POWER((1+F22),'数据-取费表'!B21/2)-1)),0)</f>
        <v>81</v>
      </c>
      <c r="D42" s="194"/>
      <c r="E42" s="194"/>
      <c r="F42" s="195"/>
      <c r="G42" s="3205" t="s">
        <v>1102</v>
      </c>
    </row>
    <row r="43" spans="1:7" ht="13.5" customHeight="1">
      <c r="A43" s="192" t="s">
        <v>1031</v>
      </c>
      <c r="B43" s="162" t="s">
        <v>1072</v>
      </c>
      <c r="C43" s="194">
        <f ca="1">ROUND(IF('数据-取费表'!B22&lt;=1,C39*F22*'数据-取费表'!B21/2,C39*(POWER((1+F22),'数据-取费表'!B21/2)-1)),0)</f>
        <v>2</v>
      </c>
      <c r="D43" s="194"/>
      <c r="E43" s="194"/>
      <c r="F43" s="195"/>
      <c r="G43" s="3206"/>
    </row>
    <row r="44" spans="1:7" ht="13.5" customHeight="1">
      <c r="A44" s="192" t="s">
        <v>1033</v>
      </c>
      <c r="B44" s="162" t="s">
        <v>1074</v>
      </c>
      <c r="C44" s="194">
        <f ca="1">ROUND(IF('数据-取费表'!B22&lt;=1,C40*F22*'数据-取费表'!B21/2,C40*(POWER((1+F22),'数据-取费表'!B21/2)-1)),4)</f>
        <v>4.0000000000000002E-4</v>
      </c>
      <c r="D44" s="194"/>
      <c r="E44" s="194"/>
      <c r="F44" s="195"/>
      <c r="G44" s="3207"/>
    </row>
    <row r="45" spans="1:7" s="138" customFormat="1" ht="13.5" customHeight="1">
      <c r="A45" s="156" t="s">
        <v>1068</v>
      </c>
      <c r="B45" s="200" t="s">
        <v>1079</v>
      </c>
      <c r="C45" s="201">
        <f ca="1">C46</f>
        <v>378</v>
      </c>
      <c r="D45" s="187">
        <f ca="1">C47</f>
        <v>2E-3</v>
      </c>
      <c r="E45" s="188" t="s">
        <v>1100</v>
      </c>
      <c r="F45" s="202"/>
      <c r="G45" s="203" t="s">
        <v>1103</v>
      </c>
    </row>
    <row r="46" spans="1:7" s="138" customFormat="1" ht="13.5" customHeight="1">
      <c r="A46" s="192" t="s">
        <v>1029</v>
      </c>
      <c r="B46" s="204" t="s">
        <v>1104</v>
      </c>
      <c r="C46" s="205">
        <f ca="1">ROUND((C33+C39)*F27,0)</f>
        <v>378</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1951">
        <f>ROUND(F30/(1+'数据-取费表'!C42),4)</f>
        <v>5.2400000000000002E-2</v>
      </c>
      <c r="D48" s="188" t="s">
        <v>1100</v>
      </c>
      <c r="E48" s="184"/>
      <c r="F48" s="191"/>
      <c r="G48" s="189" t="s">
        <v>1106</v>
      </c>
    </row>
    <row r="49" spans="1:7" ht="16.5" customHeight="1">
      <c r="A49" s="156" t="s">
        <v>1083</v>
      </c>
      <c r="B49" s="157" t="s">
        <v>1107</v>
      </c>
      <c r="C49" s="184">
        <f ca="1">ROUND((C33+C39+C41+C45)/(1-C40-D41-D45-C48),0)</f>
        <v>4586</v>
      </c>
      <c r="D49" s="184"/>
      <c r="E49" s="184"/>
      <c r="F49" s="219"/>
      <c r="G49" s="189" t="s">
        <v>1108</v>
      </c>
    </row>
    <row r="50" spans="1:7" s="140" customFormat="1" ht="24">
      <c r="A50" s="156" t="s">
        <v>1109</v>
      </c>
      <c r="B50" s="157" t="s">
        <v>1110</v>
      </c>
      <c r="C50" s="184"/>
      <c r="D50" s="184"/>
      <c r="E50" s="184"/>
      <c r="F50" s="219">
        <f>IF('数据-取费表'!B24=0,'数据-取费表'!N16,1)</f>
        <v>0.99</v>
      </c>
      <c r="G50" s="203" t="s">
        <v>1111</v>
      </c>
    </row>
    <row r="51" spans="1:7" ht="16.5" customHeight="1">
      <c r="A51" s="156" t="s">
        <v>1112</v>
      </c>
      <c r="B51" s="157" t="s">
        <v>1113</v>
      </c>
      <c r="C51" s="184">
        <f ca="1">ROUND(C49*F50,0)</f>
        <v>4540</v>
      </c>
      <c r="D51" s="184"/>
      <c r="E51" s="184"/>
      <c r="F51" s="219"/>
      <c r="G51" s="189" t="s">
        <v>1114</v>
      </c>
    </row>
    <row r="52" spans="1:7" s="137" customFormat="1" ht="15.75">
      <c r="A52" s="220" t="s">
        <v>1115</v>
      </c>
      <c r="B52" s="221"/>
      <c r="C52" s="222">
        <f ca="1">C31+C51</f>
        <v>5650</v>
      </c>
      <c r="D52" s="221"/>
      <c r="E52" s="221"/>
      <c r="F52" s="221"/>
      <c r="G52" s="223"/>
    </row>
    <row r="55" spans="1:7" ht="15">
      <c r="B55" s="224" t="s">
        <v>1116</v>
      </c>
      <c r="C55" s="225"/>
    </row>
    <row r="56" spans="1:7">
      <c r="B56" s="226" t="s">
        <v>1117</v>
      </c>
      <c r="C56" s="228">
        <f ca="1">1-C57</f>
        <v>0.19599999999999995</v>
      </c>
    </row>
    <row r="57" spans="1:7">
      <c r="B57" s="226" t="s">
        <v>1118</v>
      </c>
      <c r="C57" s="227">
        <f ca="1">ROUND(C51/C52,3)</f>
        <v>0.80400000000000005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1021</v>
      </c>
      <c r="B1" s="1941"/>
      <c r="C1" s="1942" t="s">
        <v>1119</v>
      </c>
      <c r="D1" s="146"/>
      <c r="E1" s="146"/>
      <c r="F1" s="146"/>
      <c r="G1" s="1943">
        <f>MATCH(B1,'数据-取费表'!A6:A16,0)+5</f>
        <v>7</v>
      </c>
      <c r="H1" s="1469" t="str">
        <f>IF(ISERROR(FIND("住宅",B1)),"非住宅","住宅")</f>
        <v>非住宅</v>
      </c>
    </row>
    <row r="2" spans="1:8" s="136" customFormat="1" ht="18" customHeight="1">
      <c r="A2" s="148" t="s">
        <v>935</v>
      </c>
      <c r="B2" s="149">
        <f ca="1">ROUND(IF(D2="——",C52/10000,C52/10000-E2),0)</f>
        <v>4992</v>
      </c>
      <c r="C2" s="147" t="s">
        <v>1022</v>
      </c>
      <c r="D2" s="1944" t="s">
        <v>124</v>
      </c>
      <c r="E2" s="1945" t="e">
        <f ca="1">SUMIF(INDIRECT("'"&amp;G2&amp;"'"&amp;"!A:A"),"承租人权益价值",INDIRECT("'"&amp;G2&amp;"'"&amp;"!c:c"))</f>
        <v>#REF!</v>
      </c>
      <c r="F2" s="1946" t="s">
        <v>1022</v>
      </c>
      <c r="G2" s="1947"/>
    </row>
    <row r="3" spans="1:8" s="136" customFormat="1" ht="18" customHeight="1">
      <c r="A3" s="151" t="s">
        <v>936</v>
      </c>
      <c r="B3" s="152">
        <f ca="1">ROUND(B2*10000/(IF(B1="",'数据-汇总表'!E3,INDIRECT("'数据-取费表'!k"&amp;$G$1))),0)</f>
        <v>2775</v>
      </c>
      <c r="C3" s="147" t="s">
        <v>1023</v>
      </c>
      <c r="D3" s="147"/>
      <c r="E3" s="147"/>
      <c r="F3" s="147"/>
      <c r="G3" s="147"/>
    </row>
    <row r="4" spans="1:8" s="137" customFormat="1" ht="15.75">
      <c r="A4" s="153" t="s">
        <v>1024</v>
      </c>
      <c r="B4" s="154"/>
      <c r="C4" s="154"/>
      <c r="D4" s="154"/>
      <c r="E4" s="154"/>
      <c r="F4" s="154"/>
      <c r="G4" s="155"/>
    </row>
    <row r="5" spans="1:8" s="138" customFormat="1" ht="13.5" customHeight="1">
      <c r="A5" s="156" t="s">
        <v>1025</v>
      </c>
      <c r="B5" s="157" t="s">
        <v>1026</v>
      </c>
      <c r="C5" s="158">
        <f ca="1">C6+C7+C8</f>
        <v>359756</v>
      </c>
      <c r="D5" s="158" t="s">
        <v>1027</v>
      </c>
      <c r="E5" s="159" t="s">
        <v>1028</v>
      </c>
      <c r="F5" s="159" t="s">
        <v>839</v>
      </c>
      <c r="G5" s="160"/>
    </row>
    <row r="6" spans="1:8" s="138" customFormat="1" ht="13.5" customHeight="1">
      <c r="A6" s="161" t="s">
        <v>1029</v>
      </c>
      <c r="B6" s="162" t="s">
        <v>1030</v>
      </c>
      <c r="C6" s="163"/>
      <c r="D6" s="164"/>
      <c r="E6" s="165"/>
      <c r="F6" s="165"/>
      <c r="G6" s="166"/>
    </row>
    <row r="7" spans="1:8" s="138" customFormat="1" ht="13.5" customHeight="1">
      <c r="A7" s="161" t="s">
        <v>1031</v>
      </c>
      <c r="B7" s="162" t="s">
        <v>1032</v>
      </c>
      <c r="C7" s="167">
        <f>ROUND(C6*F7,0)</f>
        <v>0</v>
      </c>
      <c r="D7" s="167"/>
      <c r="E7" s="165"/>
      <c r="F7" s="168">
        <f>'数据-取费表'!B48+'数据-取费表'!B49</f>
        <v>4.0500000000000001E-2</v>
      </c>
      <c r="G7" s="166"/>
    </row>
    <row r="8" spans="1:8" s="139" customFormat="1">
      <c r="A8" s="161" t="s">
        <v>1033</v>
      </c>
      <c r="B8" s="162" t="s">
        <v>1034</v>
      </c>
      <c r="C8" s="167">
        <f ca="1">IF(G8="已包含在土地购买价格中",0,C9+C10)</f>
        <v>359756</v>
      </c>
      <c r="D8" s="169"/>
      <c r="E8" s="167"/>
      <c r="F8" s="168"/>
      <c r="G8" s="1948"/>
    </row>
    <row r="9" spans="1:8" s="138" customFormat="1" ht="13.5" customHeight="1">
      <c r="A9" s="171" t="s">
        <v>1036</v>
      </c>
      <c r="B9" s="172" t="s">
        <v>1037</v>
      </c>
      <c r="C9" s="173">
        <f ca="1">ROUND(D9*E9,0)</f>
        <v>0</v>
      </c>
      <c r="D9" s="174">
        <f ca="1">IF(B1="",'数据-汇总表'!E5,IF(INDIRECT("'数据-取费表'!c"&amp;$G$1)="住宅",INDIRECT("'数据-取费表'!k"&amp;$G$1),0))</f>
        <v>0</v>
      </c>
      <c r="E9" s="173">
        <f>'数据-取费表'!B27</f>
        <v>20</v>
      </c>
      <c r="F9" s="168"/>
      <c r="G9" s="175"/>
    </row>
    <row r="10" spans="1:8" s="138" customFormat="1" ht="13.5" customHeight="1">
      <c r="A10" s="171" t="s">
        <v>1040</v>
      </c>
      <c r="B10" s="172" t="s">
        <v>1041</v>
      </c>
      <c r="C10" s="173">
        <f ca="1">ROUND(D10*E10,0)</f>
        <v>359756</v>
      </c>
      <c r="D10" s="174">
        <f ca="1">IF(B1="",'数据-汇总表'!E6,IF(INDIRECT("'数据-取费表'!c"&amp;$G$1)="住宅",INDIRECT("'数据-取费表'!s"&amp;$G$1),INDIRECT("'数据-取费表'!k"&amp;$G$1)+INDIRECT("'数据-取费表'!s"&amp;$G$1)))</f>
        <v>17987.810000000001</v>
      </c>
      <c r="E10" s="173">
        <f>'数据-取费表'!B28</f>
        <v>20</v>
      </c>
      <c r="F10" s="168"/>
      <c r="G10" s="175"/>
    </row>
    <row r="11" spans="1:8" s="138" customFormat="1" ht="13.5" hidden="1" customHeight="1">
      <c r="A11" s="176" t="s">
        <v>1042</v>
      </c>
      <c r="B11" s="162" t="s">
        <v>1043</v>
      </c>
      <c r="C11" s="158"/>
      <c r="D11" s="177"/>
      <c r="E11" s="165"/>
      <c r="F11" s="165"/>
      <c r="G11" s="166"/>
    </row>
    <row r="12" spans="1:8" s="138" customFormat="1" ht="13.5" hidden="1" customHeight="1">
      <c r="A12" s="176" t="s">
        <v>1044</v>
      </c>
      <c r="B12" s="162" t="s">
        <v>876</v>
      </c>
      <c r="C12" s="158">
        <v>0</v>
      </c>
      <c r="D12" s="177"/>
      <c r="E12" s="178"/>
      <c r="F12" s="168">
        <v>3.0499999999999999E-2</v>
      </c>
      <c r="G12" s="166"/>
    </row>
    <row r="13" spans="1:8" s="138" customFormat="1" ht="13.5" hidden="1" customHeight="1">
      <c r="A13" s="176" t="s">
        <v>1045</v>
      </c>
      <c r="B13" s="162" t="s">
        <v>1046</v>
      </c>
      <c r="C13" s="158"/>
      <c r="D13" s="177"/>
      <c r="E13" s="165"/>
      <c r="F13" s="165"/>
      <c r="G13" s="166"/>
    </row>
    <row r="14" spans="1:8" s="138" customFormat="1" ht="13.5" hidden="1" customHeight="1">
      <c r="A14" s="176" t="s">
        <v>1047</v>
      </c>
      <c r="B14" s="162" t="s">
        <v>1034</v>
      </c>
      <c r="C14" s="158"/>
      <c r="D14" s="177"/>
      <c r="E14" s="165"/>
      <c r="F14" s="165"/>
      <c r="G14" s="166" t="s">
        <v>1048</v>
      </c>
    </row>
    <row r="15" spans="1:8" s="138" customFormat="1" ht="13.5" hidden="1" customHeight="1">
      <c r="A15" s="176" t="s">
        <v>1049</v>
      </c>
      <c r="B15" s="162" t="s">
        <v>1050</v>
      </c>
      <c r="C15" s="167"/>
      <c r="D15" s="177"/>
      <c r="E15" s="165"/>
      <c r="F15" s="165"/>
      <c r="G15" s="166" t="s">
        <v>1051</v>
      </c>
    </row>
    <row r="16" spans="1:8"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f ca="1">IF(G19="已包含在土地取得成本中","0",ROUND(D19*E19,0))</f>
        <v>3237806</v>
      </c>
      <c r="D19" s="182">
        <f ca="1">D9+D10</f>
        <v>17987.810000000001</v>
      </c>
      <c r="E19" s="158">
        <f>'数据-取费表'!B31</f>
        <v>180</v>
      </c>
      <c r="F19" s="183"/>
      <c r="G19" s="1948"/>
    </row>
    <row r="20" spans="1:7" s="138" customFormat="1" ht="13.5" customHeight="1">
      <c r="A20" s="156" t="s">
        <v>1061</v>
      </c>
      <c r="B20" s="157" t="s">
        <v>1062</v>
      </c>
      <c r="C20" s="184">
        <f ca="1">ROUND((C5+C19)*F20,0)</f>
        <v>71951</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49">
        <f ca="1">ROUND(SUM(C23:C25),0)</f>
        <v>158059</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50">
        <f ca="1">ROUND(IF('数据-取费表'!B22&lt;=1,C5*F22*'数据-取费表'!B22,C5*(POWER((1+F22),'数据-取费表'!B22)-1)),0)</f>
        <v>15649</v>
      </c>
      <c r="D23" s="194"/>
      <c r="E23" s="194"/>
      <c r="F23" s="195"/>
      <c r="G23" s="196" t="s">
        <v>1071</v>
      </c>
    </row>
    <row r="24" spans="1:7" s="138" customFormat="1" ht="13.5" customHeight="1">
      <c r="A24" s="192" t="s">
        <v>1031</v>
      </c>
      <c r="B24" s="162" t="s">
        <v>1072</v>
      </c>
      <c r="C24" s="1950">
        <f ca="1">ROUND(IF('数据-取费表'!B22&lt;=1,C19*F22*('数据-取费表'!B19/2+'数据-取费表'!B20),C19*(POWER((1+F22),('数据-取费表'!B19/2+'数据-取费表'!B20))-1)),0)</f>
        <v>140845</v>
      </c>
      <c r="D24" s="194"/>
      <c r="E24" s="194"/>
      <c r="F24" s="195"/>
      <c r="G24" s="196" t="s">
        <v>1073</v>
      </c>
    </row>
    <row r="25" spans="1:7" s="138" customFormat="1" ht="24">
      <c r="A25" s="192" t="s">
        <v>1033</v>
      </c>
      <c r="B25" s="162" t="s">
        <v>1074</v>
      </c>
      <c r="C25" s="1950">
        <f ca="1">ROUND(IF('数据-取费表'!B22&lt;=1,C20*F22*'数据-取费表'!B22/2,C20*(POWER((1+F22),'数据-取费表'!B22/2)-1)),0)</f>
        <v>1565</v>
      </c>
      <c r="D25" s="194"/>
      <c r="E25" s="197"/>
      <c r="F25" s="195"/>
      <c r="G25" s="198" t="s">
        <v>1075</v>
      </c>
    </row>
    <row r="26" spans="1:7" s="138" customFormat="1">
      <c r="A26" s="192" t="s">
        <v>1076</v>
      </c>
      <c r="B26" s="162" t="s">
        <v>1077</v>
      </c>
      <c r="C26" s="194">
        <f ca="1">ROUND(IF('数据-取费表'!B22&lt;=1,F21*F22*'数据-取费表'!B22/2,F21*(POWER((1+F22),'数据-取费表'!B22/2)-1)),4)</f>
        <v>4.0000000000000002E-4</v>
      </c>
      <c r="D26" s="194"/>
      <c r="E26" s="197"/>
      <c r="F26" s="195"/>
      <c r="G26" s="199"/>
    </row>
    <row r="27" spans="1:7" s="138" customFormat="1" ht="24.75">
      <c r="A27" s="156" t="s">
        <v>1078</v>
      </c>
      <c r="B27" s="200" t="s">
        <v>1079</v>
      </c>
      <c r="C27" s="201">
        <f ca="1">C28</f>
        <v>366951</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ROUND((C5+C19+C20)*F27,0)</f>
        <v>366951</v>
      </c>
      <c r="D28" s="187"/>
      <c r="E28" s="188"/>
      <c r="F28" s="202"/>
      <c r="G28" s="203"/>
    </row>
    <row r="29" spans="1:7" s="138" customFormat="1" ht="13.5" customHeight="1">
      <c r="A29" s="192" t="s">
        <v>1031</v>
      </c>
      <c r="B29" s="204" t="s">
        <v>1082</v>
      </c>
      <c r="C29" s="194">
        <f ca="1">ROUND(C21*F27,4)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4533639</v>
      </c>
      <c r="D31" s="207"/>
      <c r="E31" s="158"/>
      <c r="F31" s="208"/>
      <c r="G31" s="189" t="s">
        <v>1087</v>
      </c>
    </row>
    <row r="32" spans="1:7" s="137" customFormat="1" ht="15.75">
      <c r="A32" s="209" t="s">
        <v>1120</v>
      </c>
      <c r="B32" s="210"/>
      <c r="C32" s="210"/>
      <c r="D32" s="210"/>
      <c r="E32" s="210"/>
      <c r="F32" s="210"/>
      <c r="G32" s="211"/>
    </row>
    <row r="33" spans="1:7" s="138" customFormat="1" ht="13.5" customHeight="1">
      <c r="A33" s="156" t="s">
        <v>1025</v>
      </c>
      <c r="B33" s="157" t="s">
        <v>1121</v>
      </c>
      <c r="C33" s="212">
        <f ca="1">SUM(C34:C38)</f>
        <v>37072877</v>
      </c>
      <c r="D33" s="184"/>
      <c r="E33" s="159"/>
      <c r="F33" s="197"/>
      <c r="G33" s="189"/>
    </row>
    <row r="34" spans="1:7" s="140" customFormat="1" ht="13.5" customHeight="1">
      <c r="A34" s="192" t="s">
        <v>1029</v>
      </c>
      <c r="B34" s="162" t="s">
        <v>1090</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1031</v>
      </c>
      <c r="B35" s="162" t="s">
        <v>1092</v>
      </c>
      <c r="C35" s="167">
        <f ca="1">ROUND(C34*F35,0)</f>
        <v>971342</v>
      </c>
      <c r="D35" s="167"/>
      <c r="E35" s="167"/>
      <c r="F35" s="214">
        <f>'数据-取费表'!B33</f>
        <v>0.03</v>
      </c>
      <c r="G35" s="166" t="s">
        <v>1093</v>
      </c>
    </row>
    <row r="36" spans="1:7" ht="24">
      <c r="A36" s="192" t="s">
        <v>1033</v>
      </c>
      <c r="B36" s="162" t="s">
        <v>1094</v>
      </c>
      <c r="C36" s="167">
        <f ca="1">ROUND(IF(B1="",SUM('数据-取费表'!AP6:AP13)*F36,IF(INDIRECT("'数据-取费表'!c"&amp;$G$1)="住宅",INDIRECT("'数据-取费表'!k"&amp;$G$1)*INDIRECT("'数据-取费表'!l"&amp;$G$1)*F36,0)),0)</f>
        <v>0</v>
      </c>
      <c r="D36" s="167"/>
      <c r="E36" s="167"/>
      <c r="F36" s="214">
        <f>'数据-取费表'!B34</f>
        <v>0.02</v>
      </c>
      <c r="G36" s="215" t="s">
        <v>1095</v>
      </c>
    </row>
    <row r="37" spans="1:7" s="140" customFormat="1" ht="13.5" customHeight="1">
      <c r="A37" s="192" t="s">
        <v>1076</v>
      </c>
      <c r="B37" s="162" t="s">
        <v>1096</v>
      </c>
      <c r="C37" s="205">
        <f ca="1">ROUND(E37*D37,0)</f>
        <v>3237806</v>
      </c>
      <c r="D37" s="164">
        <f ca="1">D19</f>
        <v>17987.810000000001</v>
      </c>
      <c r="E37" s="205">
        <f>'数据-取费表'!B35</f>
        <v>180</v>
      </c>
      <c r="F37" s="214"/>
      <c r="G37" s="216"/>
    </row>
    <row r="38" spans="1:7" ht="13.5" customHeight="1">
      <c r="A38" s="192" t="s">
        <v>1098</v>
      </c>
      <c r="B38" s="162" t="s">
        <v>876</v>
      </c>
      <c r="C38" s="167">
        <f ca="1">ROUND(C34*F38,0)</f>
        <v>485671</v>
      </c>
      <c r="D38" s="167"/>
      <c r="E38" s="167"/>
      <c r="F38" s="214">
        <f>'数据-取费表'!B36</f>
        <v>1.4999999999999999E-2</v>
      </c>
      <c r="G38" s="166" t="s">
        <v>1093</v>
      </c>
    </row>
    <row r="39" spans="1:7" s="138" customFormat="1" ht="13.5" customHeight="1">
      <c r="A39" s="156" t="s">
        <v>1058</v>
      </c>
      <c r="B39" s="157" t="s">
        <v>1062</v>
      </c>
      <c r="C39" s="184">
        <f ca="1">ROUND(C33*F20,0)</f>
        <v>741458</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822462</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ROUND(IF('数据-取费表'!B22&lt;=1,C33*F22*'数据-取费表'!B20/2,C33*(POWER((1+F22),'数据-取费表'!B20/2)-1)),0)</f>
        <v>806335</v>
      </c>
      <c r="D42" s="194"/>
      <c r="E42" s="194"/>
      <c r="F42" s="195"/>
      <c r="G42" s="3205" t="s">
        <v>1122</v>
      </c>
    </row>
    <row r="43" spans="1:7" ht="13.5" customHeight="1">
      <c r="A43" s="192" t="s">
        <v>1031</v>
      </c>
      <c r="B43" s="162" t="s">
        <v>1072</v>
      </c>
      <c r="C43" s="194">
        <f ca="1">ROUND(IF('数据-取费表'!B22&lt;=1,C39*F22*'数据-取费表'!B20/2,C39*(POWER((1+F22),'数据-取费表'!B20/2)-1)),0)</f>
        <v>16127</v>
      </c>
      <c r="D43" s="194"/>
      <c r="E43" s="194"/>
      <c r="F43" s="195"/>
      <c r="G43" s="3206"/>
    </row>
    <row r="44" spans="1:7" ht="13.5" customHeight="1">
      <c r="A44" s="192" t="s">
        <v>1033</v>
      </c>
      <c r="B44" s="162" t="s">
        <v>1074</v>
      </c>
      <c r="C44" s="194">
        <f ca="1">ROUND(IF('数据-取费表'!B22&lt;=1,C40*F22*'数据-取费表'!B20/2,C40*(POWER((1+F22),'数据-取费表'!B20/2)-1)),4)</f>
        <v>4.0000000000000002E-4</v>
      </c>
      <c r="D44" s="194"/>
      <c r="E44" s="194"/>
      <c r="F44" s="195"/>
      <c r="G44" s="3207"/>
    </row>
    <row r="45" spans="1:7" s="138" customFormat="1" ht="13.5" customHeight="1">
      <c r="A45" s="156" t="s">
        <v>1068</v>
      </c>
      <c r="B45" s="200" t="s">
        <v>1079</v>
      </c>
      <c r="C45" s="201">
        <f ca="1">C46</f>
        <v>3781434</v>
      </c>
      <c r="D45" s="187">
        <f ca="1">C47</f>
        <v>2E-3</v>
      </c>
      <c r="E45" s="188" t="s">
        <v>1100</v>
      </c>
      <c r="F45" s="202"/>
      <c r="G45" s="203" t="s">
        <v>1103</v>
      </c>
    </row>
    <row r="46" spans="1:7" s="138" customFormat="1" ht="13.5" customHeight="1">
      <c r="A46" s="192" t="s">
        <v>1029</v>
      </c>
      <c r="B46" s="204" t="s">
        <v>1104</v>
      </c>
      <c r="C46" s="205">
        <f ca="1">ROUND((C33+C39)*F27,0)</f>
        <v>3781434</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217">
        <f>ROUND(F30/(1+'数据-取费表'!C42),4)</f>
        <v>5.2400000000000002E-2</v>
      </c>
      <c r="D48" s="188" t="s">
        <v>1100</v>
      </c>
      <c r="E48" s="184"/>
      <c r="F48" s="191"/>
      <c r="G48" s="189" t="s">
        <v>1106</v>
      </c>
    </row>
    <row r="49" spans="1:7" ht="16.5" customHeight="1">
      <c r="A49" s="156" t="s">
        <v>1083</v>
      </c>
      <c r="B49" s="157" t="s">
        <v>1123</v>
      </c>
      <c r="C49" s="184">
        <f ca="1">ROUND((C33+C39+C41+C45)/(1-C40-D41-D45-C48),0)</f>
        <v>45847634</v>
      </c>
      <c r="D49" s="184"/>
      <c r="E49" s="184"/>
      <c r="F49" s="219"/>
      <c r="G49" s="189" t="s">
        <v>1108</v>
      </c>
    </row>
    <row r="50" spans="1:7" s="140" customFormat="1">
      <c r="A50" s="156" t="s">
        <v>1109</v>
      </c>
      <c r="B50" s="157" t="s">
        <v>1110</v>
      </c>
      <c r="C50" s="184"/>
      <c r="D50" s="184"/>
      <c r="E50" s="184"/>
      <c r="F50" s="219">
        <f>IF('数据-取费表'!B24=0,'数据-取费表'!N16,1)</f>
        <v>0.99</v>
      </c>
      <c r="G50" s="203"/>
    </row>
    <row r="51" spans="1:7" ht="16.5" customHeight="1">
      <c r="A51" s="156" t="s">
        <v>1112</v>
      </c>
      <c r="B51" s="157" t="s">
        <v>1124</v>
      </c>
      <c r="C51" s="184">
        <f ca="1">ROUND(C49*F50,0)</f>
        <v>45389158</v>
      </c>
      <c r="D51" s="184"/>
      <c r="E51" s="184"/>
      <c r="F51" s="219"/>
      <c r="G51" s="189" t="s">
        <v>1114</v>
      </c>
    </row>
    <row r="52" spans="1:7" s="137" customFormat="1" ht="15.75">
      <c r="A52" s="220" t="s">
        <v>1115</v>
      </c>
      <c r="B52" s="221"/>
      <c r="C52" s="222">
        <f ca="1">C31+C51</f>
        <v>49922797</v>
      </c>
      <c r="D52" s="221"/>
      <c r="E52" s="221"/>
      <c r="F52" s="221"/>
      <c r="G52" s="223"/>
    </row>
    <row r="55" spans="1:7" ht="15">
      <c r="B55" s="224" t="s">
        <v>1116</v>
      </c>
      <c r="C55" s="225"/>
    </row>
    <row r="56" spans="1:7">
      <c r="B56" s="226" t="s">
        <v>1117</v>
      </c>
      <c r="C56" s="228">
        <f ca="1">1-C57</f>
        <v>9.099999999999997E-2</v>
      </c>
    </row>
    <row r="57" spans="1:7">
      <c r="B57" s="226" t="s">
        <v>1118</v>
      </c>
      <c r="C57" s="227">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1125</v>
      </c>
      <c r="B1" s="1858"/>
      <c r="C1" s="1859"/>
      <c r="D1" s="1860"/>
      <c r="E1" s="1861"/>
      <c r="F1" s="1861"/>
      <c r="G1" s="1858"/>
      <c r="H1" s="1861"/>
      <c r="I1" s="1861"/>
      <c r="J1" s="1861"/>
      <c r="K1" s="1861">
        <f>MATCH(C1,'数据-取费表'!A6:A16,0)+5</f>
        <v>7</v>
      </c>
    </row>
    <row r="2" spans="1:33" ht="18" customHeight="1">
      <c r="A2" s="148" t="s">
        <v>935</v>
      </c>
      <c r="B2" s="152">
        <f ca="1">C32</f>
        <v>0</v>
      </c>
      <c r="C2" s="1861" t="s">
        <v>1126</v>
      </c>
      <c r="D2" s="1861"/>
      <c r="E2" s="1861"/>
      <c r="F2" s="1861"/>
      <c r="G2" s="1861"/>
      <c r="H2" s="1861"/>
      <c r="I2" s="1861"/>
      <c r="J2" s="1861"/>
      <c r="K2" s="1861"/>
    </row>
    <row r="3" spans="1:33" ht="18" customHeight="1">
      <c r="A3" s="151" t="s">
        <v>936</v>
      </c>
      <c r="B3" s="152">
        <f ca="1">ROUND(B2*10000/IF(C1="",'数据-汇总表'!E3,INDIRECT("'数据-取费表'!K"&amp;$K$1)),0)</f>
        <v>0</v>
      </c>
      <c r="C3" s="1861" t="s">
        <v>1127</v>
      </c>
      <c r="D3" s="1861"/>
      <c r="E3" s="1861"/>
      <c r="F3" s="1861"/>
      <c r="G3" s="1861"/>
      <c r="H3" s="1861"/>
      <c r="I3" s="1861"/>
      <c r="J3" s="1861"/>
      <c r="K3" s="1861"/>
    </row>
    <row r="4" spans="1:33" s="1847" customFormat="1" ht="16.5" customHeight="1">
      <c r="A4" s="1862" t="s">
        <v>1128</v>
      </c>
      <c r="B4" s="1863"/>
      <c r="C4" s="1864">
        <f>SUM(C8:K8)</f>
        <v>0</v>
      </c>
      <c r="D4" s="1863"/>
      <c r="E4" s="1863"/>
      <c r="F4" s="1863"/>
      <c r="G4" s="1863"/>
      <c r="H4" s="1863"/>
      <c r="I4" s="1863"/>
      <c r="J4" s="1863"/>
      <c r="K4" s="1929"/>
    </row>
    <row r="5" spans="1:33" s="1848" customFormat="1" ht="24.75">
      <c r="A5" s="1865" t="s">
        <v>1129</v>
      </c>
      <c r="B5" s="1866" t="s">
        <v>1130</v>
      </c>
      <c r="C5" s="1867" t="s">
        <v>1131</v>
      </c>
      <c r="D5" s="1867" t="s">
        <v>1132</v>
      </c>
      <c r="E5" s="1867" t="s">
        <v>1133</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844</v>
      </c>
      <c r="B6" s="1636" t="s">
        <v>1134</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848</v>
      </c>
      <c r="B7" s="1636" t="s">
        <v>440</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892</v>
      </c>
      <c r="B8" s="1872" t="s">
        <v>1135</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1136</v>
      </c>
      <c r="B9" s="1863"/>
      <c r="C9" s="1863"/>
      <c r="D9" s="1863"/>
      <c r="E9" s="1863"/>
      <c r="F9" s="1863"/>
      <c r="G9" s="1863"/>
      <c r="H9" s="1863"/>
      <c r="I9" s="1863"/>
      <c r="J9" s="1863"/>
      <c r="K9" s="1929"/>
    </row>
    <row r="10" spans="1:33" s="1850" customFormat="1" ht="13.5" customHeight="1">
      <c r="A10" s="1865" t="s">
        <v>1129</v>
      </c>
      <c r="B10" s="1875" t="s">
        <v>1130</v>
      </c>
      <c r="C10" s="1876" t="s">
        <v>1137</v>
      </c>
      <c r="D10" s="1877" t="s">
        <v>1138</v>
      </c>
      <c r="E10" s="1877" t="s">
        <v>1139</v>
      </c>
      <c r="F10" s="1877" t="s">
        <v>1140</v>
      </c>
      <c r="G10" s="1875"/>
      <c r="H10" s="1878"/>
      <c r="I10" s="1878"/>
      <c r="J10" s="1878"/>
      <c r="K10" s="1935"/>
    </row>
    <row r="11" spans="1:33" s="1851" customFormat="1" ht="13.5" customHeight="1">
      <c r="A11" s="1879" t="s">
        <v>1036</v>
      </c>
      <c r="B11" s="1880" t="s">
        <v>1141</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1040</v>
      </c>
      <c r="B12" s="1880" t="s">
        <v>1142</v>
      </c>
      <c r="C12" s="291">
        <f ca="1">ROUND(C11*F12,0)</f>
        <v>0</v>
      </c>
      <c r="D12" s="1882"/>
      <c r="E12" s="1639"/>
      <c r="F12" s="1884">
        <f>'数据-取费表'!B33</f>
        <v>0.03</v>
      </c>
      <c r="G12" s="1875" t="s">
        <v>1143</v>
      </c>
      <c r="H12" s="1878"/>
      <c r="I12" s="1878"/>
      <c r="J12" s="1878"/>
      <c r="K12" s="1935"/>
    </row>
    <row r="13" spans="1:33" s="1851" customFormat="1" ht="13.5" customHeight="1">
      <c r="A13" s="1879" t="s">
        <v>1144</v>
      </c>
      <c r="B13" s="1880" t="s">
        <v>1145</v>
      </c>
      <c r="C13" s="291">
        <f ca="1">ROUND(IF(C1="",SUMIF('数据-取费表'!C:C,"住宅",'数据-取费表'!P:P)*F13,IF(INDIRECT("'数据-取费表'!c"&amp;$K$1)="住宅",INDIRECT("'数据-取费表'!P"&amp;$K$1)*F13,0)),0)</f>
        <v>0</v>
      </c>
      <c r="D13" s="1885"/>
      <c r="E13" s="1639"/>
      <c r="F13" s="1884">
        <f>'数据-取费表'!B34</f>
        <v>0.02</v>
      </c>
      <c r="G13" s="1875" t="s">
        <v>1146</v>
      </c>
      <c r="H13" s="1878"/>
      <c r="I13" s="1878"/>
      <c r="J13" s="1878"/>
      <c r="K13" s="1935"/>
    </row>
    <row r="14" spans="1:33" s="1852" customFormat="1" ht="13.5" customHeight="1">
      <c r="A14" s="1879" t="s">
        <v>1147</v>
      </c>
      <c r="B14" s="1880" t="s">
        <v>1148</v>
      </c>
      <c r="C14" s="291">
        <f ca="1">ROUND(D14*E14*F11/10000,0)</f>
        <v>0</v>
      </c>
      <c r="D14" s="1885">
        <f ca="1">IF(C1="",'数据-汇总表'!E3,INDIRECT("'数据-取费表'!K"&amp;$K$1)+INDIRECT("'数据-取费表'!S"&amp;$K$1))</f>
        <v>17987.810000000001</v>
      </c>
      <c r="E14" s="291">
        <f>'数据-取费表'!B35</f>
        <v>180</v>
      </c>
      <c r="F14" s="1884"/>
      <c r="G14" s="1875" t="s">
        <v>1149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1150</v>
      </c>
      <c r="B15" s="1880" t="s">
        <v>1151</v>
      </c>
      <c r="C15" s="1886">
        <f ca="1">ROUND(C11*F15,0)</f>
        <v>0</v>
      </c>
      <c r="D15" s="1887"/>
      <c r="E15" s="1886"/>
      <c r="F15" s="1888">
        <f>'数据-取费表'!B36</f>
        <v>1.4999999999999999E-2</v>
      </c>
      <c r="G15" s="1636" t="s">
        <v>1152</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867</v>
      </c>
      <c r="B16" s="1880" t="s">
        <v>1153</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872</v>
      </c>
      <c r="B17" s="1880" t="s">
        <v>1154</v>
      </c>
      <c r="C17" s="291">
        <f ca="1">ROUND(D17*E17/10000,0)</f>
        <v>0</v>
      </c>
      <c r="D17" s="1885">
        <f ca="1">D14</f>
        <v>17987.810000000001</v>
      </c>
      <c r="E17" s="291">
        <f>'数据-取费表'!B32</f>
        <v>0</v>
      </c>
      <c r="F17" s="1887"/>
      <c r="G17" s="1636" t="s">
        <v>1155</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1156</v>
      </c>
      <c r="B18" s="1880" t="s">
        <v>1157</v>
      </c>
      <c r="C18" s="291">
        <f ca="1">C19+C20-IF(C1="",'数据-取费表'!B29,IF(G18="已全部缴纳",C19+C20,H18))</f>
        <v>0</v>
      </c>
      <c r="D18" s="1885"/>
      <c r="E18" s="291"/>
      <c r="F18" s="1884"/>
      <c r="G18" s="1890"/>
      <c r="H18" s="1891"/>
      <c r="I18" s="1936" t="s">
        <v>1158</v>
      </c>
      <c r="J18" s="1746"/>
      <c r="K18" s="1747"/>
    </row>
    <row r="19" spans="1:33" s="1851" customFormat="1" ht="13.5" customHeight="1">
      <c r="A19" s="1879" t="s">
        <v>1036</v>
      </c>
      <c r="B19" s="1880" t="s">
        <v>1159</v>
      </c>
      <c r="C19" s="291">
        <f ca="1">ROUND(D19*E19/10000,0)</f>
        <v>0</v>
      </c>
      <c r="D19" s="1885">
        <f ca="1">IF(C1="",'数据-汇总表'!E5,IF(INDIRECT("'数据-取费表'!c"&amp;$K$1)="住宅",INDIRECT("'数据-取费表'!k"&amp;$K$1),0))</f>
        <v>0</v>
      </c>
      <c r="E19" s="291">
        <f>'数据-取费表'!B27</f>
        <v>20</v>
      </c>
      <c r="F19" s="1884"/>
      <c r="G19" s="1745"/>
      <c r="H19" s="1892"/>
      <c r="I19" s="1893"/>
      <c r="J19" s="1893"/>
      <c r="K19" s="1937"/>
    </row>
    <row r="20" spans="1:33" s="1851" customFormat="1" ht="13.5" customHeight="1">
      <c r="A20" s="1879" t="s">
        <v>1040</v>
      </c>
      <c r="B20" s="1880" t="s">
        <v>1160</v>
      </c>
      <c r="C20" s="291">
        <f ca="1">ROUND(D20*E20/10000,0)</f>
        <v>36</v>
      </c>
      <c r="D20" s="1885">
        <f ca="1">IF(C1="",'数据-汇总表'!E6,IF(INDIRECT("'数据-取费表'!c"&amp;$K$1)="住宅",INDIRECT("'数据-取费表'!s"&amp;$K$1),INDIRECT("'数据-取费表'!k"&amp;$K$1)+INDIRECT("'数据-取费表'!s"&amp;$K$1)))</f>
        <v>17987.810000000001</v>
      </c>
      <c r="E20" s="291">
        <f>'数据-取费表'!B28</f>
        <v>20</v>
      </c>
      <c r="F20" s="1884"/>
      <c r="G20" s="1745"/>
      <c r="H20" s="1893"/>
      <c r="I20" s="1893"/>
      <c r="J20" s="1893"/>
      <c r="K20" s="1937"/>
    </row>
    <row r="21" spans="1:33" s="1851" customFormat="1" ht="13.5" customHeight="1">
      <c r="A21" s="1868" t="s">
        <v>844</v>
      </c>
      <c r="B21" s="1894" t="s">
        <v>1161</v>
      </c>
      <c r="C21" s="1895">
        <f ca="1">C16+C17+C18</f>
        <v>0</v>
      </c>
      <c r="D21" s="1896"/>
      <c r="E21" s="1897"/>
      <c r="F21" s="1897"/>
      <c r="G21" s="1636" t="s">
        <v>1162</v>
      </c>
      <c r="H21" s="1746"/>
      <c r="I21" s="1746"/>
      <c r="J21" s="1746"/>
      <c r="K21" s="1747"/>
    </row>
    <row r="22" spans="1:33" s="1851" customFormat="1" ht="13.5" customHeight="1">
      <c r="A22" s="1868" t="s">
        <v>848</v>
      </c>
      <c r="B22" s="1894" t="s">
        <v>1163</v>
      </c>
      <c r="C22" s="1895">
        <f ca="1">ROUND(C21*F22,0)</f>
        <v>0</v>
      </c>
      <c r="D22" s="1897"/>
      <c r="E22" s="1897"/>
      <c r="F22" s="1898">
        <f>'数据-取费表'!B37</f>
        <v>0.02</v>
      </c>
      <c r="G22" s="1875" t="s">
        <v>1164</v>
      </c>
      <c r="H22" s="1878"/>
      <c r="I22" s="1878"/>
      <c r="J22" s="1878"/>
      <c r="K22" s="1935"/>
    </row>
    <row r="23" spans="1:33" s="1851" customFormat="1" ht="13.5" customHeight="1">
      <c r="A23" s="1868" t="s">
        <v>892</v>
      </c>
      <c r="B23" s="1894" t="s">
        <v>1165</v>
      </c>
      <c r="C23" s="1895">
        <f ca="1">ROUND(C4*F23*F11,0)</f>
        <v>0</v>
      </c>
      <c r="D23" s="1897"/>
      <c r="E23" s="1897"/>
      <c r="F23" s="1898">
        <f>'数据-取费表'!B38</f>
        <v>0.02</v>
      </c>
      <c r="G23" s="1875" t="s">
        <v>1166</v>
      </c>
      <c r="H23" s="1878"/>
      <c r="I23" s="1878"/>
      <c r="J23" s="1878"/>
      <c r="K23" s="1935"/>
    </row>
    <row r="24" spans="1:33" s="1851" customFormat="1" ht="13.5" customHeight="1">
      <c r="A24" s="1868" t="s">
        <v>896</v>
      </c>
      <c r="B24" s="1894" t="s">
        <v>1167</v>
      </c>
      <c r="C24" s="1899">
        <f>ROUND(F24/(1+'数据-取费表'!C42),4)</f>
        <v>3.8600000000000002E-2</v>
      </c>
      <c r="D24" s="1897" t="s">
        <v>1168</v>
      </c>
      <c r="E24" s="1897"/>
      <c r="F24" s="1898">
        <f>'数据-取费表'!B48+'数据-取费表'!B49</f>
        <v>4.0500000000000001E-2</v>
      </c>
      <c r="G24" s="1875" t="s">
        <v>1169</v>
      </c>
      <c r="H24" s="1900"/>
      <c r="I24" s="1900"/>
      <c r="J24" s="1900"/>
      <c r="K24" s="1938"/>
    </row>
    <row r="25" spans="1:33" s="1851" customFormat="1" ht="13.5" customHeight="1">
      <c r="A25" s="1868" t="s">
        <v>899</v>
      </c>
      <c r="B25" s="1896" t="s">
        <v>1170</v>
      </c>
      <c r="C25" s="1901">
        <f ca="1">C27</f>
        <v>0</v>
      </c>
      <c r="D25" s="1899">
        <f ca="1">C26</f>
        <v>0</v>
      </c>
      <c r="E25" s="1902" t="s">
        <v>1168</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867</v>
      </c>
      <c r="B26" s="1904" t="s">
        <v>1171</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872</v>
      </c>
      <c r="B27" s="1904" t="s">
        <v>1172</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900</v>
      </c>
      <c r="B28" s="1911" t="s">
        <v>1173</v>
      </c>
      <c r="C28" s="1912">
        <f ca="1">C30</f>
        <v>0</v>
      </c>
      <c r="D28" s="1899">
        <f ca="1">C29</f>
        <v>0</v>
      </c>
      <c r="E28" s="1902" t="s">
        <v>1168</v>
      </c>
      <c r="F28" s="1109">
        <f ca="1">IF(C1="",'数据-取费表'!Q16,INDIRECT("'数据-取费表'!q"&amp;$K$1))</f>
        <v>0.1</v>
      </c>
      <c r="G28" s="1913"/>
      <c r="H28" s="1900"/>
      <c r="I28" s="1900"/>
      <c r="J28" s="1900"/>
      <c r="K28" s="1938"/>
    </row>
    <row r="29" spans="1:33" s="1855" customFormat="1" ht="13.5" customHeight="1">
      <c r="A29" s="1879" t="s">
        <v>867</v>
      </c>
      <c r="B29" s="1914" t="s">
        <v>1174</v>
      </c>
      <c r="C29" s="1906">
        <f ca="1">ROUND((1+C24)*F28*'数据-取费表'!B24/'数据-取费表'!B20,4)</f>
        <v>0</v>
      </c>
      <c r="D29" s="1906"/>
      <c r="E29" s="1907"/>
      <c r="F29" s="1915"/>
      <c r="G29" s="1636" t="s">
        <v>1175</v>
      </c>
      <c r="H29" s="1746"/>
      <c r="I29" s="1746"/>
      <c r="J29" s="1746"/>
      <c r="K29" s="1747"/>
    </row>
    <row r="30" spans="1:33" s="1855" customFormat="1" ht="13.5" customHeight="1">
      <c r="A30" s="1879" t="s">
        <v>872</v>
      </c>
      <c r="B30" s="1914" t="s">
        <v>1176</v>
      </c>
      <c r="C30" s="1916">
        <f ca="1">ROUND((C21+C22+C23)*F28,0)</f>
        <v>0</v>
      </c>
      <c r="D30" s="1906"/>
      <c r="E30" s="1907"/>
      <c r="F30" s="1915"/>
      <c r="G30" s="1636"/>
      <c r="H30" s="1746"/>
      <c r="I30" s="1746"/>
      <c r="J30" s="1746"/>
      <c r="K30" s="1747"/>
    </row>
    <row r="31" spans="1:33" s="1851" customFormat="1" ht="13.5" customHeight="1">
      <c r="A31" s="1917" t="s">
        <v>1177</v>
      </c>
      <c r="B31" s="1918" t="s">
        <v>1178</v>
      </c>
      <c r="C31" s="1919">
        <f>ROUND(C4*F31/(1+'数据-取费表'!C42),0)</f>
        <v>0</v>
      </c>
      <c r="D31" s="1920"/>
      <c r="E31" s="1921"/>
      <c r="F31" s="1922">
        <f>'数据-取费表'!B41</f>
        <v>5.5E-2</v>
      </c>
      <c r="G31" s="1923" t="s">
        <v>1179</v>
      </c>
      <c r="H31" s="1924"/>
      <c r="I31" s="1924"/>
      <c r="J31" s="1924"/>
      <c r="K31" s="1939"/>
    </row>
    <row r="32" spans="1:33" s="1850" customFormat="1" ht="13.5" customHeight="1">
      <c r="A32" s="1925" t="s">
        <v>1180</v>
      </c>
      <c r="B32" s="1926"/>
      <c r="C32" s="1927">
        <f ca="1">ROUND((C4-C21-C22-C23-C25-C28-C31)/(1+C24+D25+D28),0)</f>
        <v>0</v>
      </c>
      <c r="D32" s="1926"/>
      <c r="E32" s="1926"/>
      <c r="F32" s="1926"/>
      <c r="G32" s="1928" t="s">
        <v>1181</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3" zoomScale="90" zoomScaleNormal="90" workbookViewId="0">
      <selection activeCell="I42" sqref="I42"/>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t="s">
        <v>314</v>
      </c>
      <c r="D1" s="1566" t="s">
        <v>124</v>
      </c>
      <c r="E1" s="1567" t="s">
        <v>1183</v>
      </c>
      <c r="F1" s="1568">
        <f ca="1">J53</f>
        <v>47.35</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f ca="1">C40+J29+L46</f>
        <v>5151</v>
      </c>
      <c r="C2" s="1573" t="s">
        <v>1185</v>
      </c>
      <c r="D2" s="1573"/>
      <c r="E2" s="1575"/>
      <c r="F2" s="1576"/>
      <c r="G2" s="1577"/>
      <c r="H2" s="1578"/>
      <c r="I2" s="1578"/>
      <c r="J2" s="1578"/>
      <c r="K2" s="1735"/>
      <c r="L2" s="1578"/>
      <c r="M2" s="1578"/>
    </row>
    <row r="3" spans="1:37" ht="18" customHeight="1">
      <c r="A3" s="1579" t="s">
        <v>1186</v>
      </c>
      <c r="B3" s="1580">
        <f ca="1">IF(ISERROR(B2*10000/F43),0,ROUND(B2*10000/F43,0))</f>
        <v>2864</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355</v>
      </c>
      <c r="D5" s="1590" t="s">
        <v>1195</v>
      </c>
      <c r="E5" s="1591"/>
      <c r="F5" s="1592"/>
      <c r="G5" s="1586"/>
      <c r="H5" s="1587">
        <v>1</v>
      </c>
      <c r="I5" s="1588" t="s">
        <v>1194</v>
      </c>
      <c r="J5" s="1589">
        <f ca="1">J6+J10+J12</f>
        <v>0</v>
      </c>
      <c r="K5" s="1590" t="s">
        <v>1195</v>
      </c>
      <c r="L5" s="1591"/>
      <c r="M5" s="1592"/>
    </row>
    <row r="6" spans="1:37" ht="18" customHeight="1">
      <c r="A6" s="1593" t="s">
        <v>844</v>
      </c>
      <c r="B6" s="3210" t="s">
        <v>1196</v>
      </c>
      <c r="C6" s="1594">
        <f ca="1">ROUND(F6*F8*F7*(1-F9)/10000,0)</f>
        <v>355</v>
      </c>
      <c r="D6" s="1595" t="s">
        <v>1197</v>
      </c>
      <c r="E6" s="1596" t="s">
        <v>1198</v>
      </c>
      <c r="F6" s="1597">
        <f ca="1">INDIRECT("'数据-取费表'!u"&amp;$G$1)</f>
        <v>0.6</v>
      </c>
      <c r="G6" s="1586"/>
      <c r="H6" s="1593" t="s">
        <v>844</v>
      </c>
      <c r="I6" s="3210" t="s">
        <v>1196</v>
      </c>
      <c r="J6" s="1666">
        <f ca="1">ROUND(M6*M8*M7*(1-M9)/10000,0)</f>
        <v>0</v>
      </c>
      <c r="K6" s="1595" t="s">
        <v>1199</v>
      </c>
      <c r="L6" s="1596" t="s">
        <v>1198</v>
      </c>
      <c r="M6" s="1597">
        <f ca="1">INDIRECT("'数据-取费表'!z"&amp;$G$1)</f>
        <v>0</v>
      </c>
    </row>
    <row r="7" spans="1:37" ht="18" customHeight="1">
      <c r="A7" s="1598"/>
      <c r="B7" s="3211"/>
      <c r="C7" s="1599"/>
      <c r="D7" s="1600"/>
      <c r="E7" s="1601" t="s">
        <v>1200</v>
      </c>
      <c r="F7" s="1597">
        <f ca="1">IF(INDIRECT("'数据-取费表'!ah"&amp;$G$1)="",INDIRECT("'数据-取费表'!k"&amp;$G$1),INDIRECT("'数据-取费表'!ah"&amp;$G$1))</f>
        <v>17987.810000000001</v>
      </c>
      <c r="G7" s="1586"/>
      <c r="H7" s="1602"/>
      <c r="I7" s="3211"/>
      <c r="J7" s="1603"/>
      <c r="K7" s="1600"/>
      <c r="L7" s="1596" t="s">
        <v>1200</v>
      </c>
      <c r="M7" s="1597">
        <f ca="1">F7</f>
        <v>17987.810000000001</v>
      </c>
    </row>
    <row r="8" spans="1:37" ht="18" customHeight="1">
      <c r="A8" s="1602"/>
      <c r="B8" s="3211"/>
      <c r="C8" s="1603"/>
      <c r="D8" s="1600"/>
      <c r="E8" s="1596" t="s">
        <v>1201</v>
      </c>
      <c r="F8" s="1597">
        <f ca="1">INDIRECT("'数据-取费表'!ai"&amp;$G$1)</f>
        <v>365</v>
      </c>
      <c r="G8" s="1586"/>
      <c r="H8" s="1602"/>
      <c r="I8" s="3211"/>
      <c r="J8" s="1603"/>
      <c r="K8" s="1600"/>
      <c r="L8" s="1596" t="s">
        <v>1201</v>
      </c>
      <c r="M8" s="1597">
        <f ca="1">INDIRECT("'数据-取费表'!ai"&amp;$G$1)</f>
        <v>365</v>
      </c>
    </row>
    <row r="9" spans="1:37" ht="18" customHeight="1">
      <c r="A9" s="1602"/>
      <c r="B9" s="3212"/>
      <c r="C9" s="1603"/>
      <c r="D9" s="1600"/>
      <c r="E9" s="1596" t="s">
        <v>1202</v>
      </c>
      <c r="F9" s="1604">
        <f ca="1">INDIRECT("'数据-取费表'!w"&amp;$G$1)</f>
        <v>0.1</v>
      </c>
      <c r="G9" s="1586"/>
      <c r="H9" s="1602"/>
      <c r="I9" s="3212"/>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t="s">
        <v>1206</v>
      </c>
      <c r="G10" s="1586"/>
      <c r="H10" s="1593" t="s">
        <v>848</v>
      </c>
      <c r="I10" s="1605" t="s">
        <v>1203</v>
      </c>
      <c r="J10" s="1666">
        <f ca="1">ROUND(IF(M10="押一",J6/12*M11,IF(M10="押二",J6/12*2*M11,IF(M10="押三",J6/12*3*M11,J11*M11))),0)</f>
        <v>0</v>
      </c>
      <c r="K10" s="1606" t="s">
        <v>1204</v>
      </c>
      <c r="L10" s="1607" t="s">
        <v>1205</v>
      </c>
      <c r="M10" s="1608" t="s">
        <v>1207</v>
      </c>
    </row>
    <row r="11" spans="1:37" ht="18" customHeight="1">
      <c r="A11" s="1609"/>
      <c r="B11" s="1610" t="s">
        <v>1208</v>
      </c>
      <c r="C11" s="1611"/>
      <c r="D11" s="1841"/>
      <c r="E11" s="1607" t="s">
        <v>1209</v>
      </c>
      <c r="F11" s="1612">
        <f ca="1">'数据-取费表'!B39</f>
        <v>1.4999999999999999E-2</v>
      </c>
      <c r="G11" s="1586"/>
      <c r="H11" s="1613"/>
      <c r="I11" s="1610" t="s">
        <v>1208</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4540</v>
      </c>
      <c r="D13" s="1623" t="s">
        <v>1212</v>
      </c>
      <c r="E13" s="1623" t="s">
        <v>1213</v>
      </c>
      <c r="F13" s="1624">
        <f ca="1">INDIRECT("'数据-取费表'!y"&amp;$G$1)</f>
        <v>0.99</v>
      </c>
      <c r="G13" s="1586"/>
      <c r="H13" s="1620">
        <v>2</v>
      </c>
      <c r="I13" s="1621" t="s">
        <v>1211</v>
      </c>
      <c r="J13" s="1742">
        <f ca="1">ROUND(J14*J15,0)</f>
        <v>0</v>
      </c>
      <c r="K13" s="1646" t="s">
        <v>1212</v>
      </c>
      <c r="L13" s="1743"/>
      <c r="M13" s="1744"/>
    </row>
    <row r="14" spans="1:37" ht="18" customHeight="1">
      <c r="A14" s="1625" t="s">
        <v>867</v>
      </c>
      <c r="B14" s="1596" t="s">
        <v>1214</v>
      </c>
      <c r="C14" s="1626">
        <f ca="1">INDIRECT("'数据-取费表'!m"&amp;$G$1)+INDIRECT("'数据-取费表'!t"&amp;$G$1)</f>
        <v>3238</v>
      </c>
      <c r="D14" s="1627" t="s">
        <v>1215</v>
      </c>
      <c r="E14" s="1628"/>
      <c r="F14" s="1629"/>
      <c r="G14" s="1586"/>
      <c r="H14" s="1625" t="s">
        <v>844</v>
      </c>
      <c r="I14" s="1596" t="s">
        <v>1216</v>
      </c>
      <c r="J14" s="291">
        <f ca="1">C29</f>
        <v>4586</v>
      </c>
      <c r="K14" s="1745"/>
      <c r="L14" s="1746"/>
      <c r="M14" s="1747"/>
    </row>
    <row r="15" spans="1:37" s="1562" customFormat="1" ht="18" customHeight="1">
      <c r="A15" s="1625" t="s">
        <v>872</v>
      </c>
      <c r="B15" s="1596" t="s">
        <v>1142</v>
      </c>
      <c r="C15" s="291">
        <f ca="1">ROUND(C14*F15,0)</f>
        <v>97</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ROUND(INDIRECT("'数据-取费表'!m"&amp;$G$1)*F16,0)</f>
        <v>0</v>
      </c>
      <c r="D16" s="1596" t="s">
        <v>1217</v>
      </c>
      <c r="E16" s="1596" t="s">
        <v>1218</v>
      </c>
      <c r="F16" s="1634">
        <f ca="1">IF(INDIRECT("'数据-取费表'!c"&amp;$G$1)="住宅",'数据-取费表'!B34,0)</f>
        <v>0</v>
      </c>
      <c r="G16" s="1586"/>
      <c r="H16" s="1620" t="s">
        <v>1219</v>
      </c>
      <c r="I16" s="1621" t="s">
        <v>1220</v>
      </c>
      <c r="J16" s="1622">
        <f ca="1">ROUND(J17+J22+J23+J24,0)</f>
        <v>115</v>
      </c>
      <c r="K16" s="1646" t="s">
        <v>1221</v>
      </c>
      <c r="L16" s="1647"/>
      <c r="M16" s="1592"/>
    </row>
    <row r="17" spans="1:37" s="1562" customFormat="1" ht="18" customHeight="1">
      <c r="A17" s="1625" t="s">
        <v>1222</v>
      </c>
      <c r="B17" s="1596" t="s">
        <v>1223</v>
      </c>
      <c r="C17" s="291">
        <f ca="1">ROUND(F17*(F43+INDIRECT("'数据-取费表'!S"&amp;$G$1))/10000,0)</f>
        <v>324</v>
      </c>
      <c r="D17" s="1596" t="s">
        <v>1224</v>
      </c>
      <c r="E17" s="1596" t="s">
        <v>1225</v>
      </c>
      <c r="F17" s="1635">
        <f>'数据-取费表'!B35</f>
        <v>180</v>
      </c>
      <c r="G17" s="1632"/>
      <c r="H17" s="1625" t="s">
        <v>844</v>
      </c>
      <c r="I17" s="1596" t="s">
        <v>1226</v>
      </c>
      <c r="J17" s="291">
        <f ca="1">ROUND(IF(项目基本情况!B11="自然人",J5*M17,J18+J19+J20),1)</f>
        <v>45.9</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49</v>
      </c>
      <c r="D18" s="1596" t="s">
        <v>1217</v>
      </c>
      <c r="E18" s="1596" t="s">
        <v>1218</v>
      </c>
      <c r="F18" s="1634">
        <f>'数据-取费表'!B36</f>
        <v>1.4999999999999999E-2</v>
      </c>
      <c r="G18" s="1632"/>
      <c r="H18" s="1625" t="s">
        <v>867</v>
      </c>
      <c r="I18" s="1596" t="s">
        <v>1230</v>
      </c>
      <c r="J18" s="291">
        <f ca="1">ROUND(J5*M18/(1+'数据-取费表'!C42),2)</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3708</v>
      </c>
      <c r="D19" s="1636" t="s">
        <v>1233</v>
      </c>
      <c r="E19" s="293"/>
      <c r="F19" s="1635"/>
      <c r="G19" s="1586"/>
      <c r="H19" s="1625" t="s">
        <v>872</v>
      </c>
      <c r="I19" s="1596" t="s">
        <v>1234</v>
      </c>
      <c r="J19" s="291">
        <f ca="1">IF(K19="按租金收入计税",ROUND(J5*M19,2),ROUND(C29*M19*0.7,2))</f>
        <v>38.520000000000003</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74</v>
      </c>
      <c r="D20" s="1637" t="s">
        <v>1237</v>
      </c>
      <c r="E20" s="1596" t="s">
        <v>1218</v>
      </c>
      <c r="F20" s="1634">
        <f>'数据-取费表'!B37</f>
        <v>0.02</v>
      </c>
      <c r="G20" s="1632"/>
      <c r="H20" s="1625" t="s">
        <v>875</v>
      </c>
      <c r="I20" s="1595" t="s">
        <v>1238</v>
      </c>
      <c r="J20" s="1653">
        <f ca="1">ROUND(M20*M21/10000,2)</f>
        <v>7.41</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ROUND(J14*M22,1)</f>
        <v>68.8</v>
      </c>
      <c r="K22" s="1649" t="s">
        <v>1247</v>
      </c>
      <c r="L22" s="1596" t="s">
        <v>1218</v>
      </c>
      <c r="M22" s="1660">
        <f ca="1">INDIRECT("'数据-取费表'!Ak"&amp;$G$1)</f>
        <v>1.4999999999999999E-2</v>
      </c>
    </row>
    <row r="23" spans="1:37" s="1562" customFormat="1" ht="18" customHeight="1">
      <c r="A23" s="1625" t="s">
        <v>867</v>
      </c>
      <c r="B23" s="1596" t="s">
        <v>1248</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ROUND(J13*M23,1)</f>
        <v>0</v>
      </c>
      <c r="K23" s="1649" t="s">
        <v>1251</v>
      </c>
      <c r="L23" s="1596" t="s">
        <v>1218</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ROUND(J5*M24,1)</f>
        <v>0</v>
      </c>
      <c r="K24" s="1643" t="s">
        <v>1254</v>
      </c>
      <c r="L24" s="1618" t="s">
        <v>1218</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899</v>
      </c>
      <c r="B25" s="1596" t="s">
        <v>1255</v>
      </c>
      <c r="C25" s="291"/>
      <c r="D25" s="1636" t="s">
        <v>1256</v>
      </c>
      <c r="E25" s="293"/>
      <c r="F25" s="1635"/>
      <c r="G25" s="1586"/>
      <c r="H25" s="1620" t="s">
        <v>1257</v>
      </c>
      <c r="I25" s="1662" t="s">
        <v>1258</v>
      </c>
      <c r="J25" s="1622">
        <f ca="1">J5-J16</f>
        <v>-115</v>
      </c>
      <c r="K25" s="1663" t="s">
        <v>1259</v>
      </c>
      <c r="L25" s="1664"/>
      <c r="M25" s="1665"/>
    </row>
    <row r="26" spans="1:37">
      <c r="A26" s="1625" t="s">
        <v>867</v>
      </c>
      <c r="B26" s="1596" t="s">
        <v>1260</v>
      </c>
      <c r="C26" s="291">
        <f ca="1">ROUND((C19+C20)*F26,0)</f>
        <v>378</v>
      </c>
      <c r="D26" s="1637" t="s">
        <v>1261</v>
      </c>
      <c r="E26" s="1607" t="s">
        <v>1262</v>
      </c>
      <c r="F26" s="1604">
        <f ca="1">INDIRECT("'数据-取费表'!q"&amp;$G$1)</f>
        <v>0.1</v>
      </c>
      <c r="G26" s="1586"/>
      <c r="H26" s="1587" t="s">
        <v>1263</v>
      </c>
      <c r="I26" s="1588" t="s">
        <v>1264</v>
      </c>
      <c r="J26" s="1666">
        <f ca="1">IF(J5&lt;&gt;0,ROUND(J25*(1-((1+M28)/(1+M26))^M27)/(M26-M28),0),0)</f>
        <v>0</v>
      </c>
      <c r="K26" s="1654" t="s">
        <v>1265</v>
      </c>
      <c r="L26" s="1596" t="s">
        <v>1266</v>
      </c>
      <c r="M26" s="1604">
        <f ca="1">INDIRECT("'数据-取费表'!I"&amp;$G$1)</f>
        <v>0.05</v>
      </c>
    </row>
    <row r="27" spans="1:37" ht="18" customHeight="1">
      <c r="A27" s="1625" t="s">
        <v>872</v>
      </c>
      <c r="B27" s="1596" t="s">
        <v>1267</v>
      </c>
      <c r="C27" s="291">
        <f ca="1">ROUND(F21*F26,4)</f>
        <v>2E-3</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4586</v>
      </c>
      <c r="D29" s="1643"/>
      <c r="E29" s="1618"/>
      <c r="F29" s="1644"/>
      <c r="G29" s="1632"/>
      <c r="H29" s="1645" t="s">
        <v>1275</v>
      </c>
      <c r="I29" s="1673" t="s">
        <v>1276</v>
      </c>
      <c r="J29" s="1674">
        <f ca="1">ROUND(J26/(1+F40)^F41,0)</f>
        <v>0</v>
      </c>
      <c r="K29" s="1675" t="s">
        <v>1277</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148</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ROUND(IF(项目基本情况!B11="自然人",C5*F31,C32+C33+C34),1)</f>
        <v>68.599999999999994</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IF(项目基本情况!B11="自然人","——",ROUND(C5*F32/(1+'数据-取费表'!C42),2))</f>
        <v>18.600000000000001</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IF(项目基本情况!B11="自然人","——",IF(D33="按租金收入计税",ROUND(C5*F33,2),IF(D33="按房产原值计税",ROUND(C29*F33*0.7,2),INDIRECT("'数据-取费表'!Aj"&amp;$G$1))))</f>
        <v>42.6</v>
      </c>
      <c r="D33" s="1651" t="s">
        <v>1278</v>
      </c>
      <c r="E33" s="1596" t="s">
        <v>1218</v>
      </c>
      <c r="F33" s="1634">
        <f>IF(D33="按票据","——",IF(D33="按租金收入计税",'数据-取费表'!B51,'数据-取费表'!B50))</f>
        <v>0.12</v>
      </c>
      <c r="G33" s="1586"/>
      <c r="H33" s="1652"/>
      <c r="I33" s="1757"/>
      <c r="J33" s="1758"/>
      <c r="K33" s="1759"/>
      <c r="L33" s="1652"/>
      <c r="M33" s="1652"/>
    </row>
    <row r="34" spans="1:18" ht="18" customHeight="1">
      <c r="A34" s="1593" t="s">
        <v>875</v>
      </c>
      <c r="B34" s="1595" t="s">
        <v>1238</v>
      </c>
      <c r="C34" s="1653">
        <f ca="1">IF(项目基本情况!B11="自然人","——",ROUND(F34*F35/10000,2))</f>
        <v>7.41</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18527.18</v>
      </c>
      <c r="G35" s="1586"/>
      <c r="H35" s="1648"/>
      <c r="I35" s="1757"/>
      <c r="J35" s="1758"/>
      <c r="K35" s="1759"/>
      <c r="L35" s="1652"/>
      <c r="M35" s="1652"/>
    </row>
    <row r="36" spans="1:18" ht="18" customHeight="1">
      <c r="A36" s="1659" t="s">
        <v>848</v>
      </c>
      <c r="B36" s="1596" t="s">
        <v>1246</v>
      </c>
      <c r="C36" s="291">
        <f ca="1">ROUND(C29*F36,1)</f>
        <v>68.8</v>
      </c>
      <c r="D36" s="1649" t="s">
        <v>1279</v>
      </c>
      <c r="E36" s="1596" t="s">
        <v>1218</v>
      </c>
      <c r="F36" s="1660">
        <f ca="1">INDIRECT("'数据-取费表'!Ak"&amp;$G$1)</f>
        <v>1.4999999999999999E-2</v>
      </c>
      <c r="G36" s="1586"/>
      <c r="H36" s="1652"/>
      <c r="I36" s="1757"/>
      <c r="J36" s="1758"/>
      <c r="K36" s="1762"/>
      <c r="L36" s="1652"/>
      <c r="M36" s="1652"/>
    </row>
    <row r="37" spans="1:18" ht="18" customHeight="1">
      <c r="A37" s="1625" t="s">
        <v>892</v>
      </c>
      <c r="B37" s="1596" t="s">
        <v>1250</v>
      </c>
      <c r="C37" s="291">
        <f ca="1">ROUND(C13*F37,1)</f>
        <v>6.8</v>
      </c>
      <c r="D37" s="1649" t="s">
        <v>1251</v>
      </c>
      <c r="E37" s="1596" t="s">
        <v>1218</v>
      </c>
      <c r="F37" s="1661">
        <f ca="1">INDIRECT("'数据-取费表'!Al"&amp;$G$1)</f>
        <v>1.5E-3</v>
      </c>
      <c r="G37" s="1586"/>
      <c r="H37" s="1652"/>
      <c r="I37" s="1757"/>
      <c r="J37" s="1758"/>
      <c r="K37" s="1762"/>
      <c r="L37" s="1652"/>
      <c r="M37" s="1652"/>
    </row>
    <row r="38" spans="1:18" ht="18" customHeight="1">
      <c r="A38" s="1633" t="s">
        <v>896</v>
      </c>
      <c r="B38" s="1618" t="s">
        <v>1236</v>
      </c>
      <c r="C38" s="1642">
        <f ca="1">ROUND(C5*F38,1)</f>
        <v>3.6</v>
      </c>
      <c r="D38" s="1643" t="s">
        <v>1254</v>
      </c>
      <c r="E38" s="1618" t="s">
        <v>1218</v>
      </c>
      <c r="F38" s="1619">
        <f ca="1">INDIRECT("'数据-取费表'!Am"&amp;$G$1)</f>
        <v>0.01</v>
      </c>
      <c r="G38" s="1586"/>
      <c r="H38" s="1652"/>
      <c r="I38" s="1757"/>
      <c r="J38" s="1758"/>
      <c r="K38" s="1763"/>
      <c r="L38" s="1652"/>
      <c r="M38" s="1652"/>
    </row>
    <row r="39" spans="1:18" ht="24.6" customHeight="1">
      <c r="A39" s="1620" t="s">
        <v>1257</v>
      </c>
      <c r="B39" s="1662" t="s">
        <v>1258</v>
      </c>
      <c r="C39" s="1622">
        <f ca="1">C5-C30</f>
        <v>207</v>
      </c>
      <c r="D39" s="1663" t="s">
        <v>1259</v>
      </c>
      <c r="E39" s="1664"/>
      <c r="F39" s="1665"/>
      <c r="G39" s="1586"/>
      <c r="H39" s="1652"/>
      <c r="I39" s="1757"/>
      <c r="J39" s="1758"/>
      <c r="K39" s="1763"/>
      <c r="L39" s="1652"/>
      <c r="M39" s="1652"/>
    </row>
    <row r="40" spans="1:18" ht="18" customHeight="1">
      <c r="A40" s="1587" t="s">
        <v>1263</v>
      </c>
      <c r="B40" s="1588" t="s">
        <v>1280</v>
      </c>
      <c r="C40" s="1666">
        <f ca="1">ROUND(C39*(1-((1+F42)/(1+F40))^F41)/(F40-F42),0)</f>
        <v>5151</v>
      </c>
      <c r="D40" s="1654" t="s">
        <v>1265</v>
      </c>
      <c r="E40" s="1596" t="s">
        <v>1266</v>
      </c>
      <c r="F40" s="1604">
        <f ca="1">INDIRECT("'数据-取费表'!I"&amp;$G$1)</f>
        <v>0.05</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47.35</v>
      </c>
      <c r="G41" s="1586"/>
      <c r="H41" s="1671"/>
      <c r="I41" s="1757"/>
      <c r="J41" s="1758"/>
      <c r="K41" s="1762"/>
      <c r="L41" s="1671"/>
      <c r="M41" s="1671"/>
    </row>
    <row r="42" spans="1:18" ht="18" customHeight="1">
      <c r="A42" s="1609"/>
      <c r="B42" s="1672"/>
      <c r="C42" s="1622"/>
      <c r="D42" s="1658"/>
      <c r="E42" s="1596" t="s">
        <v>1273</v>
      </c>
      <c r="F42" s="1604">
        <f ca="1">INDIRECT("'数据-取费表'!v"&amp;$G$1)</f>
        <v>0.02</v>
      </c>
      <c r="G42" s="1586"/>
      <c r="H42" s="1671"/>
      <c r="I42" s="1757"/>
      <c r="J42" s="1758"/>
      <c r="K42" s="1762"/>
      <c r="L42" s="1671"/>
      <c r="M42" s="1671"/>
    </row>
    <row r="43" spans="1:18" ht="18" customHeight="1">
      <c r="A43" s="1645" t="s">
        <v>1275</v>
      </c>
      <c r="B43" s="1673" t="s">
        <v>1281</v>
      </c>
      <c r="C43" s="1674">
        <f ca="1">ROUND(C40*10000/F43,0)</f>
        <v>2864</v>
      </c>
      <c r="D43" s="1675" t="s">
        <v>1282</v>
      </c>
      <c r="E43" s="1676" t="s">
        <v>1283</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1284</v>
      </c>
      <c r="P45" s="1667"/>
      <c r="Q45" s="1667"/>
      <c r="R45" s="1667"/>
    </row>
    <row r="46" spans="1:18" s="751" customFormat="1">
      <c r="A46" s="1682" t="s">
        <v>1285</v>
      </c>
      <c r="C46" s="1683">
        <f ca="1">C68-C40</f>
        <v>-13582</v>
      </c>
      <c r="D46" s="1684" t="str">
        <f>C2</f>
        <v>万元</v>
      </c>
      <c r="E46" s="1678"/>
      <c r="F46" s="1678"/>
      <c r="I46" s="1766" t="s">
        <v>1286</v>
      </c>
      <c r="J46" s="1767"/>
      <c r="K46" s="1768"/>
      <c r="L46" s="1769" t="str">
        <f ca="1">IF(M47="住宅",0,IF(L48&gt;J51,L60,J60))</f>
        <v>0</v>
      </c>
      <c r="O46" s="1770" t="s">
        <v>1287</v>
      </c>
      <c r="P46" s="1771" t="s">
        <v>1288</v>
      </c>
      <c r="Q46" s="1815" t="s">
        <v>1289</v>
      </c>
      <c r="R46" s="1815" t="s">
        <v>1290</v>
      </c>
    </row>
    <row r="47" spans="1:18" s="751" customFormat="1">
      <c r="A47" s="1685" t="s">
        <v>1189</v>
      </c>
      <c r="B47" s="1686" t="s">
        <v>1190</v>
      </c>
      <c r="C47" s="1842" t="s">
        <v>1191</v>
      </c>
      <c r="D47" s="1686" t="s">
        <v>1192</v>
      </c>
      <c r="E47" s="1687" t="s">
        <v>1193</v>
      </c>
      <c r="F47" s="284"/>
      <c r="G47" s="1688"/>
      <c r="I47" s="1772" t="s">
        <v>1291</v>
      </c>
      <c r="J47" s="1773" t="s">
        <v>1292</v>
      </c>
      <c r="K47" s="1774" t="s">
        <v>1293</v>
      </c>
      <c r="L47" s="1775">
        <f ca="1">INDIRECT("'数据-取费表'!d"&amp;$G$1)</f>
        <v>50</v>
      </c>
      <c r="M47" s="1776" t="str">
        <f>IF(ISNUMBER(FIND("住宅",C1)),"住宅","非住宅")</f>
        <v>非住宅</v>
      </c>
      <c r="O47" s="1777" t="s">
        <v>1036</v>
      </c>
      <c r="P47" s="1778" t="s">
        <v>1294</v>
      </c>
      <c r="Q47" s="1816">
        <f ca="1">C40+J29</f>
        <v>5151</v>
      </c>
      <c r="R47" s="1816" t="s">
        <v>1295</v>
      </c>
    </row>
    <row r="48" spans="1:18" s="751" customFormat="1" ht="27.75">
      <c r="A48" s="1689" t="s">
        <v>1296</v>
      </c>
      <c r="B48" s="1588" t="s">
        <v>1194</v>
      </c>
      <c r="C48" s="292">
        <f ca="1">C49+C53+C55</f>
        <v>0</v>
      </c>
      <c r="D48" s="1690"/>
      <c r="E48" s="1691"/>
      <c r="F48" s="1692"/>
      <c r="G48" s="1688"/>
      <c r="H48" s="1693"/>
      <c r="I48" s="808" t="s">
        <v>1297</v>
      </c>
      <c r="J48" s="1779" t="s">
        <v>1298</v>
      </c>
      <c r="K48" s="1780" t="s">
        <v>1299</v>
      </c>
      <c r="L48" s="1781">
        <f ca="1">INDIRECT("'数据-取费表'!f"&amp;$G$1)</f>
        <v>47.35</v>
      </c>
      <c r="O48" s="1777" t="s">
        <v>1040</v>
      </c>
      <c r="P48" s="1778" t="s">
        <v>1300</v>
      </c>
      <c r="Q48" s="1816" t="str">
        <f ca="1">J60</f>
        <v>0</v>
      </c>
      <c r="R48" s="1816" t="s">
        <v>1301</v>
      </c>
    </row>
    <row r="49" spans="1:18" s="751" customFormat="1">
      <c r="A49" s="1694" t="s">
        <v>1302</v>
      </c>
      <c r="B49" s="1695" t="s">
        <v>1303</v>
      </c>
      <c r="C49" s="1696">
        <f ca="1">ROUND(F49*F51*F50*(1-F52)/10000,0)</f>
        <v>0</v>
      </c>
      <c r="D49" s="1697" t="s">
        <v>1199</v>
      </c>
      <c r="E49" s="1698" t="s">
        <v>1304</v>
      </c>
      <c r="F49" s="1699"/>
      <c r="G49" s="1700"/>
      <c r="H49" s="1693"/>
      <c r="I49" s="808" t="s">
        <v>1305</v>
      </c>
      <c r="J49" s="1782">
        <f>'数据-取费表'!N17</f>
        <v>2018</v>
      </c>
      <c r="K49" s="1780" t="s">
        <v>1306</v>
      </c>
      <c r="L49" s="1783"/>
      <c r="O49" s="1784" t="s">
        <v>1307</v>
      </c>
      <c r="P49" s="1778" t="s">
        <v>1308</v>
      </c>
      <c r="Q49" s="1816">
        <f ca="1">C29</f>
        <v>4586</v>
      </c>
      <c r="R49" s="1816" t="s">
        <v>1295</v>
      </c>
    </row>
    <row r="50" spans="1:18" s="751" customFormat="1">
      <c r="A50" s="1701"/>
      <c r="B50" s="1702"/>
      <c r="C50" s="1843"/>
      <c r="D50" s="1704"/>
      <c r="E50" s="1705" t="s">
        <v>1200</v>
      </c>
      <c r="F50" s="1706">
        <f ca="1">F7</f>
        <v>17987.810000000001</v>
      </c>
      <c r="H50" s="1693"/>
      <c r="I50" s="808" t="s">
        <v>1309</v>
      </c>
      <c r="J50" s="1785">
        <f>SUMPRODUCT((I63:I65=J47)*(J62:L62=J48)*(J63:L65))</f>
        <v>50</v>
      </c>
      <c r="K50" s="1780" t="s">
        <v>1310</v>
      </c>
      <c r="L50" s="1783"/>
      <c r="M50" s="1786"/>
      <c r="O50" s="1784" t="s">
        <v>1311</v>
      </c>
      <c r="P50" s="1778" t="s">
        <v>1312</v>
      </c>
      <c r="Q50" s="1817" t="e">
        <f ca="1">J58</f>
        <v>#VALUE!</v>
      </c>
      <c r="R50" s="1816"/>
    </row>
    <row r="51" spans="1:18" s="751" customFormat="1">
      <c r="A51" s="1707"/>
      <c r="B51" s="1702"/>
      <c r="C51" s="1703"/>
      <c r="D51" s="1704"/>
      <c r="E51" s="1708" t="s">
        <v>1201</v>
      </c>
      <c r="F51" s="1597">
        <f ca="1">F8</f>
        <v>365</v>
      </c>
      <c r="I51" s="1787" t="s">
        <v>1313</v>
      </c>
      <c r="J51" s="1788">
        <f>IF(J49="",J50,J49+J50-YEAR('数据-取费表'!B2))</f>
        <v>49</v>
      </c>
      <c r="K51" s="1789" t="s">
        <v>1314</v>
      </c>
      <c r="L51" s="1790">
        <f ca="1">ROUND(-PV(INDIRECT("'数据-取费表'!h"&amp;$G$1),L48,(C39-C13*C76),0),0)</f>
        <v>-3481</v>
      </c>
      <c r="M51" s="1791"/>
      <c r="O51" s="1784" t="s">
        <v>1315</v>
      </c>
      <c r="P51" s="1778" t="s">
        <v>1316</v>
      </c>
      <c r="Q51" s="1817">
        <f>J52</f>
        <v>0.09</v>
      </c>
      <c r="R51" s="1816"/>
    </row>
    <row r="52" spans="1:18" s="751" customFormat="1">
      <c r="A52" s="1707"/>
      <c r="B52" s="1702"/>
      <c r="C52" s="1703"/>
      <c r="D52" s="1704"/>
      <c r="E52" s="1708" t="s">
        <v>1202</v>
      </c>
      <c r="F52" s="1709"/>
      <c r="I52" s="1792" t="s">
        <v>1317</v>
      </c>
      <c r="J52" s="1793">
        <f>'数据-取费表'!J6+0.005</f>
        <v>0.09</v>
      </c>
      <c r="K52" s="1792" t="s">
        <v>1318</v>
      </c>
      <c r="L52" s="1793"/>
      <c r="O52" s="1784" t="s">
        <v>1319</v>
      </c>
      <c r="P52" s="1778" t="s">
        <v>1320</v>
      </c>
      <c r="Q52" s="1816">
        <f ca="1">J53</f>
        <v>47.35</v>
      </c>
      <c r="R52" s="1816" t="s">
        <v>1321</v>
      </c>
    </row>
    <row r="53" spans="1:18" s="751" customFormat="1" ht="24">
      <c r="A53" s="1844" t="s">
        <v>1322</v>
      </c>
      <c r="B53" s="1845" t="s">
        <v>1203</v>
      </c>
      <c r="C53" s="290">
        <f ca="1">ROUND(IF(F53="押一",C49/12*F11,IF(F53="押二",C49/12*2*F11,IF(F53="押三",C49/12*3*F11,C54*F11))),0)</f>
        <v>0</v>
      </c>
      <c r="D53" s="1606" t="s">
        <v>1204</v>
      </c>
      <c r="E53" s="1607" t="s">
        <v>1205</v>
      </c>
      <c r="F53" s="1608"/>
      <c r="I53" s="1794" t="s">
        <v>1323</v>
      </c>
      <c r="J53" s="1795">
        <f ca="1">IF(M47="住宅",IF(D1="——",MAX(J51,L48),IF(D1="在建（套用方法）",MAX(J51,L48-'数据-取费表'!B24),MAX(J51,L48-'数据-取费表'!B20))),IF(D1="——",MIN(J51,L48),IF(D1="在建（套用方法）",MIN(J51,L48-'数据-取费表'!B24),IF(D1="土地（套用方法）",MIN(J51,L48-'数据-取费表'!B20)))))</f>
        <v>47.35</v>
      </c>
      <c r="K53" s="3208" t="s">
        <v>1324</v>
      </c>
      <c r="L53" s="3209"/>
      <c r="O53" s="1777" t="s">
        <v>1144</v>
      </c>
      <c r="P53" s="1778" t="s">
        <v>1325</v>
      </c>
      <c r="Q53" s="1816">
        <f ca="1">Q47+Q48</f>
        <v>5151</v>
      </c>
      <c r="R53" s="1816" t="s">
        <v>1326</v>
      </c>
    </row>
    <row r="54" spans="1:18" s="751" customFormat="1">
      <c r="A54" s="1846"/>
      <c r="B54" s="1610" t="s">
        <v>1208</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#VALUE!</v>
      </c>
      <c r="K55" s="1800" t="s">
        <v>1329</v>
      </c>
      <c r="L55" s="1801" t="s">
        <v>1330</v>
      </c>
      <c r="O55" s="1770" t="s">
        <v>1287</v>
      </c>
      <c r="P55" s="1771" t="s">
        <v>1288</v>
      </c>
      <c r="Q55" s="1815" t="s">
        <v>1289</v>
      </c>
      <c r="R55" s="1815" t="s">
        <v>1290</v>
      </c>
    </row>
    <row r="56" spans="1:18" s="751" customFormat="1" ht="24">
      <c r="A56" s="1714">
        <v>2</v>
      </c>
      <c r="B56" s="1715" t="s">
        <v>1211</v>
      </c>
      <c r="C56" s="184">
        <f ca="1">C13</f>
        <v>4540</v>
      </c>
      <c r="D56" s="1716"/>
      <c r="E56" s="1717"/>
      <c r="F56" s="1713"/>
      <c r="I56" s="1802" t="s">
        <v>1331</v>
      </c>
      <c r="J56" s="1803" t="s">
        <v>445</v>
      </c>
      <c r="K56" s="808" t="s">
        <v>1332</v>
      </c>
      <c r="L56" s="1781" t="str">
        <f ca="1">IF(L48&lt;J51,"——",L48-J53)</f>
        <v>——</v>
      </c>
      <c r="O56" s="1777" t="s">
        <v>1036</v>
      </c>
      <c r="P56" s="1778" t="s">
        <v>1294</v>
      </c>
      <c r="Q56" s="1816">
        <f ca="1">C40+J29</f>
        <v>5151</v>
      </c>
      <c r="R56" s="1816" t="s">
        <v>1295</v>
      </c>
    </row>
    <row r="57" spans="1:18" s="751" customFormat="1" ht="24">
      <c r="A57" s="1718"/>
      <c r="B57" s="1719" t="s">
        <v>1274</v>
      </c>
      <c r="C57" s="194">
        <f ca="1">C29</f>
        <v>4586</v>
      </c>
      <c r="D57" s="1720"/>
      <c r="E57" s="1721"/>
      <c r="F57" s="1722"/>
      <c r="I57" s="1804" t="s">
        <v>1333</v>
      </c>
      <c r="J57" s="1805" t="str">
        <f ca="1">IF(OR(M47="住宅",J51&lt;L48,J56="是"),"——",J51-L48)</f>
        <v>——</v>
      </c>
      <c r="K57" s="808" t="s">
        <v>1334</v>
      </c>
      <c r="L57" s="1781" t="str">
        <f ca="1">IF(L48&lt;J51,"——",IF(L55="比较法",L49,IF(L55="基准地价",L50,L51)))</f>
        <v>——</v>
      </c>
      <c r="O57" s="1777" t="s">
        <v>1040</v>
      </c>
      <c r="P57" s="1778" t="s">
        <v>1335</v>
      </c>
      <c r="Q57" s="1816">
        <f ca="1">L60</f>
        <v>0</v>
      </c>
      <c r="R57" s="1816" t="s">
        <v>1336</v>
      </c>
    </row>
    <row r="58" spans="1:18" s="751" customFormat="1" ht="24">
      <c r="A58" s="1723" t="s">
        <v>1219</v>
      </c>
      <c r="B58" s="1715" t="s">
        <v>1220</v>
      </c>
      <c r="C58" s="290">
        <f ca="1">ROUND(C59+C64+C65+C66,0)</f>
        <v>468</v>
      </c>
      <c r="D58" s="1724" t="s">
        <v>1221</v>
      </c>
      <c r="E58" s="1725"/>
      <c r="F58" s="1692"/>
      <c r="I58" s="1804" t="s">
        <v>1337</v>
      </c>
      <c r="J58" s="1806" t="e">
        <f ca="1">IF(J55&lt;0.4,0.4,J55)</f>
        <v>#VALUE!</v>
      </c>
      <c r="K58" s="1789" t="s">
        <v>1338</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ROUND(IF(项目基本情况!B11="自然人",C48*F59,C60+C61+C62),1)</f>
        <v>392.6</v>
      </c>
      <c r="D59" s="1726" t="s">
        <v>1227</v>
      </c>
      <c r="E59" s="1727" t="s">
        <v>1228</v>
      </c>
      <c r="F59" s="1650" t="str">
        <f ca="1">IF(项目基本情况!B11="企业","",IF(INDIRECT("'数据-取费表'!c"&amp;$G$1)="住宅",5%,IF(F49*F50*F51/12/(1+'数据-取费表'!C42)&gt;20000,12%,7%)))</f>
        <v/>
      </c>
      <c r="I59" s="1804" t="s">
        <v>1340</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IF(项目基本情况!B11="自然人","——",ROUND(C48*F60/(1+'数据-取费表'!C42),2))</f>
        <v>0</v>
      </c>
      <c r="D60" s="1727" t="s">
        <v>1231</v>
      </c>
      <c r="E60" s="1719" t="s">
        <v>1218</v>
      </c>
      <c r="F60" s="1641">
        <f t="shared" ref="F60:F66" si="0">F32</f>
        <v>5.5E-2</v>
      </c>
      <c r="I60" s="1807" t="s">
        <v>1342</v>
      </c>
      <c r="J60" s="1808" t="str">
        <f ca="1">IF(OR(M47="住宅",J51&lt;L48,J56="是"),"0",ROUND(J59/(1+J52)^J53,0))</f>
        <v>0</v>
      </c>
      <c r="K60" s="1809" t="s">
        <v>1343</v>
      </c>
      <c r="L60" s="1808">
        <f ca="1">IF(OR(M47="住宅",L48&lt;J51),0,ROUND(L57*(L58/L59-1),0))</f>
        <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IF(项目基本情况!B11="自然人","——",IF(D61="按租金收入计税",ROUND(C48*F61,2),IF(D61="按房产原值计税",ROUND(C57*F61*0.7,2),INDIRECT("'数据-取费表'!Aj"&amp;$G$1))))</f>
        <v>385.22</v>
      </c>
      <c r="D61" s="1651" t="s">
        <v>1235</v>
      </c>
      <c r="E61" s="1719" t="s">
        <v>1218</v>
      </c>
      <c r="F61" s="1634">
        <f t="shared" si="0"/>
        <v>0.12</v>
      </c>
      <c r="I61" s="1810"/>
      <c r="J61" s="1810"/>
      <c r="K61" s="1810"/>
      <c r="L61" s="1810"/>
      <c r="O61" s="1784" t="s">
        <v>1319</v>
      </c>
      <c r="P61" s="1778" t="str">
        <f>K59</f>
        <v>建筑物剩余耐用年限下的土地年期修正系数Kn</v>
      </c>
      <c r="Q61" s="1816" t="e">
        <f ca="1">L59</f>
        <v>#DIV/0!</v>
      </c>
      <c r="R61" s="1816" t="s">
        <v>1346</v>
      </c>
    </row>
    <row r="62" spans="1:18" s="751" customFormat="1">
      <c r="A62" s="1625" t="s">
        <v>875</v>
      </c>
      <c r="B62" s="1728" t="s">
        <v>1238</v>
      </c>
      <c r="C62" s="1653">
        <f ca="1">IF(项目基本情况!B11="自然人","——",ROUND(F62*F63/10000,2))</f>
        <v>7.41</v>
      </c>
      <c r="D62" s="1729" t="s">
        <v>1239</v>
      </c>
      <c r="E62" s="1719" t="s">
        <v>1240</v>
      </c>
      <c r="F62" s="1640">
        <f t="shared" si="0"/>
        <v>4</v>
      </c>
      <c r="I62" s="1811" t="s">
        <v>1347</v>
      </c>
      <c r="J62" s="1812" t="s">
        <v>1348</v>
      </c>
      <c r="K62" s="1812" t="s">
        <v>1349</v>
      </c>
      <c r="L62" s="1812" t="s">
        <v>1350</v>
      </c>
      <c r="M62" s="1813" t="s">
        <v>1351</v>
      </c>
      <c r="O62" s="1777" t="s">
        <v>1144</v>
      </c>
      <c r="P62" s="1778" t="s">
        <v>1325</v>
      </c>
      <c r="Q62" s="1816">
        <f ca="1">Q56+Q57</f>
        <v>5151</v>
      </c>
      <c r="R62" s="1816" t="s">
        <v>1326</v>
      </c>
    </row>
    <row r="63" spans="1:18" s="751" customFormat="1">
      <c r="A63" s="1638"/>
      <c r="B63" s="1730"/>
      <c r="C63" s="1657"/>
      <c r="D63" s="1731"/>
      <c r="E63" s="1719" t="s">
        <v>1244</v>
      </c>
      <c r="F63" s="1597">
        <f t="shared" ca="1" si="0"/>
        <v>18527.18</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ROUND(C57*F64,1)</f>
        <v>68.8</v>
      </c>
      <c r="D64" s="1727" t="s">
        <v>1279</v>
      </c>
      <c r="E64" s="1719" t="s">
        <v>1218</v>
      </c>
      <c r="F64" s="1660">
        <f t="shared" ca="1" si="0"/>
        <v>1.4999999999999999E-2</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ROUND(C56*F65,1)</f>
        <v>6.8</v>
      </c>
      <c r="D65" s="1727" t="s">
        <v>1251</v>
      </c>
      <c r="E65" s="1719" t="s">
        <v>1218</v>
      </c>
      <c r="F65" s="1661">
        <f t="shared" ca="1" si="0"/>
        <v>1.5E-3</v>
      </c>
      <c r="I65" s="1811" t="s">
        <v>1355</v>
      </c>
      <c r="J65" s="1812">
        <v>40</v>
      </c>
      <c r="K65" s="1812">
        <v>30</v>
      </c>
      <c r="L65" s="1812">
        <v>50</v>
      </c>
      <c r="M65" s="1814">
        <v>0.02</v>
      </c>
      <c r="O65" s="1777" t="s">
        <v>1036</v>
      </c>
      <c r="P65" s="1778" t="s">
        <v>1294</v>
      </c>
      <c r="Q65" s="1816">
        <f ca="1">C40+J29</f>
        <v>5151</v>
      </c>
      <c r="R65" s="1816" t="s">
        <v>1295</v>
      </c>
    </row>
    <row r="66" spans="1:18" s="751" customFormat="1" ht="15.75">
      <c r="A66" s="1625" t="s">
        <v>896</v>
      </c>
      <c r="B66" s="1719" t="s">
        <v>1236</v>
      </c>
      <c r="C66" s="291">
        <f ca="1">ROUND(C48*F66,1)</f>
        <v>0</v>
      </c>
      <c r="D66" s="1727" t="s">
        <v>1254</v>
      </c>
      <c r="E66" s="1719" t="s">
        <v>1218</v>
      </c>
      <c r="F66" s="1604">
        <f t="shared" ca="1" si="0"/>
        <v>0.01</v>
      </c>
      <c r="O66" s="1777" t="s">
        <v>1040</v>
      </c>
      <c r="P66" s="1778" t="s">
        <v>1335</v>
      </c>
      <c r="Q66" s="1816">
        <f ca="1">L60</f>
        <v>0</v>
      </c>
      <c r="R66" s="1816" t="s">
        <v>1336</v>
      </c>
    </row>
    <row r="67" spans="1:18" s="751" customFormat="1" ht="15.75">
      <c r="A67" s="1714" t="s">
        <v>1257</v>
      </c>
      <c r="B67" s="1818" t="s">
        <v>1258</v>
      </c>
      <c r="C67" s="290">
        <f ca="1">C48-C58</f>
        <v>-468</v>
      </c>
      <c r="D67" s="1726" t="s">
        <v>1259</v>
      </c>
      <c r="E67" s="1819"/>
      <c r="F67" s="1820"/>
      <c r="O67" s="1784" t="s">
        <v>1307</v>
      </c>
      <c r="P67" s="1778" t="s">
        <v>1339</v>
      </c>
      <c r="Q67" s="1840">
        <f ca="1">L51</f>
        <v>-3481</v>
      </c>
      <c r="R67" s="1816" t="s">
        <v>1356</v>
      </c>
    </row>
    <row r="68" spans="1:18" s="751" customFormat="1" ht="15.75">
      <c r="A68" s="1821" t="s">
        <v>1263</v>
      </c>
      <c r="B68" s="1822" t="s">
        <v>1280</v>
      </c>
      <c r="C68" s="1666">
        <f ca="1">ROUND(C67*(1-((1+F70)/(1+F68))^F69)/(F68-F70),0)</f>
        <v>-8431</v>
      </c>
      <c r="D68" s="1729" t="s">
        <v>1265</v>
      </c>
      <c r="E68" s="1719" t="s">
        <v>1266</v>
      </c>
      <c r="F68" s="1604">
        <f ca="1">F40</f>
        <v>0.05</v>
      </c>
      <c r="O68" s="1784" t="s">
        <v>1311</v>
      </c>
      <c r="P68" s="1839" t="s">
        <v>1357</v>
      </c>
      <c r="Q68" s="1816">
        <f ca="1">ROUND(Q69-Q70*Q71,0)</f>
        <v>-179</v>
      </c>
      <c r="R68" s="1816" t="s">
        <v>1358</v>
      </c>
    </row>
    <row r="69" spans="1:18" s="751" customFormat="1">
      <c r="A69" s="1823"/>
      <c r="B69" s="1824"/>
      <c r="C69" s="1603"/>
      <c r="D69" s="1825" t="s">
        <v>1269</v>
      </c>
      <c r="E69" s="1719" t="s">
        <v>1270</v>
      </c>
      <c r="F69" s="1670">
        <f ca="1">F41</f>
        <v>47.35</v>
      </c>
      <c r="O69" s="1784" t="s">
        <v>1359</v>
      </c>
      <c r="P69" s="1839" t="s">
        <v>1360</v>
      </c>
      <c r="Q69" s="1816">
        <f ca="1">C39</f>
        <v>207</v>
      </c>
      <c r="R69" s="1816" t="s">
        <v>1295</v>
      </c>
    </row>
    <row r="70" spans="1:18" s="751" customFormat="1">
      <c r="A70" s="1826"/>
      <c r="B70" s="1827"/>
      <c r="C70" s="1622"/>
      <c r="D70" s="1731"/>
      <c r="E70" s="1719" t="s">
        <v>1273</v>
      </c>
      <c r="F70" s="1709"/>
      <c r="O70" s="1784" t="s">
        <v>1361</v>
      </c>
      <c r="P70" s="1839" t="s">
        <v>1362</v>
      </c>
      <c r="Q70" s="1816">
        <f ca="1">C13</f>
        <v>4540</v>
      </c>
      <c r="R70" s="1816" t="s">
        <v>1295</v>
      </c>
    </row>
    <row r="71" spans="1:18" s="751" customFormat="1">
      <c r="A71" s="1828" t="s">
        <v>1275</v>
      </c>
      <c r="B71" s="1829" t="s">
        <v>1281</v>
      </c>
      <c r="C71" s="1674">
        <f ca="1">ROUND(C68*10000/F71,0)</f>
        <v>-4687</v>
      </c>
      <c r="D71" s="1830" t="s">
        <v>1282</v>
      </c>
      <c r="E71" s="1831" t="s">
        <v>1283</v>
      </c>
      <c r="F71" s="1677">
        <f ca="1">F43</f>
        <v>17987.810000000001</v>
      </c>
      <c r="O71" s="1784" t="s">
        <v>1363</v>
      </c>
      <c r="P71" s="1839" t="s">
        <v>1364</v>
      </c>
      <c r="Q71" s="1817">
        <f ca="1">C76</f>
        <v>8.5000000000000006E-2</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建筑物剩余耐用年限下的土地年期修正系数Kn</v>
      </c>
      <c r="Q74" s="1816" t="e">
        <f ca="1">L59</f>
        <v>#DIV/0!</v>
      </c>
      <c r="R74" s="1816" t="s">
        <v>1346</v>
      </c>
    </row>
    <row r="75" spans="1:18">
      <c r="A75" s="751"/>
      <c r="B75" s="1833" t="s">
        <v>1367</v>
      </c>
      <c r="C75" s="1834">
        <f ca="1">ROUND(C13*C76,0)</f>
        <v>386</v>
      </c>
      <c r="D75" s="751"/>
      <c r="E75" s="751"/>
      <c r="F75" s="751"/>
      <c r="K75" s="1764"/>
      <c r="L75" s="751"/>
      <c r="O75" s="1777" t="s">
        <v>1144</v>
      </c>
      <c r="P75" s="1778" t="s">
        <v>1325</v>
      </c>
      <c r="Q75" s="1816">
        <f ca="1">Q65+Q66</f>
        <v>5151</v>
      </c>
      <c r="R75" s="1816" t="s">
        <v>1326</v>
      </c>
    </row>
    <row r="76" spans="1:18">
      <c r="B76" s="572" t="s">
        <v>1368</v>
      </c>
      <c r="C76" s="1835">
        <f ca="1">INDIRECT("'数据-取费表'!j"&amp;$G$1)</f>
        <v>8.5000000000000006E-2</v>
      </c>
      <c r="I76" s="751"/>
      <c r="J76" s="751"/>
      <c r="K76" s="1764"/>
      <c r="L76" s="751"/>
    </row>
    <row r="77" spans="1:18">
      <c r="B77" s="1836" t="s">
        <v>1369</v>
      </c>
      <c r="C77" s="1837"/>
      <c r="I77" s="751"/>
      <c r="J77" s="751"/>
      <c r="K77" s="1764"/>
      <c r="L77" s="751"/>
    </row>
    <row r="78" spans="1:18">
      <c r="B78" s="224" t="s">
        <v>1370</v>
      </c>
      <c r="C78" s="1838"/>
    </row>
    <row r="79" spans="1:18">
      <c r="B79" s="1833" t="s">
        <v>1371</v>
      </c>
      <c r="C79" s="227">
        <f ca="1">1-C80</f>
        <v>-0.86499999999999999</v>
      </c>
    </row>
    <row r="80" spans="1:18">
      <c r="B80" s="1833" t="s">
        <v>1372</v>
      </c>
      <c r="C80" s="227">
        <f ca="1">ROUND(C75/C39,3)</f>
        <v>1.865</v>
      </c>
    </row>
    <row r="81" spans="2:3">
      <c r="B81" s="224" t="s">
        <v>1373</v>
      </c>
      <c r="C81" s="194"/>
    </row>
    <row r="82" spans="2:3">
      <c r="B82" s="226" t="s">
        <v>1117</v>
      </c>
      <c r="C82" s="228">
        <f ca="1">1-C83</f>
        <v>0.11899999999999999</v>
      </c>
    </row>
    <row r="83" spans="2:3">
      <c r="B83" s="226" t="s">
        <v>1118</v>
      </c>
      <c r="C83" s="227">
        <f ca="1">ROUND(C13/C40,3)</f>
        <v>0.88100000000000001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c r="D1" s="1566"/>
      <c r="E1" s="1567" t="s">
        <v>1183</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t="e">
        <f ca="1">ROUND(D2/10000,0)</f>
        <v>#DIV/0!</v>
      </c>
      <c r="C2" s="1573" t="s">
        <v>1185</v>
      </c>
      <c r="D2" s="1574" t="e">
        <f ca="1">C40+J29+L46</f>
        <v>#DIV/0!</v>
      </c>
      <c r="E2" s="1575" t="s">
        <v>1374</v>
      </c>
      <c r="F2" s="1576"/>
      <c r="G2" s="1577"/>
      <c r="H2" s="1578"/>
      <c r="I2" s="1578"/>
      <c r="J2" s="1578"/>
      <c r="K2" s="1735"/>
      <c r="L2" s="1578"/>
      <c r="M2" s="1578"/>
    </row>
    <row r="3" spans="1:37" ht="18" customHeight="1">
      <c r="A3" s="1579" t="s">
        <v>1186</v>
      </c>
      <c r="B3" s="1580">
        <f ca="1">IF(ISERROR(D2/F43),0,ROUND(D2/F43,0))</f>
        <v>0</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0</v>
      </c>
      <c r="D5" s="1590" t="s">
        <v>1195</v>
      </c>
      <c r="E5" s="1591"/>
      <c r="F5" s="1592"/>
      <c r="G5" s="1586"/>
      <c r="H5" s="1587">
        <v>1</v>
      </c>
      <c r="I5" s="1588" t="s">
        <v>1194</v>
      </c>
      <c r="J5" s="1589">
        <f ca="1">J6+J10+J12</f>
        <v>0</v>
      </c>
      <c r="K5" s="1590" t="s">
        <v>1195</v>
      </c>
      <c r="L5" s="1591"/>
      <c r="M5" s="1592"/>
    </row>
    <row r="6" spans="1:37" ht="18" customHeight="1">
      <c r="A6" s="1593" t="s">
        <v>844</v>
      </c>
      <c r="B6" s="3210" t="s">
        <v>1196</v>
      </c>
      <c r="C6" s="1594">
        <f ca="1">ROUND(F6*F8*F7*(1-F9),0)</f>
        <v>0</v>
      </c>
      <c r="D6" s="1595" t="s">
        <v>1375</v>
      </c>
      <c r="E6" s="1596" t="s">
        <v>1198</v>
      </c>
      <c r="F6" s="1597">
        <f ca="1">INDIRECT("'数据-取费表'!u"&amp;$G$1)</f>
        <v>0</v>
      </c>
      <c r="G6" s="1586"/>
      <c r="H6" s="1593" t="s">
        <v>844</v>
      </c>
      <c r="I6" s="3210" t="s">
        <v>1196</v>
      </c>
      <c r="J6" s="1666">
        <f ca="1">ROUND(M6*M8*M7*(1-M9),0)</f>
        <v>0</v>
      </c>
      <c r="K6" s="1736" t="s">
        <v>1376</v>
      </c>
      <c r="L6" s="1596" t="s">
        <v>1198</v>
      </c>
      <c r="M6" s="1597">
        <f ca="1">INDIRECT("'数据-取费表'!z"&amp;$G$1)</f>
        <v>0</v>
      </c>
    </row>
    <row r="7" spans="1:37" ht="18" customHeight="1">
      <c r="A7" s="1598"/>
      <c r="B7" s="3211"/>
      <c r="C7" s="1599"/>
      <c r="D7" s="1600"/>
      <c r="E7" s="1601" t="s">
        <v>1200</v>
      </c>
      <c r="F7" s="1597">
        <f ca="1">IF(INDIRECT("'数据-取费表'!ah"&amp;$G$1)="",INDIRECT("'数据-取费表'!k"&amp;$G$1),INDIRECT("'数据-取费表'!ah"&amp;$G$1))</f>
        <v>0</v>
      </c>
      <c r="G7" s="1586"/>
      <c r="H7" s="1602"/>
      <c r="I7" s="3211"/>
      <c r="J7" s="1603"/>
      <c r="K7" s="1600"/>
      <c r="L7" s="1596" t="s">
        <v>1200</v>
      </c>
      <c r="M7" s="1597">
        <f ca="1">F7</f>
        <v>0</v>
      </c>
    </row>
    <row r="8" spans="1:37" ht="18" customHeight="1">
      <c r="A8" s="1602"/>
      <c r="B8" s="3211"/>
      <c r="C8" s="1603"/>
      <c r="D8" s="1600"/>
      <c r="E8" s="1596" t="s">
        <v>1201</v>
      </c>
      <c r="F8" s="1597">
        <f ca="1">INDIRECT("'数据-取费表'!ai"&amp;$G$1)</f>
        <v>0</v>
      </c>
      <c r="G8" s="1586"/>
      <c r="H8" s="1602"/>
      <c r="I8" s="3211"/>
      <c r="J8" s="1603"/>
      <c r="K8" s="1600"/>
      <c r="L8" s="1596" t="s">
        <v>1201</v>
      </c>
      <c r="M8" s="1597">
        <f ca="1">INDIRECT("'数据-取费表'!ai"&amp;$G$1)</f>
        <v>0</v>
      </c>
    </row>
    <row r="9" spans="1:37" ht="18" customHeight="1">
      <c r="A9" s="1602"/>
      <c r="B9" s="3212"/>
      <c r="C9" s="1603"/>
      <c r="D9" s="1600"/>
      <c r="E9" s="1596" t="s">
        <v>1202</v>
      </c>
      <c r="F9" s="1604">
        <f ca="1">INDIRECT("'数据-取费表'!w"&amp;$G$1)</f>
        <v>0</v>
      </c>
      <c r="G9" s="1586"/>
      <c r="H9" s="1602"/>
      <c r="I9" s="3212"/>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c r="G10" s="1586"/>
      <c r="H10" s="1593" t="s">
        <v>848</v>
      </c>
      <c r="I10" s="1605" t="s">
        <v>1203</v>
      </c>
      <c r="J10" s="1666">
        <f ca="1">ROUND(IF(M10="押一",J6/12*M11,IF(M10="押二",J6/12*2*M11,IF(M10="押三",J6/12*3*M11,J11*M11))),0)</f>
        <v>0</v>
      </c>
      <c r="K10" s="1737" t="s">
        <v>1377</v>
      </c>
      <c r="L10" s="1607" t="s">
        <v>1205</v>
      </c>
      <c r="M10" s="1608"/>
    </row>
    <row r="11" spans="1:37" ht="18" customHeight="1">
      <c r="A11" s="1609"/>
      <c r="B11" s="1610" t="s">
        <v>1378</v>
      </c>
      <c r="C11" s="1611"/>
      <c r="D11" s="1600"/>
      <c r="E11" s="1607" t="s">
        <v>1209</v>
      </c>
      <c r="F11" s="1612">
        <f ca="1">'数据-取费表'!B39</f>
        <v>1.4999999999999999E-2</v>
      </c>
      <c r="G11" s="1586"/>
      <c r="H11" s="1613"/>
      <c r="I11" s="1610" t="s">
        <v>1379</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0</v>
      </c>
      <c r="D13" s="1623" t="s">
        <v>1212</v>
      </c>
      <c r="E13" s="1623" t="s">
        <v>1213</v>
      </c>
      <c r="F13" s="1624">
        <f ca="1">INDIRECT("'数据-取费表'!y"&amp;$G$1)</f>
        <v>0</v>
      </c>
      <c r="G13" s="1586"/>
      <c r="H13" s="1620">
        <v>2</v>
      </c>
      <c r="I13" s="1621" t="s">
        <v>1211</v>
      </c>
      <c r="J13" s="1742">
        <f ca="1">ROUND(J14*J15,0)</f>
        <v>0</v>
      </c>
      <c r="K13" s="1646" t="s">
        <v>1212</v>
      </c>
      <c r="L13" s="1743"/>
      <c r="M13" s="1744"/>
    </row>
    <row r="14" spans="1:37" ht="18" customHeight="1">
      <c r="A14" s="1625" t="s">
        <v>867</v>
      </c>
      <c r="B14" s="1596" t="s">
        <v>1214</v>
      </c>
      <c r="C14" s="1626">
        <f ca="1">ROUND(INDIRECT("'数据-取费表'!l"&amp;$G$1)*F43+'数据-取费表'!L14*INDIRECT("'数据-取费表'!S"&amp;$G$1),0)</f>
        <v>0</v>
      </c>
      <c r="D14" s="1627" t="s">
        <v>1215</v>
      </c>
      <c r="E14" s="1628"/>
      <c r="F14" s="1629"/>
      <c r="G14" s="1586"/>
      <c r="H14" s="1625" t="s">
        <v>844</v>
      </c>
      <c r="I14" s="1596" t="s">
        <v>1216</v>
      </c>
      <c r="J14" s="291">
        <f ca="1">C29</f>
        <v>0</v>
      </c>
      <c r="K14" s="1745"/>
      <c r="L14" s="1746"/>
      <c r="M14" s="1747"/>
    </row>
    <row r="15" spans="1:37" s="1562" customFormat="1" ht="18" customHeight="1">
      <c r="A15" s="1625" t="s">
        <v>872</v>
      </c>
      <c r="B15" s="1596" t="s">
        <v>1142</v>
      </c>
      <c r="C15" s="291">
        <f ca="1">ROUND(C14*F15,0)</f>
        <v>0</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ROUND(INDIRECT("'数据-取费表'!l"&amp;$G$1)*F43*F16,0)</f>
        <v>0</v>
      </c>
      <c r="D16" s="1596" t="s">
        <v>1217</v>
      </c>
      <c r="E16" s="1596" t="s">
        <v>1218</v>
      </c>
      <c r="F16" s="1634">
        <f ca="1">IF(INDIRECT("'数据-取费表'!c"&amp;$G$1)="住宅",'数据-取费表'!B34,0)</f>
        <v>0</v>
      </c>
      <c r="G16" s="1586"/>
      <c r="H16" s="1620" t="s">
        <v>1219</v>
      </c>
      <c r="I16" s="1621" t="s">
        <v>1220</v>
      </c>
      <c r="J16" s="1622">
        <f ca="1">ROUND(J17+J22+J23+J24,0)</f>
        <v>0</v>
      </c>
      <c r="K16" s="1646" t="s">
        <v>1221</v>
      </c>
      <c r="L16" s="1647"/>
      <c r="M16" s="1592"/>
    </row>
    <row r="17" spans="1:37" s="1562" customFormat="1" ht="18" customHeight="1">
      <c r="A17" s="1625" t="s">
        <v>1222</v>
      </c>
      <c r="B17" s="1596" t="s">
        <v>1223</v>
      </c>
      <c r="C17" s="291">
        <f ca="1">ROUND(F17*(F43+INDIRECT("'数据-取费表'!S"&amp;$G$1)),0)</f>
        <v>0</v>
      </c>
      <c r="D17" s="1596" t="s">
        <v>1224</v>
      </c>
      <c r="E17" s="1596" t="s">
        <v>1225</v>
      </c>
      <c r="F17" s="1635">
        <f>'数据-取费表'!B35</f>
        <v>180</v>
      </c>
      <c r="G17" s="1632"/>
      <c r="H17" s="1625" t="s">
        <v>844</v>
      </c>
      <c r="I17" s="1596" t="s">
        <v>1226</v>
      </c>
      <c r="J17" s="291">
        <f ca="1">ROUND(IF(项目基本情况!B11="自然人",J5*M17,J18+J19+J20),0)</f>
        <v>0</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0</v>
      </c>
      <c r="D18" s="1596" t="s">
        <v>1217</v>
      </c>
      <c r="E18" s="1596" t="s">
        <v>1218</v>
      </c>
      <c r="F18" s="1634">
        <f>'数据-取费表'!B36</f>
        <v>1.4999999999999999E-2</v>
      </c>
      <c r="G18" s="1632"/>
      <c r="H18" s="1625" t="s">
        <v>867</v>
      </c>
      <c r="I18" s="1596" t="s">
        <v>1230</v>
      </c>
      <c r="J18" s="291">
        <f ca="1">ROUND(J5*M18/(1+'数据-取费表'!C42),0)</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0</v>
      </c>
      <c r="D19" s="1636" t="s">
        <v>1233</v>
      </c>
      <c r="E19" s="293"/>
      <c r="F19" s="1635"/>
      <c r="G19" s="1586"/>
      <c r="H19" s="1625" t="s">
        <v>872</v>
      </c>
      <c r="I19" s="1596" t="s">
        <v>1234</v>
      </c>
      <c r="J19" s="291">
        <f ca="1">IF(K19="按租金收入计税",ROUND(J5*M19,0),ROUND(C29*M19*0.7,0))</f>
        <v>0</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0</v>
      </c>
      <c r="D20" s="1637" t="s">
        <v>1237</v>
      </c>
      <c r="E20" s="1596" t="s">
        <v>1218</v>
      </c>
      <c r="F20" s="1634">
        <f>'数据-取费表'!B37</f>
        <v>0.02</v>
      </c>
      <c r="G20" s="1632"/>
      <c r="H20" s="1625" t="s">
        <v>875</v>
      </c>
      <c r="I20" s="1595" t="s">
        <v>1238</v>
      </c>
      <c r="J20" s="1653">
        <f ca="1">ROUND(M20*M21,0)</f>
        <v>0</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ROUND(J14*M22,0)</f>
        <v>0</v>
      </c>
      <c r="K22" s="1649" t="s">
        <v>1247</v>
      </c>
      <c r="L22" s="1596" t="s">
        <v>1218</v>
      </c>
      <c r="M22" s="1660">
        <f ca="1">INDIRECT("'数据-取费表'!Ak"&amp;$G$1)</f>
        <v>0</v>
      </c>
    </row>
    <row r="23" spans="1:37" s="1562" customFormat="1" ht="18" customHeight="1">
      <c r="A23" s="1625" t="s">
        <v>867</v>
      </c>
      <c r="B23" s="1596" t="s">
        <v>1248</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ROUND(J13*M23,0)</f>
        <v>0</v>
      </c>
      <c r="K23" s="1649" t="s">
        <v>1251</v>
      </c>
      <c r="L23" s="1596" t="s">
        <v>1218</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ROUND(J5*M24,0)</f>
        <v>0</v>
      </c>
      <c r="K24" s="1643" t="s">
        <v>1254</v>
      </c>
      <c r="L24" s="1618" t="s">
        <v>1218</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899</v>
      </c>
      <c r="B25" s="1596" t="s">
        <v>1255</v>
      </c>
      <c r="C25" s="291"/>
      <c r="D25" s="1636" t="s">
        <v>1256</v>
      </c>
      <c r="E25" s="293"/>
      <c r="F25" s="1635"/>
      <c r="G25" s="1586"/>
      <c r="H25" s="1620" t="s">
        <v>1257</v>
      </c>
      <c r="I25" s="1662" t="s">
        <v>1258</v>
      </c>
      <c r="J25" s="1622">
        <f ca="1">J5-J16</f>
        <v>0</v>
      </c>
      <c r="K25" s="1663" t="s">
        <v>1259</v>
      </c>
      <c r="L25" s="1664"/>
      <c r="M25" s="1665"/>
    </row>
    <row r="26" spans="1:37" ht="18" customHeight="1">
      <c r="A26" s="1625" t="s">
        <v>867</v>
      </c>
      <c r="B26" s="1596" t="s">
        <v>1260</v>
      </c>
      <c r="C26" s="291">
        <f ca="1">ROUND((C19+C20)*F26,0)</f>
        <v>0</v>
      </c>
      <c r="D26" s="1637" t="s">
        <v>1261</v>
      </c>
      <c r="E26" s="1607" t="s">
        <v>1262</v>
      </c>
      <c r="F26" s="1604">
        <f ca="1">INDIRECT("'数据-取费表'!q"&amp;$G$1)</f>
        <v>0</v>
      </c>
      <c r="G26" s="1586"/>
      <c r="H26" s="1587" t="s">
        <v>1263</v>
      </c>
      <c r="I26" s="1588" t="s">
        <v>1264</v>
      </c>
      <c r="J26" s="1666">
        <f ca="1">IF(J5&lt;&gt;0,ROUND(J25*(1-((1+M28)/(1+M26))^M27)/(M26-M28),0),0)</f>
        <v>0</v>
      </c>
      <c r="K26" s="1654" t="s">
        <v>1265</v>
      </c>
      <c r="L26" s="1596" t="s">
        <v>1266</v>
      </c>
      <c r="M26" s="1604">
        <f ca="1">INDIRECT("'数据-取费表'!I"&amp;$G$1)</f>
        <v>0</v>
      </c>
    </row>
    <row r="27" spans="1:37" ht="18" customHeight="1">
      <c r="A27" s="1625" t="s">
        <v>872</v>
      </c>
      <c r="B27" s="1596" t="s">
        <v>1267</v>
      </c>
      <c r="C27" s="291">
        <f ca="1">ROUND(F21*F26,4)</f>
        <v>0</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0</v>
      </c>
      <c r="D29" s="1643"/>
      <c r="E29" s="1618"/>
      <c r="F29" s="1644"/>
      <c r="G29" s="1632"/>
      <c r="H29" s="1645" t="s">
        <v>1275</v>
      </c>
      <c r="I29" s="1673" t="s">
        <v>1276</v>
      </c>
      <c r="J29" s="1674">
        <f ca="1">ROUND(J26/(1+F40)^F41,0)</f>
        <v>0</v>
      </c>
      <c r="K29" s="1675" t="s">
        <v>1277</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0</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ROUND(IF(项目基本情况!B11="自然人",C5*F31,C32+C33+C34),0)</f>
        <v>0</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IF(项目基本情况!B11="自然人","——",ROUND(C5*F32/(1+'数据-取费表'!C42),0))</f>
        <v>0</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IF(项目基本情况!B11="自然人","——",IF(D33="按租金收入计税",ROUND(C5*F33,0),IF(D33="按房产原值计税",ROUND(C29*F33*0.7,0),INDIRECT("'数据-取费表'!Aj"&amp;$G$1))))</f>
        <v>0</v>
      </c>
      <c r="D33" s="1651" t="s">
        <v>1235</v>
      </c>
      <c r="E33" s="1596" t="s">
        <v>1218</v>
      </c>
      <c r="F33" s="1634">
        <f>IF(D33="按票据","——",IF(D33="按租金收入计税",'数据-取费表'!B51,'数据-取费表'!B50))</f>
        <v>1.2E-2</v>
      </c>
      <c r="G33" s="1586"/>
      <c r="H33" s="1652"/>
      <c r="I33" s="1757"/>
      <c r="J33" s="1758"/>
      <c r="K33" s="1759"/>
      <c r="L33" s="1652"/>
      <c r="M33" s="1652"/>
    </row>
    <row r="34" spans="1:18" ht="18" customHeight="1">
      <c r="A34" s="1593" t="s">
        <v>875</v>
      </c>
      <c r="B34" s="1595" t="s">
        <v>1238</v>
      </c>
      <c r="C34" s="1653">
        <f ca="1">IF(项目基本情况!B11="自然人","——",ROUND(F34*F35,))</f>
        <v>0</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0</v>
      </c>
      <c r="G35" s="1586"/>
      <c r="H35" s="1648"/>
      <c r="I35" s="1757"/>
      <c r="J35" s="1758"/>
      <c r="K35" s="1759"/>
      <c r="L35" s="1652"/>
      <c r="M35" s="1652"/>
    </row>
    <row r="36" spans="1:18" ht="18" customHeight="1">
      <c r="A36" s="1659" t="s">
        <v>848</v>
      </c>
      <c r="B36" s="1596" t="s">
        <v>1246</v>
      </c>
      <c r="C36" s="291">
        <f ca="1">ROUND(C29*F36,0)</f>
        <v>0</v>
      </c>
      <c r="D36" s="1649" t="s">
        <v>1279</v>
      </c>
      <c r="E36" s="1596" t="s">
        <v>1218</v>
      </c>
      <c r="F36" s="1660">
        <f ca="1">INDIRECT("'数据-取费表'!Ak"&amp;$G$1)</f>
        <v>0</v>
      </c>
      <c r="G36" s="1586"/>
      <c r="H36" s="1652"/>
      <c r="I36" s="1757"/>
      <c r="J36" s="1758"/>
      <c r="K36" s="1762"/>
      <c r="L36" s="1652"/>
      <c r="M36" s="1652"/>
    </row>
    <row r="37" spans="1:18" ht="18" customHeight="1">
      <c r="A37" s="1625" t="s">
        <v>892</v>
      </c>
      <c r="B37" s="1596" t="s">
        <v>1250</v>
      </c>
      <c r="C37" s="291">
        <f ca="1">ROUND(C13*F37,0)</f>
        <v>0</v>
      </c>
      <c r="D37" s="1649" t="s">
        <v>1251</v>
      </c>
      <c r="E37" s="1596" t="s">
        <v>1218</v>
      </c>
      <c r="F37" s="1661">
        <f ca="1">INDIRECT("'数据-取费表'!Al"&amp;$G$1)</f>
        <v>0</v>
      </c>
      <c r="G37" s="1586"/>
      <c r="H37" s="1652"/>
      <c r="I37" s="1757"/>
      <c r="J37" s="1758"/>
      <c r="K37" s="1762"/>
      <c r="L37" s="1652"/>
      <c r="M37" s="1652"/>
    </row>
    <row r="38" spans="1:18" ht="18" customHeight="1">
      <c r="A38" s="1633" t="s">
        <v>896</v>
      </c>
      <c r="B38" s="1618" t="s">
        <v>1236</v>
      </c>
      <c r="C38" s="1642">
        <f ca="1">ROUND(C5*F38,1)</f>
        <v>0</v>
      </c>
      <c r="D38" s="1643" t="s">
        <v>1254</v>
      </c>
      <c r="E38" s="1618" t="s">
        <v>1218</v>
      </c>
      <c r="F38" s="1619">
        <f ca="1">INDIRECT("'数据-取费表'!Am"&amp;$G$1)</f>
        <v>0</v>
      </c>
      <c r="G38" s="1586"/>
      <c r="H38" s="1652"/>
      <c r="I38" s="1757"/>
      <c r="J38" s="1758"/>
      <c r="K38" s="1763"/>
      <c r="L38" s="1652"/>
      <c r="M38" s="1652"/>
    </row>
    <row r="39" spans="1:18" ht="24.6" customHeight="1">
      <c r="A39" s="1620" t="s">
        <v>1257</v>
      </c>
      <c r="B39" s="1662" t="s">
        <v>1258</v>
      </c>
      <c r="C39" s="1622">
        <f ca="1">C5-C30</f>
        <v>0</v>
      </c>
      <c r="D39" s="1663" t="s">
        <v>1259</v>
      </c>
      <c r="E39" s="1664"/>
      <c r="F39" s="1665"/>
      <c r="G39" s="1586"/>
      <c r="H39" s="1652"/>
      <c r="I39" s="1757"/>
      <c r="J39" s="1758"/>
      <c r="K39" s="1763"/>
      <c r="L39" s="1652"/>
      <c r="M39" s="1652"/>
    </row>
    <row r="40" spans="1:18" ht="18" customHeight="1">
      <c r="A40" s="1587" t="s">
        <v>1263</v>
      </c>
      <c r="B40" s="1588" t="s">
        <v>1280</v>
      </c>
      <c r="C40" s="1666" t="e">
        <f ca="1">ROUND(C39*(1-((1+F42)/(1+F40))^F41)/(F40-F42),0)</f>
        <v>#DIV/0!</v>
      </c>
      <c r="D40" s="1654" t="s">
        <v>1265</v>
      </c>
      <c r="E40" s="1596" t="s">
        <v>1266</v>
      </c>
      <c r="F40" s="1604">
        <f ca="1">INDIRECT("'数据-取费表'!I"&amp;$G$1)</f>
        <v>0</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1273</v>
      </c>
      <c r="F42" s="1604">
        <f ca="1">INDIRECT("'数据-取费表'!v"&amp;$G$1)</f>
        <v>0</v>
      </c>
      <c r="G42" s="1586"/>
      <c r="H42" s="1671"/>
      <c r="I42" s="1757"/>
      <c r="J42" s="1758"/>
      <c r="K42" s="1762"/>
      <c r="L42" s="1671"/>
      <c r="M42" s="1671"/>
    </row>
    <row r="43" spans="1:18" ht="18" customHeight="1">
      <c r="A43" s="1645" t="s">
        <v>1275</v>
      </c>
      <c r="B43" s="1673" t="s">
        <v>1281</v>
      </c>
      <c r="C43" s="1674" t="e">
        <f ca="1">ROUND(C40/F43,0)</f>
        <v>#DIV/0!</v>
      </c>
      <c r="D43" s="1675" t="s">
        <v>1282</v>
      </c>
      <c r="E43" s="1676" t="s">
        <v>1283</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1380</v>
      </c>
      <c r="E45" s="1678"/>
      <c r="F45" s="1678"/>
      <c r="O45" s="1765" t="s">
        <v>1284</v>
      </c>
      <c r="P45" s="1667"/>
      <c r="Q45" s="1667"/>
      <c r="R45" s="1667"/>
    </row>
    <row r="46" spans="1:18" s="751" customFormat="1">
      <c r="A46" s="1682" t="s">
        <v>1285</v>
      </c>
      <c r="C46" s="1683" t="e">
        <f ca="1">ROUND(C45/10000,0)</f>
        <v>#DIV/0!</v>
      </c>
      <c r="D46" s="1684" t="str">
        <f>C2</f>
        <v>万元</v>
      </c>
      <c r="I46" s="1766" t="s">
        <v>1286</v>
      </c>
      <c r="J46" s="1767"/>
      <c r="K46" s="1768"/>
      <c r="L46" s="1769" t="e">
        <f ca="1">IF(M47="住宅",0,IF(L48&gt;J51,L60,J60))</f>
        <v>#DIV/0!</v>
      </c>
      <c r="O46" s="1770" t="s">
        <v>1287</v>
      </c>
      <c r="P46" s="1771" t="s">
        <v>1288</v>
      </c>
      <c r="Q46" s="1815" t="s">
        <v>1289</v>
      </c>
      <c r="R46" s="1815" t="s">
        <v>1290</v>
      </c>
    </row>
    <row r="47" spans="1:18" s="751" customFormat="1">
      <c r="A47" s="1685" t="s">
        <v>1189</v>
      </c>
      <c r="B47" s="1686" t="s">
        <v>1190</v>
      </c>
      <c r="C47" s="1686" t="s">
        <v>1191</v>
      </c>
      <c r="D47" s="1686" t="s">
        <v>1192</v>
      </c>
      <c r="E47" s="1687" t="s">
        <v>1193</v>
      </c>
      <c r="F47" s="284"/>
      <c r="G47" s="1688"/>
      <c r="I47" s="1772" t="s">
        <v>1291</v>
      </c>
      <c r="J47" s="1773"/>
      <c r="K47" s="1774" t="s">
        <v>1293</v>
      </c>
      <c r="L47" s="1775">
        <f ca="1">INDIRECT("'数据-取费表'!d"&amp;$G$1)</f>
        <v>0</v>
      </c>
      <c r="M47" s="1776" t="str">
        <f>IF(ISNUMBER(FIND("住宅",C1)),"住宅","非住宅")</f>
        <v>非住宅</v>
      </c>
      <c r="O47" s="1777" t="s">
        <v>1036</v>
      </c>
      <c r="P47" s="1778" t="s">
        <v>1294</v>
      </c>
      <c r="Q47" s="1816" t="e">
        <f ca="1">C40+J29</f>
        <v>#DIV/0!</v>
      </c>
      <c r="R47" s="1816" t="s">
        <v>1295</v>
      </c>
    </row>
    <row r="48" spans="1:18" s="751" customFormat="1" ht="27.75">
      <c r="A48" s="1689" t="s">
        <v>1296</v>
      </c>
      <c r="B48" s="1588" t="s">
        <v>1194</v>
      </c>
      <c r="C48" s="292">
        <f ca="1">C49+C53+C55</f>
        <v>0</v>
      </c>
      <c r="D48" s="1690"/>
      <c r="E48" s="1691"/>
      <c r="F48" s="1692"/>
      <c r="G48" s="1688"/>
      <c r="H48" s="1693"/>
      <c r="I48" s="808" t="s">
        <v>1297</v>
      </c>
      <c r="J48" s="1779"/>
      <c r="K48" s="1780" t="s">
        <v>1299</v>
      </c>
      <c r="L48" s="1781">
        <f ca="1">INDIRECT("'数据-取费表'!f"&amp;$G$1)</f>
        <v>0</v>
      </c>
      <c r="O48" s="1777" t="s">
        <v>1040</v>
      </c>
      <c r="P48" s="1778" t="s">
        <v>1300</v>
      </c>
      <c r="Q48" s="1816" t="e">
        <f ca="1">J60</f>
        <v>#DIV/0!</v>
      </c>
      <c r="R48" s="1816" t="s">
        <v>1301</v>
      </c>
    </row>
    <row r="49" spans="1:18" s="751" customFormat="1">
      <c r="A49" s="1694" t="s">
        <v>1302</v>
      </c>
      <c r="B49" s="1695" t="s">
        <v>1303</v>
      </c>
      <c r="C49" s="1696">
        <f ca="1">ROUND(F49*F51*F50*(1-F52),0)</f>
        <v>0</v>
      </c>
      <c r="D49" s="1697" t="s">
        <v>1381</v>
      </c>
      <c r="E49" s="1698" t="s">
        <v>1304</v>
      </c>
      <c r="F49" s="1699"/>
      <c r="G49" s="1700"/>
      <c r="H49" s="1693"/>
      <c r="I49" s="808" t="s">
        <v>1305</v>
      </c>
      <c r="J49" s="1782"/>
      <c r="K49" s="1780" t="s">
        <v>1306</v>
      </c>
      <c r="L49" s="1783"/>
      <c r="O49" s="1784" t="s">
        <v>1307</v>
      </c>
      <c r="P49" s="1778" t="s">
        <v>1308</v>
      </c>
      <c r="Q49" s="1816">
        <f ca="1">C29</f>
        <v>0</v>
      </c>
      <c r="R49" s="1816" t="s">
        <v>1295</v>
      </c>
    </row>
    <row r="50" spans="1:18" s="751" customFormat="1">
      <c r="A50" s="1701"/>
      <c r="B50" s="1702"/>
      <c r="C50" s="1703"/>
      <c r="D50" s="1704"/>
      <c r="E50" s="1705" t="s">
        <v>1200</v>
      </c>
      <c r="F50" s="1706">
        <f ca="1">F7</f>
        <v>0</v>
      </c>
      <c r="H50" s="1693"/>
      <c r="I50" s="808" t="s">
        <v>1309</v>
      </c>
      <c r="J50" s="1785">
        <f>SUMPRODUCT((I63:I65=J47)*(J62:L62=J48)*(J63:L65))</f>
        <v>0</v>
      </c>
      <c r="K50" s="1780" t="s">
        <v>1310</v>
      </c>
      <c r="L50" s="1783"/>
      <c r="M50" s="1786"/>
      <c r="O50" s="1784" t="s">
        <v>1311</v>
      </c>
      <c r="P50" s="1778" t="s">
        <v>1312</v>
      </c>
      <c r="Q50" s="1817" t="e">
        <f ca="1">J58</f>
        <v>#DIV/0!</v>
      </c>
      <c r="R50" s="1816"/>
    </row>
    <row r="51" spans="1:18" s="751" customFormat="1">
      <c r="A51" s="1707"/>
      <c r="B51" s="1702"/>
      <c r="C51" s="1703"/>
      <c r="D51" s="1704"/>
      <c r="E51" s="1708" t="s">
        <v>1201</v>
      </c>
      <c r="F51" s="1597">
        <f ca="1">F8</f>
        <v>0</v>
      </c>
      <c r="I51" s="1787" t="s">
        <v>1313</v>
      </c>
      <c r="J51" s="1788">
        <f>IF(J49="",J50,J49+J50-YEAR('数据-取费表'!B2))</f>
        <v>0</v>
      </c>
      <c r="K51" s="1789" t="s">
        <v>1314</v>
      </c>
      <c r="L51" s="1790">
        <f ca="1">ROUND(-PV(INDIRECT("'数据-取费表'!h"&amp;$G$1),L48,(C39-C13*C76),0),0)</f>
        <v>0</v>
      </c>
      <c r="M51" s="1791"/>
      <c r="O51" s="1784" t="s">
        <v>1315</v>
      </c>
      <c r="P51" s="1778" t="s">
        <v>1316</v>
      </c>
      <c r="Q51" s="1817">
        <f>J52</f>
        <v>0</v>
      </c>
      <c r="R51" s="1816"/>
    </row>
    <row r="52" spans="1:18" s="751" customFormat="1">
      <c r="A52" s="1707"/>
      <c r="B52" s="1702"/>
      <c r="C52" s="1703"/>
      <c r="D52" s="1704"/>
      <c r="E52" s="1708" t="s">
        <v>1202</v>
      </c>
      <c r="F52" s="1709"/>
      <c r="I52" s="1792" t="s">
        <v>1317</v>
      </c>
      <c r="J52" s="1793"/>
      <c r="K52" s="1792" t="s">
        <v>1318</v>
      </c>
      <c r="L52" s="1793"/>
      <c r="O52" s="1784" t="s">
        <v>1319</v>
      </c>
      <c r="P52" s="1778" t="s">
        <v>1320</v>
      </c>
      <c r="Q52" s="1816" t="b">
        <f>J53</f>
        <v>0</v>
      </c>
      <c r="R52" s="1816" t="s">
        <v>1321</v>
      </c>
    </row>
    <row r="53" spans="1:18" s="751" customFormat="1" ht="30.75" customHeight="1">
      <c r="A53" s="1710" t="s">
        <v>1322</v>
      </c>
      <c r="B53" s="1637" t="s">
        <v>1203</v>
      </c>
      <c r="C53" s="290">
        <f ca="1">ROUND(IF(F53="押一",C49/12*F11,IF(F53="押二",C49/12*2*F11,IF(F53="押三",C49/12*3*F11,C54*F11))),0)</f>
        <v>0</v>
      </c>
      <c r="D53" s="1606" t="s">
        <v>1382</v>
      </c>
      <c r="E53" s="1607" t="s">
        <v>1205</v>
      </c>
      <c r="F53" s="1608"/>
      <c r="I53" s="1794" t="s">
        <v>1323</v>
      </c>
      <c r="J53" s="1795" t="b">
        <f>IF(M47="住宅",IF(D1="——",MAX(J51,L48),IF(D1="在建（套用方法）",MAX(J51,L48-'数据-取费表'!B24),MAX(J51,L48-'数据-取费表'!B20))),IF(D1="——",MIN(J51,L48),IF(D1="在建（套用方法）",MIN(J51,L48-'数据-取费表'!B24),IF(D1="土地（套用方法）",MIN(J51,L48-'数据-取费表'!B20)))))</f>
        <v>0</v>
      </c>
      <c r="K53" s="3208" t="s">
        <v>1324</v>
      </c>
      <c r="L53" s="3209"/>
      <c r="O53" s="1777" t="s">
        <v>1144</v>
      </c>
      <c r="P53" s="1778" t="s">
        <v>1325</v>
      </c>
      <c r="Q53" s="1816" t="e">
        <f ca="1">Q47+Q48</f>
        <v>#DIV/0!</v>
      </c>
      <c r="R53" s="1816" t="s">
        <v>1326</v>
      </c>
    </row>
    <row r="54" spans="1:18" s="751" customFormat="1">
      <c r="A54" s="1694"/>
      <c r="B54" s="1711" t="s">
        <v>1379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#DIV/0!</v>
      </c>
      <c r="K55" s="1800" t="s">
        <v>1329</v>
      </c>
      <c r="L55" s="1801"/>
      <c r="O55" s="1770" t="s">
        <v>1287</v>
      </c>
      <c r="P55" s="1771" t="s">
        <v>1288</v>
      </c>
      <c r="Q55" s="1815" t="s">
        <v>1289</v>
      </c>
      <c r="R55" s="1815" t="s">
        <v>1290</v>
      </c>
    </row>
    <row r="56" spans="1:18" s="751" customFormat="1" ht="36" customHeight="1">
      <c r="A56" s="1714">
        <v>2</v>
      </c>
      <c r="B56" s="1715" t="s">
        <v>1211</v>
      </c>
      <c r="C56" s="184">
        <f ca="1">C13</f>
        <v>0</v>
      </c>
      <c r="D56" s="1716"/>
      <c r="E56" s="1717"/>
      <c r="F56" s="1713"/>
      <c r="I56" s="1802" t="s">
        <v>1331</v>
      </c>
      <c r="J56" s="1803"/>
      <c r="K56" s="808" t="s">
        <v>1332</v>
      </c>
      <c r="L56" s="1781">
        <f ca="1">IF(L48&lt;J51,"——",L48-J51)</f>
        <v>0</v>
      </c>
      <c r="O56" s="1777" t="s">
        <v>1036</v>
      </c>
      <c r="P56" s="1778" t="s">
        <v>1294</v>
      </c>
      <c r="Q56" s="1816" t="e">
        <f ca="1">C40+J29</f>
        <v>#DIV/0!</v>
      </c>
      <c r="R56" s="1816" t="s">
        <v>1295</v>
      </c>
    </row>
    <row r="57" spans="1:18" s="751" customFormat="1" ht="24">
      <c r="A57" s="1718"/>
      <c r="B57" s="1719" t="s">
        <v>1274</v>
      </c>
      <c r="C57" s="194">
        <f ca="1">C29</f>
        <v>0</v>
      </c>
      <c r="D57" s="1720"/>
      <c r="E57" s="1721"/>
      <c r="F57" s="1722"/>
      <c r="I57" s="1804" t="s">
        <v>1333</v>
      </c>
      <c r="J57" s="1805">
        <f ca="1">IF(OR(M47="住宅",J51&lt;L48,J56="是"),"——",J51-L48)</f>
        <v>0</v>
      </c>
      <c r="K57" s="808" t="s">
        <v>1383</v>
      </c>
      <c r="L57" s="1781">
        <f ca="1">IF(L48&lt;J51,"——",IF(L55="比较法",L49,IF(L55="基准地价",L50,L51)))</f>
        <v>0</v>
      </c>
      <c r="O57" s="1777" t="s">
        <v>1040</v>
      </c>
      <c r="P57" s="1778" t="s">
        <v>1335</v>
      </c>
      <c r="Q57" s="1816" t="e">
        <f ca="1">L60</f>
        <v>#DIV/0!</v>
      </c>
      <c r="R57" s="1816" t="s">
        <v>1336</v>
      </c>
    </row>
    <row r="58" spans="1:18" s="751" customFormat="1" ht="24">
      <c r="A58" s="1723" t="s">
        <v>1219</v>
      </c>
      <c r="B58" s="1715" t="s">
        <v>1220</v>
      </c>
      <c r="C58" s="290">
        <f ca="1">ROUND(C59+C64+C65+C66,0)</f>
        <v>0</v>
      </c>
      <c r="D58" s="1724" t="s">
        <v>1221</v>
      </c>
      <c r="E58" s="1725"/>
      <c r="F58" s="1692"/>
      <c r="I58" s="1804" t="s">
        <v>1337</v>
      </c>
      <c r="J58" s="1806" t="e">
        <f ca="1">IF(J55&lt;0.4,0.4,J55)</f>
        <v>#DIV/0!</v>
      </c>
      <c r="K58" s="1789" t="s">
        <v>1384</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ROUND(IF(项目基本情况!B11="自然人",C48*F59,C60+C61+C62),0)</f>
        <v>0</v>
      </c>
      <c r="D59" s="1726" t="s">
        <v>1227</v>
      </c>
      <c r="E59" s="1727" t="s">
        <v>1228</v>
      </c>
      <c r="F59" s="1650" t="str">
        <f ca="1">IF(项目基本情况!B11="企业","",IF(INDIRECT("'数据-取费表'!c"&amp;$G$1)="住宅",5%,IF(F49*F50*F51/12/(1+'数据-取费表'!C42)&gt;20000,12%,7%)))</f>
        <v/>
      </c>
      <c r="I59" s="1804" t="s">
        <v>1340</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IF(项目基本情况!B11="自然人","——",ROUND(C48*F60/(1+'数据-取费表'!C42),0))</f>
        <v>0</v>
      </c>
      <c r="D60" s="1727" t="s">
        <v>1231</v>
      </c>
      <c r="E60" s="1719" t="s">
        <v>1218</v>
      </c>
      <c r="F60" s="1641">
        <f t="shared" ref="F60:F66" si="0">F32</f>
        <v>5.5E-2</v>
      </c>
      <c r="I60" s="1807" t="s">
        <v>1342</v>
      </c>
      <c r="J60" s="1808" t="e">
        <f ca="1">IF(OR(M47="住宅",J51&lt;L48,J56="是"),"0",ROUND(J59/(1+J52)^J53,0))</f>
        <v>#DIV/0!</v>
      </c>
      <c r="K60" s="1809" t="s">
        <v>1343</v>
      </c>
      <c r="L60" s="1808" t="e">
        <f ca="1">IF(OR(M47="住宅",L48&lt;J51),0,ROUND(L57*(L58/L59-1),0))</f>
        <v>#DIV/0!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IF(项目基本情况!B11="自然人","——",IF(D61="按租金收入计税",ROUND(C48*F61,0),IF(D61="按房产原值计税",ROUND(C57*F61*0.7,0),INDIRECT("'数据-取费表'!Aj"&amp;$G$1))))</f>
        <v>0</v>
      </c>
      <c r="D61" s="1651" t="s">
        <v>1235</v>
      </c>
      <c r="E61" s="1719" t="s">
        <v>1218</v>
      </c>
      <c r="F61" s="1634">
        <f t="shared" si="0"/>
        <v>1.2E-2</v>
      </c>
      <c r="I61" s="1810"/>
      <c r="J61" s="1810"/>
      <c r="K61" s="1810"/>
      <c r="L61" s="1810"/>
      <c r="O61" s="1784" t="s">
        <v>1319</v>
      </c>
      <c r="P61" s="1778" t="str">
        <f>K59</f>
        <v>建设期及建筑物耐用年限下的土地年期修正系数Kn</v>
      </c>
      <c r="Q61" s="1816" t="e">
        <f ca="1">L59</f>
        <v>#DIV/0!</v>
      </c>
      <c r="R61" s="1816" t="s">
        <v>1346</v>
      </c>
    </row>
    <row r="62" spans="1:18" s="751" customFormat="1">
      <c r="A62" s="1625" t="s">
        <v>875</v>
      </c>
      <c r="B62" s="1728" t="s">
        <v>1238</v>
      </c>
      <c r="C62" s="1653">
        <f ca="1">IF(项目基本情况!B11="自然人","——",ROUND(F62*F63,0))</f>
        <v>0</v>
      </c>
      <c r="D62" s="1729" t="s">
        <v>1239</v>
      </c>
      <c r="E62" s="1719" t="s">
        <v>1240</v>
      </c>
      <c r="F62" s="1640">
        <f t="shared" si="0"/>
        <v>4</v>
      </c>
      <c r="I62" s="1811" t="s">
        <v>1347</v>
      </c>
      <c r="J62" s="1812" t="s">
        <v>1348</v>
      </c>
      <c r="K62" s="1812" t="s">
        <v>1349</v>
      </c>
      <c r="L62" s="1812" t="s">
        <v>1350</v>
      </c>
      <c r="M62" s="1813" t="s">
        <v>1351</v>
      </c>
      <c r="O62" s="1777" t="s">
        <v>1144</v>
      </c>
      <c r="P62" s="1778" t="s">
        <v>1325</v>
      </c>
      <c r="Q62" s="1816" t="e">
        <f ca="1">Q56+Q57</f>
        <v>#DIV/0!</v>
      </c>
      <c r="R62" s="1816" t="s">
        <v>1326</v>
      </c>
    </row>
    <row r="63" spans="1:18" s="751" customFormat="1">
      <c r="A63" s="1638"/>
      <c r="B63" s="1730"/>
      <c r="C63" s="1657"/>
      <c r="D63" s="1731"/>
      <c r="E63" s="1719" t="s">
        <v>1244</v>
      </c>
      <c r="F63" s="1597">
        <f t="shared" ca="1" si="0"/>
        <v>0</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ROUND(C57*F64,0)</f>
        <v>0</v>
      </c>
      <c r="D64" s="1727" t="s">
        <v>1279</v>
      </c>
      <c r="E64" s="1719" t="s">
        <v>1218</v>
      </c>
      <c r="F64" s="1660">
        <f t="shared" ca="1" si="0"/>
        <v>0</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ROUND(C56*F65,0)</f>
        <v>0</v>
      </c>
      <c r="D65" s="1727" t="s">
        <v>1251</v>
      </c>
      <c r="E65" s="1719" t="s">
        <v>1218</v>
      </c>
      <c r="F65" s="1661">
        <f t="shared" ca="1" si="0"/>
        <v>0</v>
      </c>
      <c r="I65" s="1811" t="s">
        <v>1355</v>
      </c>
      <c r="J65" s="1812">
        <v>40</v>
      </c>
      <c r="K65" s="1812">
        <v>30</v>
      </c>
      <c r="L65" s="1812">
        <v>50</v>
      </c>
      <c r="M65" s="1814">
        <v>0.02</v>
      </c>
      <c r="O65" s="1777" t="s">
        <v>1036</v>
      </c>
      <c r="P65" s="1778" t="s">
        <v>1294</v>
      </c>
      <c r="Q65" s="1816" t="e">
        <f ca="1">C40+J29</f>
        <v>#DIV/0!</v>
      </c>
      <c r="R65" s="1816" t="s">
        <v>1295</v>
      </c>
    </row>
    <row r="66" spans="1:18" s="751" customFormat="1" ht="15.75">
      <c r="A66" s="1625" t="s">
        <v>896</v>
      </c>
      <c r="B66" s="1719" t="s">
        <v>1236</v>
      </c>
      <c r="C66" s="291">
        <f ca="1">ROUND(C48*F66,0)</f>
        <v>0</v>
      </c>
      <c r="D66" s="1727" t="s">
        <v>1254</v>
      </c>
      <c r="E66" s="1719" t="s">
        <v>1218</v>
      </c>
      <c r="F66" s="1604">
        <f t="shared" ca="1" si="0"/>
        <v>0</v>
      </c>
      <c r="O66" s="1777" t="s">
        <v>1040</v>
      </c>
      <c r="P66" s="1778" t="s">
        <v>1335</v>
      </c>
      <c r="Q66" s="1816" t="e">
        <f ca="1">L60</f>
        <v>#DIV/0!</v>
      </c>
      <c r="R66" s="1816" t="s">
        <v>1336</v>
      </c>
    </row>
    <row r="67" spans="1:18" s="751" customFormat="1" ht="15.75">
      <c r="A67" s="1714" t="s">
        <v>1257</v>
      </c>
      <c r="B67" s="1818" t="s">
        <v>1258</v>
      </c>
      <c r="C67" s="290">
        <f ca="1">C48-C58</f>
        <v>0</v>
      </c>
      <c r="D67" s="1726" t="s">
        <v>1259</v>
      </c>
      <c r="E67" s="1819"/>
      <c r="F67" s="1820"/>
      <c r="O67" s="1784" t="s">
        <v>1307</v>
      </c>
      <c r="P67" s="1778" t="s">
        <v>1339</v>
      </c>
      <c r="Q67" s="1840">
        <f ca="1">L51</f>
        <v>0</v>
      </c>
      <c r="R67" s="1816" t="s">
        <v>1356</v>
      </c>
    </row>
    <row r="68" spans="1:18" s="751" customFormat="1" ht="15.75">
      <c r="A68" s="1821" t="s">
        <v>1263</v>
      </c>
      <c r="B68" s="1822" t="s">
        <v>1280</v>
      </c>
      <c r="C68" s="1666" t="e">
        <f ca="1">ROUND(C67*(1-((1+F70)/(1+F68))^F69)/(F68-F70),0)</f>
        <v>#DIV/0!</v>
      </c>
      <c r="D68" s="1729" t="s">
        <v>1265</v>
      </c>
      <c r="E68" s="1719" t="s">
        <v>1266</v>
      </c>
      <c r="F68" s="1604">
        <f ca="1">F40</f>
        <v>0</v>
      </c>
      <c r="O68" s="1784" t="s">
        <v>1311</v>
      </c>
      <c r="P68" s="1839" t="s">
        <v>1357</v>
      </c>
      <c r="Q68" s="1816">
        <f ca="1">ROUND(Q69-Q70*Q71,0)</f>
        <v>0</v>
      </c>
      <c r="R68" s="1816" t="s">
        <v>1358</v>
      </c>
    </row>
    <row r="69" spans="1:18" s="751" customFormat="1">
      <c r="A69" s="1823"/>
      <c r="B69" s="1824"/>
      <c r="C69" s="1603"/>
      <c r="D69" s="1825" t="s">
        <v>1269</v>
      </c>
      <c r="E69" s="1719" t="s">
        <v>1270</v>
      </c>
      <c r="F69" s="1670">
        <f ca="1">F41</f>
        <v>0</v>
      </c>
      <c r="O69" s="1784" t="s">
        <v>1359</v>
      </c>
      <c r="P69" s="1839" t="s">
        <v>1360</v>
      </c>
      <c r="Q69" s="1816">
        <f ca="1">C39</f>
        <v>0</v>
      </c>
      <c r="R69" s="1816" t="s">
        <v>1295</v>
      </c>
    </row>
    <row r="70" spans="1:18" s="751" customFormat="1">
      <c r="A70" s="1826"/>
      <c r="B70" s="1827"/>
      <c r="C70" s="1622"/>
      <c r="D70" s="1731"/>
      <c r="E70" s="1719" t="s">
        <v>1273</v>
      </c>
      <c r="F70" s="1709">
        <f ca="1">F42</f>
        <v>0</v>
      </c>
      <c r="O70" s="1784" t="s">
        <v>1361</v>
      </c>
      <c r="P70" s="1839" t="s">
        <v>1362</v>
      </c>
      <c r="Q70" s="1816">
        <f ca="1">C13</f>
        <v>0</v>
      </c>
      <c r="R70" s="1816" t="s">
        <v>1295</v>
      </c>
    </row>
    <row r="71" spans="1:18" s="751" customFormat="1">
      <c r="A71" s="1828" t="s">
        <v>1275</v>
      </c>
      <c r="B71" s="1829" t="s">
        <v>1281</v>
      </c>
      <c r="C71" s="1674" t="e">
        <f ca="1">ROUND(C68/F71,0)</f>
        <v>#DIV/0!</v>
      </c>
      <c r="D71" s="1830" t="s">
        <v>1282</v>
      </c>
      <c r="E71" s="1831" t="s">
        <v>1283</v>
      </c>
      <c r="F71" s="1677">
        <f ca="1">F43</f>
        <v>0</v>
      </c>
      <c r="O71" s="1784" t="s">
        <v>1363</v>
      </c>
      <c r="P71" s="1839" t="s">
        <v>1364</v>
      </c>
      <c r="Q71" s="1817">
        <f ca="1">C76</f>
        <v>0</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建设期及建筑物耐用年限下的土地年期修正系数Kn</v>
      </c>
      <c r="Q74" s="1816" t="e">
        <f ca="1">L59</f>
        <v>#DIV/0!</v>
      </c>
      <c r="R74" s="1816" t="s">
        <v>1346</v>
      </c>
    </row>
    <row r="75" spans="1:18">
      <c r="A75" s="751"/>
      <c r="B75" s="1833" t="s">
        <v>1367</v>
      </c>
      <c r="C75" s="1834">
        <f ca="1">ROUND(C13*C76,0)</f>
        <v>0</v>
      </c>
      <c r="D75" s="751"/>
      <c r="E75" s="751"/>
      <c r="F75" s="751"/>
      <c r="K75" s="1764"/>
      <c r="L75" s="751"/>
      <c r="O75" s="1777" t="s">
        <v>1144</v>
      </c>
      <c r="P75" s="1778" t="s">
        <v>1325</v>
      </c>
      <c r="Q75" s="1816" t="e">
        <f ca="1">Q65+Q66</f>
        <v>#DIV/0!</v>
      </c>
      <c r="R75" s="1816" t="s">
        <v>1326</v>
      </c>
    </row>
    <row r="76" spans="1:18">
      <c r="B76" s="572" t="s">
        <v>1368</v>
      </c>
      <c r="C76" s="1835">
        <f ca="1">INDIRECT("'数据-取费表'!j"&amp;$G$1)</f>
        <v>0</v>
      </c>
      <c r="I76" s="751"/>
      <c r="J76" s="751"/>
      <c r="K76" s="1764"/>
      <c r="L76" s="751"/>
    </row>
    <row r="77" spans="1:18">
      <c r="B77" s="1836" t="s">
        <v>1369</v>
      </c>
      <c r="C77" s="1837"/>
      <c r="I77" s="751"/>
      <c r="J77" s="751"/>
      <c r="K77" s="1764"/>
      <c r="L77" s="751"/>
    </row>
    <row r="78" spans="1:18">
      <c r="B78" s="224" t="s">
        <v>1370</v>
      </c>
      <c r="C78" s="1838"/>
    </row>
    <row r="79" spans="1:18">
      <c r="B79" s="1833" t="s">
        <v>1371</v>
      </c>
      <c r="C79" s="227" t="e">
        <f ca="1">1-C80</f>
        <v>#DIV/0!</v>
      </c>
    </row>
    <row r="80" spans="1:18">
      <c r="B80" s="1833" t="s">
        <v>1372</v>
      </c>
      <c r="C80" s="227" t="e">
        <f ca="1">ROUND(C75/C39,3)</f>
        <v>#DIV/0!</v>
      </c>
    </row>
    <row r="81" spans="2:3">
      <c r="B81" s="224" t="s">
        <v>1373</v>
      </c>
      <c r="C81" s="194"/>
    </row>
    <row r="82" spans="2:3">
      <c r="B82" s="226" t="s">
        <v>1117</v>
      </c>
      <c r="C82" s="228" t="e">
        <f ca="1">1-C83</f>
        <v>#DIV/0!</v>
      </c>
    </row>
    <row r="83" spans="2:3">
      <c r="B83" s="226" t="s">
        <v>1118</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1385</v>
      </c>
      <c r="B1" s="1542"/>
      <c r="C1" s="1542"/>
      <c r="D1" s="1542"/>
      <c r="E1" s="1543"/>
    </row>
    <row r="2" spans="1:6" ht="15.75">
      <c r="A2" s="1544" t="s">
        <v>935</v>
      </c>
      <c r="B2" s="1545">
        <f ca="1">SUMIF(B6:B13,"&lt;&gt;#ref!",B6:B13)</f>
        <v>5151</v>
      </c>
      <c r="C2" s="1546" t="s">
        <v>1386</v>
      </c>
      <c r="D2" s="1547" t="s">
        <v>1387</v>
      </c>
      <c r="E2" s="1548">
        <f>SUM(E6:E13)</f>
        <v>17987.810000000001</v>
      </c>
    </row>
    <row r="3" spans="1:6" ht="15.75">
      <c r="A3" s="1544" t="s">
        <v>936</v>
      </c>
      <c r="B3" s="1545">
        <f ca="1">ROUND(B2*10000/E2,0)</f>
        <v>2864</v>
      </c>
      <c r="C3" s="1546" t="s">
        <v>1388</v>
      </c>
      <c r="D3" s="1549"/>
      <c r="E3" s="1550"/>
    </row>
    <row r="4" spans="1:6" ht="15.75">
      <c r="A4" s="1551"/>
      <c r="B4" s="1549"/>
      <c r="C4" s="1549"/>
      <c r="D4" s="1549"/>
      <c r="E4" s="1550"/>
    </row>
    <row r="5" spans="1:6" ht="15">
      <c r="A5" s="1552" t="s">
        <v>1389</v>
      </c>
      <c r="B5" s="3213" t="s">
        <v>1390</v>
      </c>
      <c r="C5" s="3213"/>
      <c r="D5" s="1553"/>
      <c r="E5" s="1554" t="s">
        <v>1391</v>
      </c>
      <c r="F5" s="508" t="s">
        <v>1392</v>
      </c>
    </row>
    <row r="6" spans="1:6">
      <c r="A6" s="1555" t="str">
        <f>'数据-取费表'!AN6</f>
        <v>收益法</v>
      </c>
      <c r="B6" s="508">
        <f ca="1">IF(F6="是",'数据-取费表'!AO6,0)</f>
        <v>5151</v>
      </c>
      <c r="C6" s="1546" t="s">
        <v>1386</v>
      </c>
      <c r="D6" s="1549"/>
      <c r="E6" s="1556">
        <f>IF(OR(A6=0,F6="否"),0,'数据-取费表'!K6+'数据-取费表'!S6)</f>
        <v>17987.810000000001</v>
      </c>
      <c r="F6" s="1557" t="s">
        <v>1393</v>
      </c>
    </row>
    <row r="7" spans="1:6">
      <c r="A7" s="1555">
        <f>'数据-取费表'!AN7</f>
        <v>0</v>
      </c>
      <c r="B7" s="508" t="e">
        <f ca="1">IF(F7="是",'数据-取费表'!AO7,0)</f>
        <v>#REF!</v>
      </c>
      <c r="C7" s="1546" t="s">
        <v>1386</v>
      </c>
      <c r="D7" s="1549"/>
      <c r="E7" s="1556">
        <f>IF(OR(A7=0,F7="否"),0,'数据-取费表'!K7+'数据-取费表'!S7)</f>
        <v>0</v>
      </c>
      <c r="F7" s="1557" t="s">
        <v>1393</v>
      </c>
    </row>
    <row r="8" spans="1:6">
      <c r="A8" s="1555">
        <f>'数据-取费表'!AN8</f>
        <v>0</v>
      </c>
      <c r="B8" s="508" t="e">
        <f ca="1">IF(F8="是",'数据-取费表'!AO8,0)</f>
        <v>#REF!</v>
      </c>
      <c r="C8" s="1546" t="s">
        <v>1386</v>
      </c>
      <c r="D8" s="1549"/>
      <c r="E8" s="1556">
        <f>IF(OR(A8=0,F8="否"),0,'数据-取费表'!K8+'数据-取费表'!S8)</f>
        <v>0</v>
      </c>
      <c r="F8" s="1557" t="s">
        <v>1393</v>
      </c>
    </row>
    <row r="9" spans="1:6">
      <c r="A9" s="1555">
        <f>'数据-取费表'!AN9</f>
        <v>0</v>
      </c>
      <c r="B9" s="508" t="e">
        <f ca="1">IF(F9="是",'数据-取费表'!AO9,0)</f>
        <v>#REF!</v>
      </c>
      <c r="C9" s="1546" t="s">
        <v>1386</v>
      </c>
      <c r="D9" s="1549"/>
      <c r="E9" s="1556">
        <f>IF(OR(A9=0,F9="否"),0,'数据-取费表'!K9+'数据-取费表'!S9)</f>
        <v>0</v>
      </c>
      <c r="F9" s="1557" t="s">
        <v>1393</v>
      </c>
    </row>
    <row r="10" spans="1:6">
      <c r="A10" s="1555">
        <f>'数据-取费表'!AN10</f>
        <v>0</v>
      </c>
      <c r="B10" s="508" t="e">
        <f ca="1">IF(F10="是",'数据-取费表'!AO10,0)</f>
        <v>#REF!</v>
      </c>
      <c r="C10" s="1546" t="s">
        <v>1386</v>
      </c>
      <c r="D10" s="1549"/>
      <c r="E10" s="1556">
        <f>IF(OR(A10=0,F10="否"),0,'数据-取费表'!K10+'数据-取费表'!S10)</f>
        <v>0</v>
      </c>
      <c r="F10" s="1557" t="s">
        <v>1393</v>
      </c>
    </row>
    <row r="11" spans="1:6">
      <c r="A11" s="1555">
        <f>'数据-取费表'!AN11</f>
        <v>0</v>
      </c>
      <c r="B11" s="508" t="e">
        <f ca="1">IF(F11="是",'数据-取费表'!AO11,0)</f>
        <v>#REF!</v>
      </c>
      <c r="C11" s="1546" t="s">
        <v>1386</v>
      </c>
      <c r="D11" s="1549"/>
      <c r="E11" s="1556">
        <f>IF(OR(A11=0,F11="否"),0,'数据-取费表'!K11+'数据-取费表'!S11)</f>
        <v>0</v>
      </c>
      <c r="F11" s="1557" t="s">
        <v>1393</v>
      </c>
    </row>
    <row r="12" spans="1:6">
      <c r="A12" s="1555">
        <f>'数据-取费表'!AN12</f>
        <v>0</v>
      </c>
      <c r="B12" s="508" t="e">
        <f ca="1">IF(F12="是",'数据-取费表'!AO12,0)</f>
        <v>#REF!</v>
      </c>
      <c r="C12" s="1546" t="s">
        <v>1386</v>
      </c>
      <c r="D12" s="1549"/>
      <c r="E12" s="1556">
        <f>IF(OR(A12=0,F12="否"),0,'数据-取费表'!K12+'数据-取费表'!S12)</f>
        <v>0</v>
      </c>
      <c r="F12" s="1557" t="s">
        <v>1393</v>
      </c>
    </row>
    <row r="13" spans="1:6">
      <c r="A13" s="1558">
        <f>'数据-取费表'!AN13</f>
        <v>0</v>
      </c>
      <c r="B13" s="508" t="e">
        <f ca="1">IF(F13="是",'数据-取费表'!AO13,0)</f>
        <v>#REF!</v>
      </c>
      <c r="C13" s="1559" t="s">
        <v>1386</v>
      </c>
      <c r="D13" s="1560"/>
      <c r="E13" s="1556">
        <f>IF(OR(A13=0,F13="否"),0,'数据-取费表'!K13+'数据-取费表'!S13)</f>
        <v>0</v>
      </c>
      <c r="F13" s="1557" t="s">
        <v>1393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0" t="s">
        <v>1394</v>
      </c>
      <c r="B1" s="3231"/>
      <c r="C1" s="3232"/>
      <c r="D1" s="3233">
        <f>SUM(I10,I15,I20,I21,I23)</f>
        <v>0</v>
      </c>
      <c r="E1" s="3233"/>
      <c r="F1" s="3233"/>
      <c r="G1" s="3233"/>
      <c r="H1" s="3233"/>
      <c r="I1" s="3234"/>
    </row>
    <row r="2" spans="1:9">
      <c r="A2" s="3219" t="s">
        <v>1395</v>
      </c>
      <c r="B2" s="3229" t="s">
        <v>1396</v>
      </c>
      <c r="C2" s="3229"/>
      <c r="D2" s="1512" t="s">
        <v>1397</v>
      </c>
      <c r="E2" s="1512" t="s">
        <v>1398</v>
      </c>
      <c r="F2" s="1512" t="s">
        <v>1399</v>
      </c>
      <c r="G2" s="1512" t="s">
        <v>1400</v>
      </c>
      <c r="H2" s="1512" t="s">
        <v>1401</v>
      </c>
      <c r="I2" s="1536" t="s">
        <v>1402</v>
      </c>
    </row>
    <row r="3" spans="1:9">
      <c r="A3" s="3219"/>
      <c r="B3" s="3229" t="s">
        <v>1403</v>
      </c>
      <c r="C3" s="3229"/>
      <c r="D3" s="1513"/>
      <c r="E3" s="1512"/>
      <c r="F3" s="1514"/>
      <c r="G3" s="1514"/>
      <c r="H3" s="1515"/>
      <c r="I3" s="1537">
        <f>ROUND(D3*E3*F3*G3*H3/10000,0)</f>
        <v>0</v>
      </c>
    </row>
    <row r="4" spans="1:9">
      <c r="A4" s="3219"/>
      <c r="B4" s="3229" t="s">
        <v>1404</v>
      </c>
      <c r="C4" s="3229"/>
      <c r="D4" s="1513"/>
      <c r="E4" s="1512"/>
      <c r="F4" s="1514"/>
      <c r="G4" s="1514"/>
      <c r="H4" s="1515"/>
      <c r="I4" s="1537">
        <f t="shared" ref="I4:I9" si="0">ROUND(D4*E4*F4*G4*H4/10000,0)</f>
        <v>0</v>
      </c>
    </row>
    <row r="5" spans="1:9">
      <c r="A5" s="3219"/>
      <c r="B5" s="3229" t="s">
        <v>1405</v>
      </c>
      <c r="C5" s="3229"/>
      <c r="D5" s="1513"/>
      <c r="E5" s="1512"/>
      <c r="F5" s="1514"/>
      <c r="G5" s="1514"/>
      <c r="H5" s="1515"/>
      <c r="I5" s="1537">
        <f t="shared" si="0"/>
        <v>0</v>
      </c>
    </row>
    <row r="6" spans="1:9">
      <c r="A6" s="3219"/>
      <c r="B6" s="3229" t="s">
        <v>1406</v>
      </c>
      <c r="C6" s="3229"/>
      <c r="D6" s="1513"/>
      <c r="E6" s="1512"/>
      <c r="F6" s="1514"/>
      <c r="G6" s="1514"/>
      <c r="H6" s="1515"/>
      <c r="I6" s="1537">
        <f t="shared" si="0"/>
        <v>0</v>
      </c>
    </row>
    <row r="7" spans="1:9">
      <c r="A7" s="3219"/>
      <c r="B7" s="3229" t="s">
        <v>1407</v>
      </c>
      <c r="C7" s="3229"/>
      <c r="D7" s="1513"/>
      <c r="E7" s="1512"/>
      <c r="F7" s="1514"/>
      <c r="G7" s="1514"/>
      <c r="H7" s="1515"/>
      <c r="I7" s="1537">
        <f t="shared" si="0"/>
        <v>0</v>
      </c>
    </row>
    <row r="8" spans="1:9">
      <c r="A8" s="3219"/>
      <c r="B8" s="3229" t="s">
        <v>1408</v>
      </c>
      <c r="C8" s="3229"/>
      <c r="D8" s="1513"/>
      <c r="E8" s="1512"/>
      <c r="F8" s="1514"/>
      <c r="G8" s="1514"/>
      <c r="H8" s="1515"/>
      <c r="I8" s="1537">
        <f t="shared" si="0"/>
        <v>0</v>
      </c>
    </row>
    <row r="9" spans="1:9">
      <c r="A9" s="3219"/>
      <c r="B9" s="3229" t="s">
        <v>1409</v>
      </c>
      <c r="C9" s="3229"/>
      <c r="D9" s="1513"/>
      <c r="E9" s="1512"/>
      <c r="F9" s="1514"/>
      <c r="G9" s="1514"/>
      <c r="H9" s="1515"/>
      <c r="I9" s="1537">
        <f t="shared" si="0"/>
        <v>0</v>
      </c>
    </row>
    <row r="10" spans="1:9">
      <c r="A10" s="3219"/>
      <c r="B10" s="3227" t="s">
        <v>485</v>
      </c>
      <c r="C10" s="3227"/>
      <c r="D10" s="1516"/>
      <c r="E10" s="1516" t="e">
        <f>ROUND(D1*10000/D10/H9,0)</f>
        <v>#DIV/0!</v>
      </c>
      <c r="F10" s="1517"/>
      <c r="G10" s="1517"/>
      <c r="H10" s="1518"/>
      <c r="I10" s="1538">
        <f>SUM(I3:I9)</f>
        <v>0</v>
      </c>
    </row>
    <row r="11" spans="1:9" ht="14.25">
      <c r="A11" s="3219" t="s">
        <v>1410</v>
      </c>
      <c r="B11" s="3229" t="s">
        <v>1411</v>
      </c>
      <c r="C11" s="3229"/>
      <c r="D11" s="1513" t="s">
        <v>1412</v>
      </c>
      <c r="E11" s="1513" t="s">
        <v>1413</v>
      </c>
      <c r="F11" s="1514" t="s">
        <v>1414</v>
      </c>
      <c r="G11" s="1514" t="s">
        <v>1401</v>
      </c>
      <c r="H11" s="1519" t="s">
        <v>124</v>
      </c>
      <c r="I11" s="1536" t="s">
        <v>1402</v>
      </c>
    </row>
    <row r="12" spans="1:9">
      <c r="A12" s="3219"/>
      <c r="B12" s="3229" t="s">
        <v>1415</v>
      </c>
      <c r="C12" s="3229"/>
      <c r="D12" s="1513"/>
      <c r="E12" s="1513"/>
      <c r="F12" s="1514"/>
      <c r="G12" s="1515"/>
      <c r="H12" s="1520"/>
      <c r="I12" s="1536">
        <f>ROUND(D12*E12*F12*G12/10000,0)</f>
        <v>0</v>
      </c>
    </row>
    <row r="13" spans="1:9">
      <c r="A13" s="3219"/>
      <c r="B13" s="3229" t="s">
        <v>1416</v>
      </c>
      <c r="C13" s="3229"/>
      <c r="D13" s="1513"/>
      <c r="E13" s="1513"/>
      <c r="F13" s="1514"/>
      <c r="G13" s="1515"/>
      <c r="H13" s="1520"/>
      <c r="I13" s="1536">
        <f>ROUND(D13*E13*F13*G13/10000,0)</f>
        <v>0</v>
      </c>
    </row>
    <row r="14" spans="1:9">
      <c r="A14" s="3219"/>
      <c r="B14" s="3229" t="s">
        <v>1417</v>
      </c>
      <c r="C14" s="3229"/>
      <c r="D14" s="1513"/>
      <c r="E14" s="1513"/>
      <c r="F14" s="1514"/>
      <c r="G14" s="1515"/>
      <c r="H14" s="1520"/>
      <c r="I14" s="1536">
        <f>ROUND(D14*E14*F14*G14/10000,0)</f>
        <v>0</v>
      </c>
    </row>
    <row r="15" spans="1:9">
      <c r="A15" s="3219"/>
      <c r="B15" s="3227" t="s">
        <v>485</v>
      </c>
      <c r="C15" s="3227"/>
      <c r="D15" s="1516"/>
      <c r="E15" s="1516">
        <f>SUM(E12:E14)</f>
        <v>0</v>
      </c>
      <c r="F15" s="1517"/>
      <c r="G15" s="1515"/>
      <c r="H15" s="1520"/>
      <c r="I15" s="1539">
        <f>SUM(I12:I14)</f>
        <v>0</v>
      </c>
    </row>
    <row r="16" spans="1:9" ht="24">
      <c r="A16" s="3219" t="s">
        <v>1418</v>
      </c>
      <c r="B16" s="3229" t="s">
        <v>1419</v>
      </c>
      <c r="C16" s="3229"/>
      <c r="D16" s="1513" t="s">
        <v>1397</v>
      </c>
      <c r="E16" s="1521" t="s">
        <v>1420</v>
      </c>
      <c r="F16" s="1514" t="s">
        <v>1421</v>
      </c>
      <c r="G16" s="1515" t="s">
        <v>1401</v>
      </c>
      <c r="H16" s="1519" t="s">
        <v>124</v>
      </c>
      <c r="I16" s="1536" t="s">
        <v>1402</v>
      </c>
    </row>
    <row r="17" spans="1:9" ht="14.25">
      <c r="A17" s="3219"/>
      <c r="B17" s="3229" t="s">
        <v>1422</v>
      </c>
      <c r="C17" s="3229"/>
      <c r="D17" s="1513"/>
      <c r="E17" s="1513"/>
      <c r="F17" s="1514"/>
      <c r="G17" s="1515"/>
      <c r="H17" s="1522"/>
      <c r="I17" s="1540">
        <f>ROUND(D17*E17*F17*G17/10000,0)</f>
        <v>0</v>
      </c>
    </row>
    <row r="18" spans="1:9" ht="14.25">
      <c r="A18" s="3219"/>
      <c r="B18" s="3229" t="s">
        <v>1423</v>
      </c>
      <c r="C18" s="3229"/>
      <c r="D18" s="1513"/>
      <c r="E18" s="1513"/>
      <c r="F18" s="1514"/>
      <c r="G18" s="1515"/>
      <c r="H18" s="1522"/>
      <c r="I18" s="1540">
        <f>ROUND(D18*E18*F18*G18/10000,0)</f>
        <v>0</v>
      </c>
    </row>
    <row r="19" spans="1:9" ht="14.25">
      <c r="A19" s="3219"/>
      <c r="B19" s="3229" t="s">
        <v>1424</v>
      </c>
      <c r="C19" s="3229"/>
      <c r="D19" s="1513"/>
      <c r="E19" s="1513"/>
      <c r="F19" s="1514"/>
      <c r="G19" s="1515"/>
      <c r="H19" s="1522"/>
      <c r="I19" s="1540">
        <f>ROUND(D19*E19*F19*G19/10000,0)</f>
        <v>0</v>
      </c>
    </row>
    <row r="20" spans="1:9">
      <c r="A20" s="3219"/>
      <c r="B20" s="3227" t="s">
        <v>485</v>
      </c>
      <c r="C20" s="3227"/>
      <c r="D20" s="1516">
        <f>SUM(D17:D19)</f>
        <v>0</v>
      </c>
      <c r="E20" s="1516"/>
      <c r="F20" s="1517"/>
      <c r="G20" s="1515"/>
      <c r="H20" s="1520"/>
      <c r="I20" s="1539">
        <f>SUM(I17:I19)</f>
        <v>0</v>
      </c>
    </row>
    <row r="21" spans="1:9">
      <c r="A21" s="3219" t="s">
        <v>1425</v>
      </c>
      <c r="B21" s="3228"/>
      <c r="C21" s="3228"/>
      <c r="D21" s="3228"/>
      <c r="E21" s="3228"/>
      <c r="F21" s="3228"/>
      <c r="G21" s="3228"/>
      <c r="H21" s="1523">
        <v>0.1</v>
      </c>
      <c r="I21" s="1538">
        <f>ROUND(I10*H21,0)</f>
        <v>0</v>
      </c>
    </row>
    <row r="22" spans="1:9" ht="14.25">
      <c r="A22" s="3220" t="s">
        <v>1426</v>
      </c>
      <c r="B22" s="3221"/>
      <c r="C22" s="3222"/>
      <c r="D22" s="1524" t="s">
        <v>481</v>
      </c>
      <c r="E22" s="1524" t="s">
        <v>1427</v>
      </c>
      <c r="F22" s="1525" t="s">
        <v>1401</v>
      </c>
      <c r="G22" s="1525" t="s">
        <v>1428</v>
      </c>
      <c r="H22" s="1519" t="s">
        <v>124</v>
      </c>
      <c r="I22" s="1536" t="s">
        <v>1402</v>
      </c>
    </row>
    <row r="23" spans="1:9">
      <c r="A23" s="3223"/>
      <c r="B23" s="3224"/>
      <c r="C23" s="3225"/>
      <c r="D23" s="1526"/>
      <c r="E23" s="1526"/>
      <c r="F23" s="1526"/>
      <c r="G23" s="1527"/>
      <c r="H23" s="1528"/>
      <c r="I23" s="1541">
        <f>ROUND(E23*D23*F23*(1-G23)/10000,0)</f>
        <v>0</v>
      </c>
    </row>
    <row r="26" spans="1:9">
      <c r="A26" s="1529" t="s">
        <v>1429</v>
      </c>
      <c r="B26" s="1529"/>
      <c r="C26" s="1529"/>
      <c r="D26" s="1529"/>
      <c r="E26" s="3218">
        <f>C27-C30-C31-C32</f>
        <v>0</v>
      </c>
      <c r="F26" s="3218"/>
      <c r="G26" s="3218"/>
      <c r="H26" s="1530" t="s">
        <v>1430</v>
      </c>
    </row>
    <row r="27" spans="1:9">
      <c r="A27" s="1531">
        <v>1</v>
      </c>
      <c r="B27" s="1532" t="s">
        <v>1431</v>
      </c>
      <c r="C27" s="1532">
        <f>C28+C29</f>
        <v>0</v>
      </c>
      <c r="D27" s="1532"/>
      <c r="E27" s="3214"/>
      <c r="F27" s="3214"/>
      <c r="G27" s="3214"/>
    </row>
    <row r="28" spans="1:9">
      <c r="A28" s="1533" t="s">
        <v>1432</v>
      </c>
      <c r="B28" s="1532" t="s">
        <v>1433</v>
      </c>
      <c r="C28" s="1532"/>
      <c r="D28" s="1532"/>
      <c r="E28" s="3214"/>
      <c r="F28" s="3214"/>
      <c r="G28" s="3214"/>
    </row>
    <row r="29" spans="1:9">
      <c r="A29" s="1533" t="s">
        <v>1434</v>
      </c>
      <c r="B29" s="1532" t="s">
        <v>1435</v>
      </c>
      <c r="C29" s="1532"/>
      <c r="D29" s="1532"/>
      <c r="E29" s="1532" t="s">
        <v>1436</v>
      </c>
      <c r="F29" s="1532"/>
      <c r="G29" s="1532"/>
    </row>
    <row r="30" spans="1:9">
      <c r="A30" s="1531">
        <v>2</v>
      </c>
      <c r="B30" s="1532" t="s">
        <v>1437</v>
      </c>
      <c r="C30" s="1532">
        <f>C27*D30</f>
        <v>0</v>
      </c>
      <c r="D30" s="1534">
        <v>0.2</v>
      </c>
      <c r="E30" s="1532" t="s">
        <v>1438</v>
      </c>
      <c r="F30" s="1532"/>
      <c r="G30" s="1532"/>
    </row>
    <row r="31" spans="1:9">
      <c r="A31" s="1531">
        <v>3</v>
      </c>
      <c r="B31" s="1532" t="s">
        <v>1439</v>
      </c>
      <c r="C31" s="1532">
        <f>C25*D31</f>
        <v>0</v>
      </c>
      <c r="D31" s="1534">
        <v>0.15</v>
      </c>
      <c r="E31" s="1532" t="s">
        <v>1440</v>
      </c>
      <c r="F31" s="1532"/>
      <c r="G31" s="1532"/>
    </row>
    <row r="32" spans="1:9">
      <c r="A32" s="1531">
        <v>4</v>
      </c>
      <c r="B32" s="1532" t="s">
        <v>1441</v>
      </c>
      <c r="C32" s="1532">
        <f>C27*D32</f>
        <v>0</v>
      </c>
      <c r="D32" s="1534">
        <v>0.05</v>
      </c>
      <c r="E32" s="3226"/>
      <c r="F32" s="3226"/>
      <c r="G32" s="3226"/>
    </row>
    <row r="33" spans="1:7" hidden="1">
      <c r="A33" s="3215" t="s">
        <v>1442</v>
      </c>
      <c r="B33" s="3216"/>
      <c r="C33" s="3216"/>
      <c r="D33" s="3217"/>
      <c r="E33" s="3218"/>
      <c r="F33" s="3218"/>
      <c r="G33" s="3218"/>
    </row>
    <row r="34" spans="1:7" hidden="1">
      <c r="A34" s="1535">
        <v>1</v>
      </c>
      <c r="B34" s="1532" t="s">
        <v>1443</v>
      </c>
      <c r="C34" s="1532"/>
      <c r="D34" s="1532"/>
      <c r="E34" s="3214"/>
      <c r="F34" s="3214"/>
      <c r="G34" s="3214"/>
    </row>
    <row r="35" spans="1:7" hidden="1">
      <c r="A35" s="1535">
        <v>2</v>
      </c>
      <c r="B35" s="1532" t="s">
        <v>1444</v>
      </c>
      <c r="C35" s="1532"/>
      <c r="D35" s="1532"/>
      <c r="E35" s="3214"/>
      <c r="F35" s="3214"/>
      <c r="G35" s="3214"/>
    </row>
    <row r="36" spans="1:7" hidden="1">
      <c r="A36" s="1535">
        <v>3</v>
      </c>
      <c r="B36" s="1532" t="s">
        <v>1445</v>
      </c>
      <c r="C36" s="1532"/>
      <c r="D36" s="1532"/>
      <c r="E36" s="3214"/>
      <c r="F36" s="3214"/>
      <c r="G36" s="3214"/>
    </row>
    <row r="37" spans="1:7" hidden="1">
      <c r="A37" s="1535">
        <v>4</v>
      </c>
      <c r="B37" s="1532" t="s">
        <v>1446</v>
      </c>
      <c r="C37" s="1532"/>
      <c r="D37" s="1532"/>
      <c r="E37" s="3214"/>
      <c r="F37" s="3214"/>
      <c r="G37" s="3214"/>
    </row>
    <row r="38" spans="1:7" hidden="1">
      <c r="A38" s="3215" t="s">
        <v>1447</v>
      </c>
      <c r="B38" s="3216"/>
      <c r="C38" s="3216"/>
      <c r="D38" s="3217"/>
      <c r="E38" s="3218"/>
      <c r="F38" s="3218"/>
      <c r="G38" s="321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1449</v>
      </c>
      <c r="C1" s="1286" t="s">
        <v>1450</v>
      </c>
      <c r="D1" s="1228"/>
      <c r="E1" s="1440"/>
      <c r="F1" s="1230" t="s">
        <v>1451</v>
      </c>
      <c r="G1" s="1231" t="s">
        <v>934</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936</v>
      </c>
      <c r="B3" s="1238" t="e">
        <f ca="1">IF(C2="——",C49,ROUND(B2*10000/D3,0))</f>
        <v>#DIV/0!</v>
      </c>
      <c r="C3" s="1237" t="s">
        <v>937</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938</v>
      </c>
      <c r="B4" s="899"/>
      <c r="C4" s="3183" t="s">
        <v>939</v>
      </c>
      <c r="D4" s="3198"/>
      <c r="E4" s="3199" t="s">
        <v>940</v>
      </c>
      <c r="F4" s="3200"/>
      <c r="G4" s="3183" t="s">
        <v>941</v>
      </c>
      <c r="H4" s="3198"/>
      <c r="I4" s="3183" t="s">
        <v>942</v>
      </c>
      <c r="J4" s="3198"/>
      <c r="K4" s="1454"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1" t="s">
        <v>941</v>
      </c>
      <c r="AC4" s="3161" t="s">
        <v>942</v>
      </c>
    </row>
    <row r="5" spans="1:29" ht="15">
      <c r="A5" s="900"/>
      <c r="B5" s="901"/>
      <c r="C5" s="3201" t="s">
        <v>945</v>
      </c>
      <c r="D5" s="3202"/>
      <c r="E5" s="3203" t="s">
        <v>1452</v>
      </c>
      <c r="F5" s="3204"/>
      <c r="G5" s="3201" t="s">
        <v>1453</v>
      </c>
      <c r="H5" s="3202"/>
      <c r="I5" s="3201" t="s">
        <v>1454</v>
      </c>
      <c r="J5" s="3202"/>
      <c r="K5" s="1455"/>
      <c r="L5" s="1033"/>
      <c r="M5" s="1034"/>
      <c r="N5" s="1034"/>
      <c r="O5" s="1034"/>
      <c r="P5" s="3166"/>
      <c r="Q5" s="3167"/>
      <c r="R5" s="3172"/>
      <c r="S5" s="3173"/>
      <c r="T5" s="3172"/>
      <c r="U5" s="3173"/>
      <c r="V5" s="3176"/>
      <c r="W5" s="3176"/>
      <c r="X5" s="1074"/>
      <c r="Y5" s="3172"/>
      <c r="Z5" s="3173"/>
      <c r="AA5" s="3162"/>
      <c r="AB5" s="3162"/>
      <c r="AC5" s="3162"/>
    </row>
    <row r="6" spans="1:29" ht="15">
      <c r="A6" s="902"/>
      <c r="B6" s="903"/>
      <c r="C6" s="3243" t="s">
        <v>1455</v>
      </c>
      <c r="D6" s="3244"/>
      <c r="E6" s="3245" t="s">
        <v>1455</v>
      </c>
      <c r="F6" s="3246"/>
      <c r="G6" s="3243" t="s">
        <v>1455</v>
      </c>
      <c r="H6" s="3244"/>
      <c r="I6" s="3243" t="s">
        <v>1455</v>
      </c>
      <c r="J6" s="3244"/>
      <c r="K6" s="1455" t="s">
        <v>948</v>
      </c>
      <c r="L6" s="1033"/>
      <c r="M6" s="1034"/>
      <c r="N6" s="1034"/>
      <c r="O6" s="1034"/>
      <c r="P6" s="3168"/>
      <c r="Q6" s="3169"/>
      <c r="R6" s="3172"/>
      <c r="S6" s="3173"/>
      <c r="T6" s="3174"/>
      <c r="U6" s="3175"/>
      <c r="V6" s="3176"/>
      <c r="W6" s="3176"/>
      <c r="X6" s="1074"/>
      <c r="Y6" s="3174"/>
      <c r="Z6" s="3175"/>
      <c r="AA6" s="3163"/>
      <c r="AB6" s="3163"/>
      <c r="AC6" s="3163"/>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90" t="s">
        <v>950</v>
      </c>
      <c r="Q7" s="3197"/>
      <c r="R7" s="1075" t="s">
        <v>951</v>
      </c>
      <c r="S7" s="1076">
        <f t="shared" ref="S7:S15" si="0">F7</f>
        <v>0</v>
      </c>
      <c r="T7" s="1075" t="s">
        <v>951</v>
      </c>
      <c r="U7" s="1076">
        <f t="shared" ref="U7:U15" si="1">H7</f>
        <v>0</v>
      </c>
      <c r="V7" s="1075" t="s">
        <v>951</v>
      </c>
      <c r="W7" s="1076">
        <f t="shared" ref="W7:W15" si="2">J7</f>
        <v>0</v>
      </c>
      <c r="X7" s="1077"/>
      <c r="Y7" s="3190" t="s">
        <v>950</v>
      </c>
      <c r="Z7" s="3191"/>
      <c r="AA7" s="1090" t="e">
        <f>D7/F7</f>
        <v>#DIV/0!</v>
      </c>
      <c r="AB7" s="1090" t="e">
        <f>D7/H7</f>
        <v>#DIV/0!</v>
      </c>
      <c r="AC7" s="1090" t="e">
        <f>D7/J7</f>
        <v>#DIV/0!</v>
      </c>
    </row>
    <row r="8" spans="1:29" s="878" customFormat="1" ht="15">
      <c r="A8" s="904" t="s">
        <v>952</v>
      </c>
      <c r="B8" s="905"/>
      <c r="C8" s="911" t="s">
        <v>953</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19" si="3">D8/F8</f>
        <v>#DIV/0!</v>
      </c>
      <c r="AB8" s="1090" t="e">
        <f t="shared" ref="AB8:AB19" si="4">D8/H8</f>
        <v>#DIV/0!</v>
      </c>
      <c r="AC8" s="1090" t="e">
        <f t="shared" ref="AC8:AC19" si="5">D8/J8</f>
        <v>#DIV/0!</v>
      </c>
    </row>
    <row r="9" spans="1:29" s="878" customFormat="1">
      <c r="A9" s="912" t="s">
        <v>955</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2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090">
        <f t="shared" si="5"/>
        <v>1</v>
      </c>
    </row>
    <row r="15" spans="1:29" ht="99.75">
      <c r="A15" s="936" t="s">
        <v>960</v>
      </c>
      <c r="B15" s="937" t="s">
        <v>667</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37" t="s">
        <v>961</v>
      </c>
      <c r="Q15" s="661" t="str">
        <f t="shared" si="6"/>
        <v>居住社区成熟度</v>
      </c>
      <c r="R15" s="1080" t="s">
        <v>951</v>
      </c>
      <c r="S15" s="1081">
        <f t="shared" si="0"/>
        <v>100</v>
      </c>
      <c r="T15" s="1080" t="s">
        <v>951</v>
      </c>
      <c r="U15" s="1081">
        <f t="shared" si="1"/>
        <v>100</v>
      </c>
      <c r="V15" s="1080" t="s">
        <v>951</v>
      </c>
      <c r="W15" s="1081">
        <f t="shared" si="2"/>
        <v>100</v>
      </c>
      <c r="X15" s="1074"/>
      <c r="Y15" s="3179" t="s">
        <v>961</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38"/>
      <c r="Q16" s="661"/>
      <c r="R16" s="1080"/>
      <c r="S16" s="1081"/>
      <c r="T16" s="1080"/>
      <c r="U16" s="1081"/>
      <c r="V16" s="1080"/>
      <c r="W16" s="1081"/>
      <c r="X16" s="1074"/>
      <c r="Y16" s="3180"/>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38"/>
      <c r="Q17" s="661" t="str">
        <f>B17</f>
        <v>交通便捷度</v>
      </c>
      <c r="R17" s="1080" t="s">
        <v>951</v>
      </c>
      <c r="S17" s="1081">
        <f>F17</f>
        <v>100</v>
      </c>
      <c r="T17" s="1080" t="s">
        <v>951</v>
      </c>
      <c r="U17" s="1081">
        <f>H17</f>
        <v>100</v>
      </c>
      <c r="V17" s="1080" t="s">
        <v>951</v>
      </c>
      <c r="W17" s="1081">
        <f>J17</f>
        <v>100</v>
      </c>
      <c r="X17" s="1074"/>
      <c r="Y17" s="3180"/>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38"/>
      <c r="Q18" s="661"/>
      <c r="R18" s="1080"/>
      <c r="S18" s="1081"/>
      <c r="T18" s="1080"/>
      <c r="U18" s="1081"/>
      <c r="V18" s="1080"/>
      <c r="W18" s="1081"/>
      <c r="X18" s="1074"/>
      <c r="Y18" s="3180"/>
      <c r="Z18" s="1073"/>
      <c r="AA18" s="1092">
        <v>1</v>
      </c>
      <c r="AB18" s="1092">
        <v>1</v>
      </c>
      <c r="AC18" s="1092">
        <v>1</v>
      </c>
    </row>
    <row r="19" spans="1:29" ht="42.75">
      <c r="A19" s="922"/>
      <c r="B19" s="946" t="s">
        <v>677</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38"/>
      <c r="Q19" s="661" t="str">
        <f>B19</f>
        <v>公共配套设施</v>
      </c>
      <c r="R19" s="1080" t="s">
        <v>951</v>
      </c>
      <c r="S19" s="1081">
        <f>F19</f>
        <v>100</v>
      </c>
      <c r="T19" s="1080" t="s">
        <v>951</v>
      </c>
      <c r="U19" s="1081">
        <f>H19</f>
        <v>100</v>
      </c>
      <c r="V19" s="1080" t="s">
        <v>951</v>
      </c>
      <c r="W19" s="1081">
        <f>J19</f>
        <v>100</v>
      </c>
      <c r="X19" s="1074"/>
      <c r="Y19" s="3180"/>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38"/>
      <c r="Q20" s="661"/>
      <c r="R20" s="1080"/>
      <c r="S20" s="1081"/>
      <c r="T20" s="1080"/>
      <c r="U20" s="1081"/>
      <c r="V20" s="1080"/>
      <c r="W20" s="1081"/>
      <c r="X20" s="1074"/>
      <c r="Y20" s="3180"/>
      <c r="Z20" s="1073"/>
      <c r="AA20" s="1092">
        <v>1</v>
      </c>
      <c r="AB20" s="1092">
        <v>1</v>
      </c>
      <c r="AC20" s="1092">
        <v>1</v>
      </c>
    </row>
    <row r="21" spans="1:29" ht="28.5">
      <c r="A21" s="922"/>
      <c r="B21" s="954" t="s">
        <v>679</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38"/>
      <c r="Q21" s="661" t="str">
        <f>B21</f>
        <v>基础设施水平</v>
      </c>
      <c r="R21" s="1080" t="s">
        <v>951</v>
      </c>
      <c r="S21" s="1081">
        <f>F21</f>
        <v>100</v>
      </c>
      <c r="T21" s="1080" t="s">
        <v>951</v>
      </c>
      <c r="U21" s="1081">
        <f>H21</f>
        <v>100</v>
      </c>
      <c r="V21" s="1080" t="s">
        <v>951</v>
      </c>
      <c r="W21" s="1081">
        <f>J21</f>
        <v>100</v>
      </c>
      <c r="X21" s="1074"/>
      <c r="Y21" s="3180"/>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38"/>
      <c r="Q22" s="661"/>
      <c r="R22" s="1080"/>
      <c r="S22" s="1081"/>
      <c r="T22" s="1080"/>
      <c r="U22" s="1081"/>
      <c r="V22" s="1080"/>
      <c r="W22" s="1081"/>
      <c r="X22" s="1074"/>
      <c r="Y22" s="3180"/>
      <c r="Z22" s="1073"/>
      <c r="AA22" s="1092">
        <v>1</v>
      </c>
      <c r="AB22" s="1092">
        <v>1</v>
      </c>
      <c r="AC22" s="1092">
        <v>1</v>
      </c>
    </row>
    <row r="23" spans="1:29" ht="57">
      <c r="A23" s="922"/>
      <c r="B23" s="946" t="s">
        <v>683</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38"/>
      <c r="Q23" s="661" t="str">
        <f>B23</f>
        <v>自然及人文环境</v>
      </c>
      <c r="R23" s="1080" t="s">
        <v>951</v>
      </c>
      <c r="S23" s="1081">
        <f>F23</f>
        <v>100</v>
      </c>
      <c r="T23" s="1080" t="s">
        <v>951</v>
      </c>
      <c r="U23" s="1081">
        <f>H23</f>
        <v>100</v>
      </c>
      <c r="V23" s="1080" t="s">
        <v>951</v>
      </c>
      <c r="W23" s="1081">
        <f>J23</f>
        <v>100</v>
      </c>
      <c r="X23" s="1074"/>
      <c r="Y23" s="3180"/>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38"/>
      <c r="Q24" s="661"/>
      <c r="R24" s="1080"/>
      <c r="S24" s="1081"/>
      <c r="T24" s="1080"/>
      <c r="U24" s="1081"/>
      <c r="V24" s="1080"/>
      <c r="W24" s="1081"/>
      <c r="X24" s="1074"/>
      <c r="Y24" s="3180"/>
      <c r="Z24" s="1073"/>
      <c r="AA24" s="1092">
        <v>1</v>
      </c>
      <c r="AB24" s="1092">
        <v>1</v>
      </c>
      <c r="AC24" s="1092">
        <v>1</v>
      </c>
    </row>
    <row r="25" spans="1:29" ht="15">
      <c r="A25" s="922"/>
      <c r="B25" s="917" t="s">
        <v>1456</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38"/>
      <c r="Q25" s="661" t="str">
        <f t="shared" ref="Q25:Q46" si="11">B25</f>
        <v>楼层-1</v>
      </c>
      <c r="R25" s="1080" t="s">
        <v>951</v>
      </c>
      <c r="S25" s="1081">
        <f t="shared" ref="S25:S46" si="12">F25</f>
        <v>100</v>
      </c>
      <c r="T25" s="1080" t="s">
        <v>951</v>
      </c>
      <c r="U25" s="1081">
        <f t="shared" ref="U25:U46" si="13">H25</f>
        <v>100</v>
      </c>
      <c r="V25" s="1080" t="s">
        <v>951</v>
      </c>
      <c r="W25" s="1081">
        <f t="shared" ref="W25:W46" si="14">J25</f>
        <v>100</v>
      </c>
      <c r="X25" s="1074"/>
      <c r="Y25" s="3180"/>
      <c r="Z25" s="1073" t="str">
        <f>Q25</f>
        <v>楼层-1</v>
      </c>
      <c r="AA25" s="1092">
        <f t="shared" ref="AA25:AA46" si="15">D25/F25</f>
        <v>1</v>
      </c>
      <c r="AB25" s="1092">
        <f t="shared" ref="AB25:AB46" si="16">D25/H25</f>
        <v>1</v>
      </c>
      <c r="AC25" s="1092">
        <f t="shared" ref="AC25:AC46" si="17">D25/J25</f>
        <v>1</v>
      </c>
    </row>
    <row r="26" spans="1:29" ht="15">
      <c r="A26" s="922"/>
      <c r="B26" s="917" t="s">
        <v>1457</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38"/>
      <c r="Q26" s="661" t="str">
        <f t="shared" si="11"/>
        <v>朝向</v>
      </c>
      <c r="R26" s="1080" t="s">
        <v>951</v>
      </c>
      <c r="S26" s="1081">
        <f t="shared" si="12"/>
        <v>100</v>
      </c>
      <c r="T26" s="1080" t="s">
        <v>951</v>
      </c>
      <c r="U26" s="1081">
        <f t="shared" si="13"/>
        <v>100</v>
      </c>
      <c r="V26" s="1080" t="s">
        <v>951</v>
      </c>
      <c r="W26" s="1081">
        <f t="shared" si="14"/>
        <v>100</v>
      </c>
      <c r="X26" s="1074"/>
      <c r="Y26" s="3180"/>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38"/>
      <c r="Q27" s="1079">
        <f t="shared" si="11"/>
        <v>111</v>
      </c>
      <c r="R27" s="1075" t="s">
        <v>951</v>
      </c>
      <c r="S27" s="1076">
        <f t="shared" si="12"/>
        <v>100</v>
      </c>
      <c r="T27" s="1075" t="s">
        <v>951</v>
      </c>
      <c r="U27" s="1076">
        <f t="shared" si="13"/>
        <v>100</v>
      </c>
      <c r="V27" s="1075" t="s">
        <v>951</v>
      </c>
      <c r="W27" s="1076">
        <f t="shared" si="14"/>
        <v>100</v>
      </c>
      <c r="X27" s="1077"/>
      <c r="Y27" s="3180"/>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38"/>
      <c r="Q28" s="661">
        <f t="shared" si="11"/>
        <v>111</v>
      </c>
      <c r="R28" s="1080" t="s">
        <v>951</v>
      </c>
      <c r="S28" s="1081">
        <f t="shared" si="12"/>
        <v>100</v>
      </c>
      <c r="T28" s="1080" t="s">
        <v>951</v>
      </c>
      <c r="U28" s="1081">
        <f t="shared" si="13"/>
        <v>100</v>
      </c>
      <c r="V28" s="1080" t="s">
        <v>951</v>
      </c>
      <c r="W28" s="1081">
        <f t="shared" si="14"/>
        <v>100</v>
      </c>
      <c r="X28" s="1074"/>
      <c r="Y28" s="3180"/>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38"/>
      <c r="Q29" s="661">
        <f t="shared" si="11"/>
        <v>111</v>
      </c>
      <c r="R29" s="1080" t="s">
        <v>951</v>
      </c>
      <c r="S29" s="1081">
        <f t="shared" si="12"/>
        <v>100</v>
      </c>
      <c r="T29" s="1080" t="s">
        <v>951</v>
      </c>
      <c r="U29" s="1081">
        <f t="shared" si="13"/>
        <v>100</v>
      </c>
      <c r="V29" s="1080" t="s">
        <v>951</v>
      </c>
      <c r="W29" s="1081">
        <f t="shared" si="14"/>
        <v>100</v>
      </c>
      <c r="X29" s="1074"/>
      <c r="Y29" s="3180"/>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38"/>
      <c r="Q30" s="661">
        <f t="shared" si="11"/>
        <v>111</v>
      </c>
      <c r="R30" s="1080" t="s">
        <v>951</v>
      </c>
      <c r="S30" s="1081">
        <f t="shared" si="12"/>
        <v>100</v>
      </c>
      <c r="T30" s="1080" t="s">
        <v>951</v>
      </c>
      <c r="U30" s="1081">
        <f t="shared" si="13"/>
        <v>100</v>
      </c>
      <c r="V30" s="1080" t="s">
        <v>951</v>
      </c>
      <c r="W30" s="1081">
        <f t="shared" si="14"/>
        <v>100</v>
      </c>
      <c r="X30" s="1074"/>
      <c r="Y30" s="3180"/>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38"/>
      <c r="Q31" s="661">
        <f t="shared" si="11"/>
        <v>111</v>
      </c>
      <c r="R31" s="1080" t="s">
        <v>951</v>
      </c>
      <c r="S31" s="1081">
        <f t="shared" si="12"/>
        <v>100</v>
      </c>
      <c r="T31" s="1080" t="s">
        <v>951</v>
      </c>
      <c r="U31" s="1081">
        <f t="shared" si="13"/>
        <v>100</v>
      </c>
      <c r="V31" s="1080" t="s">
        <v>951</v>
      </c>
      <c r="W31" s="1081">
        <f t="shared" si="14"/>
        <v>100</v>
      </c>
      <c r="X31" s="1074"/>
      <c r="Y31" s="3180"/>
      <c r="Z31" s="1073">
        <f t="shared" si="18"/>
        <v>111</v>
      </c>
      <c r="AA31" s="1092">
        <f t="shared" si="15"/>
        <v>1</v>
      </c>
      <c r="AB31" s="1092">
        <f t="shared" si="16"/>
        <v>1</v>
      </c>
      <c r="AC31" s="1092">
        <f t="shared" si="17"/>
        <v>1</v>
      </c>
    </row>
    <row r="32" spans="1:29" ht="15">
      <c r="A32" s="936" t="s">
        <v>963</v>
      </c>
      <c r="B32" s="913" t="s">
        <v>1458</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39" t="s">
        <v>962</v>
      </c>
      <c r="Q32" s="661" t="str">
        <f t="shared" si="11"/>
        <v>建筑类型</v>
      </c>
      <c r="R32" s="1080" t="s">
        <v>951</v>
      </c>
      <c r="S32" s="1081">
        <f t="shared" si="12"/>
        <v>100</v>
      </c>
      <c r="T32" s="1080" t="s">
        <v>951</v>
      </c>
      <c r="U32" s="1081">
        <f t="shared" si="13"/>
        <v>100</v>
      </c>
      <c r="V32" s="1080" t="s">
        <v>951</v>
      </c>
      <c r="W32" s="1081">
        <f t="shared" si="14"/>
        <v>100</v>
      </c>
      <c r="X32" s="1074"/>
      <c r="Y32" s="3182" t="s">
        <v>962</v>
      </c>
      <c r="Z32" s="1073" t="str">
        <f t="shared" si="18"/>
        <v>建筑类型</v>
      </c>
      <c r="AA32" s="1092">
        <f t="shared" si="15"/>
        <v>1</v>
      </c>
      <c r="AB32" s="1092">
        <f t="shared" si="16"/>
        <v>1</v>
      </c>
      <c r="AC32" s="1092">
        <f t="shared" si="17"/>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0"/>
      <c r="Q33" s="1294" t="str">
        <f t="shared" si="11"/>
        <v>项目建筑规模</v>
      </c>
      <c r="R33" s="1082" t="s">
        <v>951</v>
      </c>
      <c r="S33" s="1083" t="e">
        <f t="shared" si="12"/>
        <v>#N/A</v>
      </c>
      <c r="T33" s="1082" t="s">
        <v>951</v>
      </c>
      <c r="U33" s="1083" t="e">
        <f t="shared" si="13"/>
        <v>#N/A</v>
      </c>
      <c r="V33" s="1082" t="s">
        <v>951</v>
      </c>
      <c r="W33" s="1083" t="e">
        <f t="shared" si="14"/>
        <v>#N/A</v>
      </c>
      <c r="X33" s="1084"/>
      <c r="Y33" s="3182"/>
      <c r="Z33" s="1093" t="str">
        <f t="shared" si="18"/>
        <v>项目建筑规模</v>
      </c>
      <c r="AA33" s="1092" t="e">
        <f t="shared" si="15"/>
        <v>#N/A</v>
      </c>
      <c r="AB33" s="1092" t="e">
        <f t="shared" si="16"/>
        <v>#N/A</v>
      </c>
      <c r="AC33" s="1092" t="e">
        <f t="shared" si="17"/>
        <v>#N/A</v>
      </c>
    </row>
    <row r="34" spans="1:29" ht="15">
      <c r="A34" s="973"/>
      <c r="B34" s="917" t="s">
        <v>1460</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0"/>
      <c r="Q34" s="661" t="str">
        <f t="shared" si="11"/>
        <v>建筑结构</v>
      </c>
      <c r="R34" s="1080" t="s">
        <v>951</v>
      </c>
      <c r="S34" s="1081">
        <f t="shared" si="12"/>
        <v>100</v>
      </c>
      <c r="T34" s="1080" t="s">
        <v>951</v>
      </c>
      <c r="U34" s="1081">
        <f t="shared" si="13"/>
        <v>100</v>
      </c>
      <c r="V34" s="1080" t="s">
        <v>951</v>
      </c>
      <c r="W34" s="1081">
        <f t="shared" si="14"/>
        <v>100</v>
      </c>
      <c r="X34" s="1074"/>
      <c r="Y34" s="3182"/>
      <c r="Z34" s="1073" t="str">
        <f t="shared" si="18"/>
        <v>建筑结构</v>
      </c>
      <c r="AA34" s="1092">
        <f t="shared" si="15"/>
        <v>1</v>
      </c>
      <c r="AB34" s="1092">
        <f t="shared" si="16"/>
        <v>1</v>
      </c>
      <c r="AC34" s="1092">
        <f t="shared" si="17"/>
        <v>1</v>
      </c>
    </row>
    <row r="35" spans="1:29" ht="15">
      <c r="A35" s="973"/>
      <c r="B35" s="917" t="s">
        <v>1461</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0"/>
      <c r="Q35" s="661" t="str">
        <f t="shared" si="11"/>
        <v>建筑品质</v>
      </c>
      <c r="R35" s="1080" t="s">
        <v>951</v>
      </c>
      <c r="S35" s="1081">
        <f t="shared" si="12"/>
        <v>100</v>
      </c>
      <c r="T35" s="1080" t="s">
        <v>951</v>
      </c>
      <c r="U35" s="1081">
        <f t="shared" si="13"/>
        <v>100</v>
      </c>
      <c r="V35" s="1080" t="s">
        <v>951</v>
      </c>
      <c r="W35" s="1081">
        <f t="shared" si="14"/>
        <v>100</v>
      </c>
      <c r="X35" s="1074"/>
      <c r="Y35" s="3182"/>
      <c r="Z35" s="1073" t="str">
        <f t="shared" si="18"/>
        <v>建筑品质</v>
      </c>
      <c r="AA35" s="1092">
        <f t="shared" si="15"/>
        <v>1</v>
      </c>
      <c r="AB35" s="1092">
        <f t="shared" si="16"/>
        <v>1</v>
      </c>
      <c r="AC35" s="1092">
        <f t="shared" si="17"/>
        <v>1</v>
      </c>
    </row>
    <row r="36" spans="1:29" ht="15">
      <c r="A36" s="973"/>
      <c r="B36" s="917" t="s">
        <v>1462</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0"/>
      <c r="Q36" s="661" t="str">
        <f t="shared" si="11"/>
        <v>公共部分装修</v>
      </c>
      <c r="R36" s="1080" t="s">
        <v>951</v>
      </c>
      <c r="S36" s="1081">
        <f t="shared" si="12"/>
        <v>100</v>
      </c>
      <c r="T36" s="1080" t="s">
        <v>951</v>
      </c>
      <c r="U36" s="1081">
        <f t="shared" si="13"/>
        <v>100</v>
      </c>
      <c r="V36" s="1080" t="s">
        <v>951</v>
      </c>
      <c r="W36" s="1081">
        <f t="shared" si="14"/>
        <v>100</v>
      </c>
      <c r="X36" s="1074"/>
      <c r="Y36" s="3182"/>
      <c r="Z36" s="1073" t="str">
        <f t="shared" si="18"/>
        <v>公共部分装修</v>
      </c>
      <c r="AA36" s="1092">
        <f t="shared" si="15"/>
        <v>1</v>
      </c>
      <c r="AB36" s="1092">
        <f t="shared" si="16"/>
        <v>1</v>
      </c>
      <c r="AC36" s="1092">
        <f t="shared" si="17"/>
        <v>1</v>
      </c>
    </row>
    <row r="37" spans="1:29" s="878" customFormat="1" ht="15">
      <c r="A37" s="977"/>
      <c r="B37" s="917" t="s">
        <v>575</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0"/>
      <c r="Q37" s="1079" t="str">
        <f t="shared" si="11"/>
        <v>成新度</v>
      </c>
      <c r="R37" s="1075" t="s">
        <v>951</v>
      </c>
      <c r="S37" s="1076" t="e">
        <f t="shared" si="12"/>
        <v>#N/A</v>
      </c>
      <c r="T37" s="1075" t="s">
        <v>951</v>
      </c>
      <c r="U37" s="1076" t="e">
        <f t="shared" si="13"/>
        <v>#N/A</v>
      </c>
      <c r="V37" s="1075" t="s">
        <v>951</v>
      </c>
      <c r="W37" s="1076" t="e">
        <f t="shared" si="14"/>
        <v>#N/A</v>
      </c>
      <c r="X37" s="1077"/>
      <c r="Y37" s="3182"/>
      <c r="Z37" s="1091" t="str">
        <f t="shared" si="18"/>
        <v>成新度</v>
      </c>
      <c r="AA37" s="1090" t="e">
        <f t="shared" si="15"/>
        <v>#N/A</v>
      </c>
      <c r="AB37" s="1090" t="e">
        <f t="shared" si="16"/>
        <v>#N/A</v>
      </c>
      <c r="AC37" s="1090" t="e">
        <f t="shared" si="17"/>
        <v>#N/A</v>
      </c>
    </row>
    <row r="38" spans="1:29" ht="15">
      <c r="A38" s="973"/>
      <c r="B38" s="917" t="s">
        <v>1463</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0" t="s">
        <v>962</v>
      </c>
      <c r="Q38" s="661" t="str">
        <f t="shared" si="11"/>
        <v>物业管理</v>
      </c>
      <c r="R38" s="1080" t="s">
        <v>951</v>
      </c>
      <c r="S38" s="1081">
        <f t="shared" si="12"/>
        <v>100</v>
      </c>
      <c r="T38" s="1080" t="s">
        <v>951</v>
      </c>
      <c r="U38" s="1081">
        <f t="shared" si="13"/>
        <v>100</v>
      </c>
      <c r="V38" s="1080" t="s">
        <v>951</v>
      </c>
      <c r="W38" s="1081">
        <f t="shared" si="14"/>
        <v>100</v>
      </c>
      <c r="X38" s="1074"/>
      <c r="Y38" s="3182" t="s">
        <v>962</v>
      </c>
      <c r="Z38" s="1073" t="str">
        <f t="shared" si="18"/>
        <v>物业管理</v>
      </c>
      <c r="AA38" s="1092">
        <f t="shared" si="15"/>
        <v>1</v>
      </c>
      <c r="AB38" s="1092">
        <f t="shared" si="16"/>
        <v>1</v>
      </c>
      <c r="AC38" s="1092">
        <f t="shared" si="17"/>
        <v>1</v>
      </c>
    </row>
    <row r="39" spans="1:29" ht="15">
      <c r="A39" s="973"/>
      <c r="B39" s="917" t="s">
        <v>1464</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0"/>
      <c r="Q39" s="661" t="str">
        <f t="shared" si="11"/>
        <v>市政基础设施</v>
      </c>
      <c r="R39" s="1080" t="s">
        <v>951</v>
      </c>
      <c r="S39" s="1081">
        <f t="shared" si="12"/>
        <v>100</v>
      </c>
      <c r="T39" s="1080" t="s">
        <v>951</v>
      </c>
      <c r="U39" s="1081">
        <f t="shared" si="13"/>
        <v>100</v>
      </c>
      <c r="V39" s="1080" t="s">
        <v>951</v>
      </c>
      <c r="W39" s="1081">
        <f t="shared" si="14"/>
        <v>100</v>
      </c>
      <c r="X39" s="1074"/>
      <c r="Y39" s="3182"/>
      <c r="Z39" s="1073" t="str">
        <f t="shared" si="18"/>
        <v>市政基础设施</v>
      </c>
      <c r="AA39" s="1092">
        <f t="shared" si="15"/>
        <v>1</v>
      </c>
      <c r="AB39" s="1092">
        <f t="shared" si="16"/>
        <v>1</v>
      </c>
      <c r="AC39" s="1092">
        <f t="shared" si="17"/>
        <v>1</v>
      </c>
    </row>
    <row r="40" spans="1:29" ht="15">
      <c r="A40" s="973"/>
      <c r="B40" s="917" t="s">
        <v>1465</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0"/>
      <c r="Q40" s="661" t="str">
        <f t="shared" si="11"/>
        <v>房型</v>
      </c>
      <c r="R40" s="1080" t="s">
        <v>951</v>
      </c>
      <c r="S40" s="1081">
        <f t="shared" si="12"/>
        <v>100</v>
      </c>
      <c r="T40" s="1080" t="s">
        <v>951</v>
      </c>
      <c r="U40" s="1081">
        <f t="shared" si="13"/>
        <v>100</v>
      </c>
      <c r="V40" s="1080" t="s">
        <v>951</v>
      </c>
      <c r="W40" s="1081">
        <f t="shared" si="14"/>
        <v>100</v>
      </c>
      <c r="X40" s="1074"/>
      <c r="Y40" s="3182"/>
      <c r="Z40" s="1073" t="str">
        <f t="shared" si="18"/>
        <v>房型</v>
      </c>
      <c r="AA40" s="1092">
        <f t="shared" si="15"/>
        <v>1</v>
      </c>
      <c r="AB40" s="1092">
        <f t="shared" si="16"/>
        <v>1</v>
      </c>
      <c r="AC40" s="1092">
        <f t="shared" si="17"/>
        <v>1</v>
      </c>
    </row>
    <row r="41" spans="1:29" s="880" customFormat="1" ht="28.5">
      <c r="A41" s="979"/>
      <c r="B41" s="917" t="s">
        <v>1466</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0"/>
      <c r="Q41" s="1294" t="str">
        <f t="shared" si="11"/>
        <v>单套/主力户型建筑面积</v>
      </c>
      <c r="R41" s="1082" t="s">
        <v>951</v>
      </c>
      <c r="S41" s="1083">
        <f t="shared" si="12"/>
        <v>100</v>
      </c>
      <c r="T41" s="1082" t="s">
        <v>951</v>
      </c>
      <c r="U41" s="1083">
        <f t="shared" si="13"/>
        <v>100</v>
      </c>
      <c r="V41" s="1082" t="s">
        <v>951</v>
      </c>
      <c r="W41" s="1083">
        <f t="shared" si="14"/>
        <v>100</v>
      </c>
      <c r="X41" s="1084"/>
      <c r="Y41" s="3182"/>
      <c r="Z41" s="1093" t="str">
        <f t="shared" si="18"/>
        <v>单套/主力户型建筑面积</v>
      </c>
      <c r="AA41" s="1092">
        <f t="shared" si="15"/>
        <v>1</v>
      </c>
      <c r="AB41" s="1092">
        <f t="shared" si="16"/>
        <v>1</v>
      </c>
      <c r="AC41" s="1092">
        <f t="shared" si="17"/>
        <v>1</v>
      </c>
    </row>
    <row r="42" spans="1:29" ht="15">
      <c r="A42" s="973"/>
      <c r="B42" s="917" t="s">
        <v>1467</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0"/>
      <c r="Q42" s="661" t="str">
        <f t="shared" si="11"/>
        <v>内部装修</v>
      </c>
      <c r="R42" s="1080" t="s">
        <v>951</v>
      </c>
      <c r="S42" s="1081">
        <f t="shared" si="12"/>
        <v>100</v>
      </c>
      <c r="T42" s="1080" t="s">
        <v>951</v>
      </c>
      <c r="U42" s="1081">
        <f t="shared" si="13"/>
        <v>100</v>
      </c>
      <c r="V42" s="1080" t="s">
        <v>951</v>
      </c>
      <c r="W42" s="1081">
        <f t="shared" si="14"/>
        <v>100</v>
      </c>
      <c r="X42" s="1074"/>
      <c r="Y42" s="3182"/>
      <c r="Z42" s="1073" t="str">
        <f t="shared" si="18"/>
        <v>内部装修</v>
      </c>
      <c r="AA42" s="1092">
        <f t="shared" si="15"/>
        <v>1</v>
      </c>
      <c r="AB42" s="1092">
        <f t="shared" si="16"/>
        <v>1</v>
      </c>
      <c r="AC42" s="1092">
        <f t="shared" si="17"/>
        <v>1</v>
      </c>
    </row>
    <row r="43" spans="1:29" ht="15">
      <c r="A43" s="973"/>
      <c r="B43" s="917" t="s">
        <v>1468</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0"/>
      <c r="Q43" s="661" t="str">
        <f t="shared" si="11"/>
        <v>内部装修维护情况</v>
      </c>
      <c r="R43" s="1080" t="s">
        <v>951</v>
      </c>
      <c r="S43" s="1081">
        <f t="shared" si="12"/>
        <v>100</v>
      </c>
      <c r="T43" s="1080" t="s">
        <v>951</v>
      </c>
      <c r="U43" s="1081">
        <f t="shared" si="13"/>
        <v>100</v>
      </c>
      <c r="V43" s="1080" t="s">
        <v>951</v>
      </c>
      <c r="W43" s="1081">
        <f t="shared" si="14"/>
        <v>100</v>
      </c>
      <c r="X43" s="1074"/>
      <c r="Y43" s="3182"/>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0"/>
      <c r="Q44" s="1079">
        <f t="shared" si="11"/>
        <v>111</v>
      </c>
      <c r="R44" s="1075" t="s">
        <v>951</v>
      </c>
      <c r="S44" s="1076">
        <f t="shared" si="12"/>
        <v>100</v>
      </c>
      <c r="T44" s="1075" t="s">
        <v>951</v>
      </c>
      <c r="U44" s="1076">
        <f t="shared" si="13"/>
        <v>100</v>
      </c>
      <c r="V44" s="1075" t="s">
        <v>951</v>
      </c>
      <c r="W44" s="1076">
        <f t="shared" si="14"/>
        <v>100</v>
      </c>
      <c r="X44" s="1077"/>
      <c r="Y44" s="3182"/>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0"/>
      <c r="Q45" s="661">
        <f t="shared" si="11"/>
        <v>111</v>
      </c>
      <c r="R45" s="1080" t="s">
        <v>951</v>
      </c>
      <c r="S45" s="1081">
        <f t="shared" si="12"/>
        <v>100</v>
      </c>
      <c r="T45" s="1080" t="s">
        <v>951</v>
      </c>
      <c r="U45" s="1081">
        <f t="shared" si="13"/>
        <v>100</v>
      </c>
      <c r="V45" s="1080" t="s">
        <v>951</v>
      </c>
      <c r="W45" s="1081">
        <f t="shared" si="14"/>
        <v>100</v>
      </c>
      <c r="X45" s="1074"/>
      <c r="Y45" s="3182"/>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1"/>
      <c r="Q46" s="661">
        <f t="shared" si="11"/>
        <v>111</v>
      </c>
      <c r="R46" s="1080" t="s">
        <v>951</v>
      </c>
      <c r="S46" s="1081">
        <f t="shared" si="12"/>
        <v>100</v>
      </c>
      <c r="T46" s="1080" t="s">
        <v>951</v>
      </c>
      <c r="U46" s="1081">
        <f t="shared" si="13"/>
        <v>100</v>
      </c>
      <c r="V46" s="1080" t="s">
        <v>951</v>
      </c>
      <c r="W46" s="1081">
        <f t="shared" si="14"/>
        <v>100</v>
      </c>
      <c r="X46" s="1074"/>
      <c r="Y46" s="3242"/>
      <c r="Z46" s="1073">
        <f t="shared" si="18"/>
        <v>111</v>
      </c>
      <c r="AA46" s="1092">
        <f t="shared" si="15"/>
        <v>1</v>
      </c>
      <c r="AB46" s="1092">
        <f t="shared" si="16"/>
        <v>1</v>
      </c>
      <c r="AC46" s="1092">
        <f t="shared" si="17"/>
        <v>1</v>
      </c>
    </row>
    <row r="47" spans="1:29" ht="15">
      <c r="A47" s="982" t="s">
        <v>1469</v>
      </c>
      <c r="B47" s="1265"/>
      <c r="C47" s="1266" t="s">
        <v>124</v>
      </c>
      <c r="D47" s="1267"/>
      <c r="E47" s="1268"/>
      <c r="F47" s="1269"/>
      <c r="G47" s="1270"/>
      <c r="H47" s="1271"/>
      <c r="I47" s="1268"/>
      <c r="J47" s="1271"/>
      <c r="K47" s="1462"/>
      <c r="L47" s="1058"/>
      <c r="M47" s="999"/>
      <c r="N47" s="1034"/>
      <c r="O47" s="999"/>
      <c r="P47" s="3178" t="str">
        <f>A47</f>
        <v>成交单价（元/平方米）</v>
      </c>
      <c r="Q47" s="3178"/>
      <c r="R47" s="3235">
        <f>E47</f>
        <v>0</v>
      </c>
      <c r="S47" s="3235"/>
      <c r="T47" s="3235">
        <f>G47</f>
        <v>0</v>
      </c>
      <c r="U47" s="3235"/>
      <c r="V47" s="3235">
        <f>I47</f>
        <v>0</v>
      </c>
      <c r="W47" s="3235"/>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463"/>
      <c r="L48" s="1058"/>
      <c r="M48" s="999"/>
      <c r="N48" s="999"/>
      <c r="O48" s="999"/>
      <c r="P48" s="3178" t="str">
        <f>A48</f>
        <v>比较价值（元/平方米）</v>
      </c>
      <c r="Q48" s="317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1085"/>
      <c r="Y48" s="1085"/>
      <c r="Z48" s="1085"/>
      <c r="AA48" s="1085"/>
      <c r="AB48" s="1085"/>
      <c r="AC48" s="1085"/>
    </row>
    <row r="49" spans="1:29" ht="15">
      <c r="A49" s="996" t="s">
        <v>972</v>
      </c>
      <c r="B49" s="997"/>
      <c r="C49" s="1446" t="e">
        <f>R49</f>
        <v>#DIV/0!</v>
      </c>
      <c r="D49" s="1276"/>
      <c r="E49" s="1276"/>
      <c r="F49" s="1276"/>
      <c r="G49" s="1276"/>
      <c r="H49" s="1276"/>
      <c r="I49" s="1276"/>
      <c r="J49" s="1276"/>
      <c r="K49" s="1464"/>
      <c r="L49" s="1058"/>
      <c r="M49" s="999"/>
      <c r="N49" s="999"/>
      <c r="O49" s="999"/>
      <c r="P49" s="3187" t="str">
        <f>A49</f>
        <v>估价对象XX用房的比较价值（楼面单价，元/平方米）</v>
      </c>
      <c r="Q49" s="3188"/>
      <c r="R49" s="3236" t="e">
        <f>IF(F1="售价",ROUND(AVERAGE(R48:V48),0),ROUND(AVERAGE(R48:V48),1))</f>
        <v>#DIV/0!</v>
      </c>
      <c r="S49" s="3236"/>
      <c r="T49" s="3236"/>
      <c r="U49" s="3236"/>
      <c r="V49" s="3236"/>
      <c r="W49" s="3236"/>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1001</v>
      </c>
      <c r="B57" s="1085"/>
      <c r="C57" s="1103"/>
      <c r="D57" s="1103"/>
      <c r="E57" s="1103"/>
      <c r="F57" s="1104"/>
      <c r="G57" s="1104"/>
      <c r="H57" s="1103"/>
      <c r="I57" s="1103"/>
      <c r="J57" s="1103"/>
      <c r="K57" s="1162"/>
      <c r="L57" s="1163"/>
      <c r="M57" s="1161"/>
      <c r="N57" s="1161"/>
      <c r="O57" s="1161"/>
      <c r="P57" s="1466"/>
      <c r="Q57" s="1168"/>
    </row>
    <row r="58" spans="1:29" s="883" customFormat="1" ht="15">
      <c r="A58" s="1278" t="s">
        <v>949</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27" t="s">
        <v>1010</v>
      </c>
      <c r="D82" s="1127" t="s">
        <v>1011</v>
      </c>
      <c r="E82" s="1127" t="s">
        <v>1012</v>
      </c>
      <c r="F82" s="1127" t="s">
        <v>1013</v>
      </c>
      <c r="G82" s="1127" t="s">
        <v>1014</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1456</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1457</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963</v>
      </c>
      <c r="B100" s="1122" t="s">
        <v>1458</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1459</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1461</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1462</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575</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1465</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1466</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1477</v>
      </c>
    </row>
    <row r="137" spans="1:17" ht="15">
      <c r="B137" s="1474" t="s">
        <v>1478</v>
      </c>
      <c r="C137" s="1475"/>
      <c r="D137" s="1475"/>
      <c r="E137" s="1475"/>
      <c r="F137" s="1475"/>
      <c r="G137" s="1476"/>
      <c r="H137" s="1477"/>
      <c r="I137" s="1500" t="s">
        <v>1479</v>
      </c>
      <c r="J137" s="1475"/>
      <c r="K137" s="1501"/>
    </row>
    <row r="138" spans="1:17" ht="15">
      <c r="B138" s="1478"/>
      <c r="C138" s="1479" t="s">
        <v>1480</v>
      </c>
      <c r="D138" s="1479" t="s">
        <v>1481</v>
      </c>
      <c r="E138" s="1480" t="s">
        <v>1482</v>
      </c>
      <c r="F138" s="1481" t="s">
        <v>1483</v>
      </c>
      <c r="G138" s="1479" t="s">
        <v>1481</v>
      </c>
      <c r="H138" s="1482" t="s">
        <v>1482</v>
      </c>
      <c r="I138" s="1502"/>
      <c r="J138" s="1479" t="s">
        <v>1484</v>
      </c>
      <c r="K138" s="1482" t="s">
        <v>1485</v>
      </c>
    </row>
    <row r="139" spans="1:17" ht="15">
      <c r="B139" s="1483">
        <v>6</v>
      </c>
      <c r="C139" s="1484">
        <v>96</v>
      </c>
      <c r="D139" s="1485" t="s">
        <v>1486</v>
      </c>
      <c r="E139" s="1486">
        <v>100</v>
      </c>
      <c r="F139" s="1487">
        <v>102.5</v>
      </c>
      <c r="G139" s="1485" t="s">
        <v>1486</v>
      </c>
      <c r="H139" s="1488">
        <v>105</v>
      </c>
      <c r="I139" s="1503" t="s">
        <v>1487</v>
      </c>
      <c r="J139" s="1484">
        <v>20</v>
      </c>
      <c r="K139" s="1504">
        <f>C145/(J139-2)</f>
        <v>4.0555555555555596E-3</v>
      </c>
    </row>
    <row r="140" spans="1:17" ht="15">
      <c r="B140" s="1489">
        <v>5</v>
      </c>
      <c r="C140" s="1490">
        <v>100</v>
      </c>
      <c r="D140" s="1490"/>
      <c r="E140" s="1491"/>
      <c r="F140" s="1492">
        <v>102</v>
      </c>
      <c r="G140" s="1490"/>
      <c r="H140" s="1493"/>
      <c r="I140" s="1505" t="s">
        <v>1488</v>
      </c>
      <c r="J140" s="225">
        <f>ROUNDUP((J139-1)/2,0)</f>
        <v>10</v>
      </c>
      <c r="K140" s="1506">
        <v>100</v>
      </c>
    </row>
    <row r="141" spans="1:17" ht="15">
      <c r="B141" s="1489">
        <v>4</v>
      </c>
      <c r="C141" s="1490">
        <v>102</v>
      </c>
      <c r="D141" s="1490"/>
      <c r="E141" s="1491"/>
      <c r="F141" s="1492">
        <v>101.5</v>
      </c>
      <c r="G141" s="1490"/>
      <c r="H141" s="1493"/>
      <c r="I141" s="1505" t="s">
        <v>1489</v>
      </c>
      <c r="J141" s="225">
        <v>1</v>
      </c>
      <c r="K141" s="1507">
        <f>ROUND(100+(J141-J140)*K139*100,1)</f>
        <v>96.4</v>
      </c>
    </row>
    <row r="142" spans="1:17" ht="15">
      <c r="B142" s="1489">
        <v>3</v>
      </c>
      <c r="C142" s="1490">
        <v>103</v>
      </c>
      <c r="D142" s="1490"/>
      <c r="E142" s="1491"/>
      <c r="F142" s="1492">
        <v>101</v>
      </c>
      <c r="G142" s="1490"/>
      <c r="H142" s="1493"/>
      <c r="I142" s="1505" t="s">
        <v>1490</v>
      </c>
      <c r="J142" s="225">
        <f>J139</f>
        <v>20</v>
      </c>
      <c r="K142" s="1508">
        <v>95</v>
      </c>
    </row>
    <row r="143" spans="1:17" ht="15">
      <c r="B143" s="1489">
        <v>2</v>
      </c>
      <c r="C143" s="1490">
        <v>100</v>
      </c>
      <c r="D143" s="1490"/>
      <c r="E143" s="1491"/>
      <c r="F143" s="1492">
        <v>100.5</v>
      </c>
      <c r="G143" s="1490"/>
      <c r="H143" s="1493"/>
      <c r="I143" s="1505" t="s">
        <v>1491</v>
      </c>
      <c r="J143" s="1490">
        <v>15</v>
      </c>
      <c r="K143" s="1507">
        <f>ROUND(100+(J143-J140)*K139*100,1)</f>
        <v>102</v>
      </c>
    </row>
    <row r="144" spans="1:17" ht="15">
      <c r="B144" s="1489">
        <v>1</v>
      </c>
      <c r="C144" s="1490">
        <v>98</v>
      </c>
      <c r="D144" s="1494" t="s">
        <v>1492</v>
      </c>
      <c r="E144" s="1491">
        <v>102</v>
      </c>
      <c r="F144" s="1495">
        <v>100</v>
      </c>
      <c r="G144" s="1494" t="s">
        <v>1492</v>
      </c>
      <c r="H144" s="1493">
        <v>105</v>
      </c>
      <c r="I144" s="1505" t="s">
        <v>1491</v>
      </c>
      <c r="J144" s="1490">
        <v>18</v>
      </c>
      <c r="K144" s="1507">
        <f>ROUND(100+(J144-J140)*K139*100,1)</f>
        <v>103.2</v>
      </c>
    </row>
    <row r="145" spans="2:11" ht="15">
      <c r="B145" s="1496" t="s">
        <v>1493</v>
      </c>
      <c r="C145" s="1497">
        <f>ROUND(MAX(C139:C144)/MIN(C139:C144)-1,3)</f>
        <v>7.2999999999999995E-2</v>
      </c>
      <c r="D145" s="1498"/>
      <c r="E145" s="1498"/>
      <c r="F145" s="1499" t="s">
        <v>1494</v>
      </c>
      <c r="G145" s="1403"/>
      <c r="H145" s="1406"/>
      <c r="I145" s="1509" t="s">
        <v>1491</v>
      </c>
      <c r="J145" s="1510">
        <v>8</v>
      </c>
      <c r="K145" s="1511">
        <f>ROUND(100+(J145-J140)*K139*100,1)</f>
        <v>99.2</v>
      </c>
    </row>
    <row r="147" spans="2:11">
      <c r="B147" s="1473" t="s">
        <v>1495</v>
      </c>
    </row>
    <row r="148" spans="2:11">
      <c r="B148" s="1473" t="s">
        <v>1496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1497</v>
      </c>
      <c r="C1" s="1286" t="s">
        <v>1450</v>
      </c>
      <c r="D1" s="1228"/>
      <c r="E1" s="1417"/>
      <c r="F1" s="1230"/>
      <c r="G1" s="1231" t="s">
        <v>934</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936</v>
      </c>
      <c r="B3" s="896" t="e">
        <f ca="1">IF(C2="——",C49,ROUND(B2*10000/D3,0))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76" t="s">
        <v>941</v>
      </c>
      <c r="AC4" s="3161" t="s">
        <v>942</v>
      </c>
    </row>
    <row r="5" spans="1:29" ht="15">
      <c r="A5" s="900"/>
      <c r="B5" s="901"/>
      <c r="C5" s="3201" t="s">
        <v>945</v>
      </c>
      <c r="D5" s="3202"/>
      <c r="E5" s="3203" t="s">
        <v>1452</v>
      </c>
      <c r="F5" s="3204"/>
      <c r="G5" s="3201" t="s">
        <v>1453</v>
      </c>
      <c r="H5" s="3202"/>
      <c r="I5" s="3201" t="s">
        <v>1454</v>
      </c>
      <c r="J5" s="3202"/>
      <c r="K5" s="1032"/>
      <c r="L5" s="1033"/>
      <c r="M5" s="1034"/>
      <c r="N5" s="1034"/>
      <c r="O5" s="1034"/>
      <c r="P5" s="3166"/>
      <c r="Q5" s="3167"/>
      <c r="R5" s="3172"/>
      <c r="S5" s="3173"/>
      <c r="T5" s="3172"/>
      <c r="U5" s="3173"/>
      <c r="V5" s="3176"/>
      <c r="W5" s="3176"/>
      <c r="X5" s="1074"/>
      <c r="Y5" s="3172"/>
      <c r="Z5" s="3173"/>
      <c r="AA5" s="3162"/>
      <c r="AB5" s="3176"/>
      <c r="AC5" s="3162"/>
    </row>
    <row r="6" spans="1:29" ht="15">
      <c r="A6" s="902"/>
      <c r="B6" s="903"/>
      <c r="C6" s="3243" t="s">
        <v>1455</v>
      </c>
      <c r="D6" s="3244"/>
      <c r="E6" s="3245" t="s">
        <v>1455</v>
      </c>
      <c r="F6" s="3246"/>
      <c r="G6" s="3243" t="s">
        <v>1455</v>
      </c>
      <c r="H6" s="3244"/>
      <c r="I6" s="3243" t="s">
        <v>1455</v>
      </c>
      <c r="J6" s="3244"/>
      <c r="K6" s="1032" t="s">
        <v>948</v>
      </c>
      <c r="L6" s="1033"/>
      <c r="M6" s="1034"/>
      <c r="N6" s="1034"/>
      <c r="O6" s="1034"/>
      <c r="P6" s="3168"/>
      <c r="Q6" s="3169"/>
      <c r="R6" s="3172"/>
      <c r="S6" s="3173"/>
      <c r="T6" s="3174"/>
      <c r="U6" s="3175"/>
      <c r="V6" s="3176"/>
      <c r="W6" s="3176"/>
      <c r="X6" s="1074"/>
      <c r="Y6" s="3174"/>
      <c r="Z6" s="3175"/>
      <c r="AA6" s="3163"/>
      <c r="AB6" s="3176"/>
      <c r="AC6" s="3163"/>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90" t="s">
        <v>950</v>
      </c>
      <c r="Q7" s="3197"/>
      <c r="R7" s="1075" t="s">
        <v>951</v>
      </c>
      <c r="S7" s="1076">
        <f t="shared" ref="S7:S15" si="0">F7</f>
        <v>0</v>
      </c>
      <c r="T7" s="1075" t="s">
        <v>951</v>
      </c>
      <c r="U7" s="1076">
        <f t="shared" ref="U7:U15" si="1">H7</f>
        <v>0</v>
      </c>
      <c r="V7" s="1075" t="s">
        <v>951</v>
      </c>
      <c r="W7" s="1076">
        <f t="shared" ref="W7:W15" si="2">J7</f>
        <v>0</v>
      </c>
      <c r="X7" s="1077"/>
      <c r="Y7" s="3190" t="s">
        <v>950</v>
      </c>
      <c r="Z7" s="3191"/>
      <c r="AA7" s="1090" t="e">
        <f>D7/F7</f>
        <v>#DIV/0!</v>
      </c>
      <c r="AB7" s="1090" t="e">
        <f>D7/H7</f>
        <v>#DIV/0!</v>
      </c>
      <c r="AC7" s="1090" t="e">
        <f>D7/J7</f>
        <v>#DIV/0!</v>
      </c>
    </row>
    <row r="8" spans="1:29" s="878" customFormat="1" ht="15">
      <c r="A8" s="904" t="s">
        <v>952</v>
      </c>
      <c r="B8" s="905"/>
      <c r="C8" s="911" t="s">
        <v>953</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46" si="3">D8/F8</f>
        <v>#DIV/0!</v>
      </c>
      <c r="AB8" s="1090" t="e">
        <f t="shared" ref="AB8:AB46" si="4">D8/H8</f>
        <v>#DIV/0!</v>
      </c>
      <c r="AC8" s="1090" t="e">
        <f t="shared" ref="AC8:AC46" si="5">D8/J8</f>
        <v>#DIV/0!</v>
      </c>
    </row>
    <row r="9" spans="1:29" s="878" customFormat="1">
      <c r="A9" s="912" t="s">
        <v>955</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2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090">
        <f t="shared" si="5"/>
        <v>1</v>
      </c>
    </row>
    <row r="15" spans="1:29" ht="71.25">
      <c r="A15" s="936" t="s">
        <v>960</v>
      </c>
      <c r="B15" s="937" t="s">
        <v>671</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37" t="s">
        <v>961</v>
      </c>
      <c r="Q15" s="661" t="str">
        <f t="shared" si="6"/>
        <v>商业繁华度</v>
      </c>
      <c r="R15" s="1080" t="s">
        <v>951</v>
      </c>
      <c r="S15" s="1081">
        <f t="shared" si="0"/>
        <v>100</v>
      </c>
      <c r="T15" s="1080" t="s">
        <v>951</v>
      </c>
      <c r="U15" s="1081">
        <f t="shared" si="1"/>
        <v>100</v>
      </c>
      <c r="V15" s="1080" t="s">
        <v>951</v>
      </c>
      <c r="W15" s="1081">
        <f t="shared" si="2"/>
        <v>100</v>
      </c>
      <c r="X15" s="1074"/>
      <c r="Y15" s="3179" t="s">
        <v>961</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38"/>
      <c r="Q16" s="661"/>
      <c r="R16" s="1080"/>
      <c r="S16" s="1081"/>
      <c r="T16" s="1080"/>
      <c r="U16" s="1081"/>
      <c r="V16" s="1080"/>
      <c r="W16" s="1081"/>
      <c r="X16" s="1074"/>
      <c r="Y16" s="3180"/>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38"/>
      <c r="Q17" s="661" t="str">
        <f>B17</f>
        <v>交通便捷度</v>
      </c>
      <c r="R17" s="1080" t="s">
        <v>951</v>
      </c>
      <c r="S17" s="1081">
        <f>F17</f>
        <v>100</v>
      </c>
      <c r="T17" s="1080" t="s">
        <v>951</v>
      </c>
      <c r="U17" s="1081">
        <f>H17</f>
        <v>100</v>
      </c>
      <c r="V17" s="1080" t="s">
        <v>951</v>
      </c>
      <c r="W17" s="1081">
        <f>J17</f>
        <v>100</v>
      </c>
      <c r="X17" s="1074"/>
      <c r="Y17" s="3180"/>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38"/>
      <c r="Q18" s="661"/>
      <c r="R18" s="1080"/>
      <c r="S18" s="1081"/>
      <c r="T18" s="1080"/>
      <c r="U18" s="1081"/>
      <c r="V18" s="1080"/>
      <c r="W18" s="1081"/>
      <c r="X18" s="1074"/>
      <c r="Y18" s="3180"/>
      <c r="Z18" s="1073"/>
      <c r="AA18" s="1092">
        <v>1</v>
      </c>
      <c r="AB18" s="1092">
        <v>1</v>
      </c>
      <c r="AC18" s="1092">
        <v>1</v>
      </c>
    </row>
    <row r="19" spans="1:29" ht="42.75">
      <c r="A19" s="922"/>
      <c r="B19" s="946" t="s">
        <v>677</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38"/>
      <c r="Q19" s="661" t="str">
        <f>B19</f>
        <v>公共配套设施</v>
      </c>
      <c r="R19" s="1080" t="s">
        <v>951</v>
      </c>
      <c r="S19" s="1081">
        <f>F19</f>
        <v>100</v>
      </c>
      <c r="T19" s="1080" t="s">
        <v>951</v>
      </c>
      <c r="U19" s="1081">
        <f>H19</f>
        <v>100</v>
      </c>
      <c r="V19" s="1080" t="s">
        <v>951</v>
      </c>
      <c r="W19" s="1081">
        <f>J19</f>
        <v>100</v>
      </c>
      <c r="X19" s="1074"/>
      <c r="Y19" s="3180"/>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38"/>
      <c r="Q20" s="661"/>
      <c r="R20" s="1080"/>
      <c r="S20" s="1081"/>
      <c r="T20" s="1080"/>
      <c r="U20" s="1081"/>
      <c r="V20" s="1080"/>
      <c r="W20" s="1081"/>
      <c r="X20" s="1074"/>
      <c r="Y20" s="3180"/>
      <c r="Z20" s="1073"/>
      <c r="AA20" s="1092">
        <v>1</v>
      </c>
      <c r="AB20" s="1092">
        <v>1</v>
      </c>
      <c r="AC20" s="1092">
        <v>1</v>
      </c>
    </row>
    <row r="21" spans="1:29" ht="28.5">
      <c r="A21" s="922"/>
      <c r="B21" s="954" t="s">
        <v>679</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38"/>
      <c r="Q21" s="661" t="str">
        <f>B21</f>
        <v>基础设施水平</v>
      </c>
      <c r="R21" s="1080" t="s">
        <v>951</v>
      </c>
      <c r="S21" s="1081">
        <f>F21</f>
        <v>100</v>
      </c>
      <c r="T21" s="1080" t="s">
        <v>951</v>
      </c>
      <c r="U21" s="1081">
        <f>H21</f>
        <v>100</v>
      </c>
      <c r="V21" s="1080" t="s">
        <v>951</v>
      </c>
      <c r="W21" s="1081">
        <f>J21</f>
        <v>100</v>
      </c>
      <c r="X21" s="1074"/>
      <c r="Y21" s="3180"/>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38"/>
      <c r="Q22" s="661"/>
      <c r="R22" s="1080"/>
      <c r="S22" s="1081"/>
      <c r="T22" s="1080"/>
      <c r="U22" s="1081"/>
      <c r="V22" s="1080"/>
      <c r="W22" s="1081"/>
      <c r="X22" s="1074"/>
      <c r="Y22" s="3180"/>
      <c r="Z22" s="1073"/>
      <c r="AA22" s="1092">
        <v>1</v>
      </c>
      <c r="AB22" s="1092">
        <v>1</v>
      </c>
      <c r="AC22" s="1092">
        <v>1</v>
      </c>
    </row>
    <row r="23" spans="1:29" ht="57">
      <c r="A23" s="922"/>
      <c r="B23" s="946" t="s">
        <v>683</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38"/>
      <c r="Q23" s="661" t="str">
        <f>B23</f>
        <v>自然及人文环境</v>
      </c>
      <c r="R23" s="1080" t="s">
        <v>951</v>
      </c>
      <c r="S23" s="1081">
        <f>F23</f>
        <v>100</v>
      </c>
      <c r="T23" s="1080" t="s">
        <v>951</v>
      </c>
      <c r="U23" s="1081">
        <f>H23</f>
        <v>100</v>
      </c>
      <c r="V23" s="1080" t="s">
        <v>951</v>
      </c>
      <c r="W23" s="1081">
        <f>J23</f>
        <v>100</v>
      </c>
      <c r="X23" s="1074"/>
      <c r="Y23" s="3180"/>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38"/>
      <c r="Q24" s="661"/>
      <c r="R24" s="1080"/>
      <c r="S24" s="1081"/>
      <c r="T24" s="1080"/>
      <c r="U24" s="1081"/>
      <c r="V24" s="1080"/>
      <c r="W24" s="1081"/>
      <c r="X24" s="1074"/>
      <c r="Y24" s="3180"/>
      <c r="Z24" s="1073"/>
      <c r="AA24" s="1092">
        <v>1</v>
      </c>
      <c r="AB24" s="1092">
        <v>1</v>
      </c>
      <c r="AC24" s="1092">
        <v>1</v>
      </c>
    </row>
    <row r="25" spans="1:29" ht="15">
      <c r="A25" s="922"/>
      <c r="B25" s="917" t="s">
        <v>689</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38"/>
      <c r="Q25" s="661" t="str">
        <f t="shared" ref="Q25:Q46" si="11">B25</f>
        <v>临街状况</v>
      </c>
      <c r="R25" s="1080" t="s">
        <v>951</v>
      </c>
      <c r="S25" s="1081">
        <f>F25</f>
        <v>100</v>
      </c>
      <c r="T25" s="1080" t="s">
        <v>951</v>
      </c>
      <c r="U25" s="1081">
        <f>H25</f>
        <v>100</v>
      </c>
      <c r="V25" s="1080" t="s">
        <v>951</v>
      </c>
      <c r="W25" s="1081">
        <f>J25</f>
        <v>100</v>
      </c>
      <c r="X25" s="1074"/>
      <c r="Y25" s="3180"/>
      <c r="Z25" s="1073" t="str">
        <f>Q25</f>
        <v>临街状况</v>
      </c>
      <c r="AA25" s="1092">
        <f t="shared" si="3"/>
        <v>1</v>
      </c>
      <c r="AB25" s="1092">
        <f t="shared" si="4"/>
        <v>1</v>
      </c>
      <c r="AC25" s="1092">
        <f t="shared" si="5"/>
        <v>1</v>
      </c>
    </row>
    <row r="26" spans="1:29" ht="15">
      <c r="A26" s="922"/>
      <c r="B26" s="964" t="s">
        <v>1498</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38"/>
      <c r="Q26" s="661" t="str">
        <f t="shared" si="11"/>
        <v>平面位置/可视性</v>
      </c>
      <c r="R26" s="1080" t="s">
        <v>951</v>
      </c>
      <c r="S26" s="1081">
        <f>F26</f>
        <v>100</v>
      </c>
      <c r="T26" s="1080" t="s">
        <v>951</v>
      </c>
      <c r="U26" s="1081">
        <f>H26</f>
        <v>100</v>
      </c>
      <c r="V26" s="1080" t="s">
        <v>951</v>
      </c>
      <c r="W26" s="1081">
        <f>J26</f>
        <v>100</v>
      </c>
      <c r="X26" s="1074"/>
      <c r="Y26" s="3180"/>
      <c r="Z26" s="1073" t="str">
        <f>Q26</f>
        <v>平面位置/可视性</v>
      </c>
      <c r="AA26" s="1092">
        <f t="shared" si="3"/>
        <v>1</v>
      </c>
      <c r="AB26" s="1092">
        <f t="shared" si="4"/>
        <v>1</v>
      </c>
      <c r="AC26" s="1092">
        <f t="shared" si="5"/>
        <v>1</v>
      </c>
    </row>
    <row r="27" spans="1:29" s="878" customFormat="1" ht="15">
      <c r="A27" s="925"/>
      <c r="B27" s="946" t="s">
        <v>1499</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38"/>
      <c r="Q27" s="1079" t="str">
        <f t="shared" si="11"/>
        <v>人流量</v>
      </c>
      <c r="R27" s="1075" t="s">
        <v>951</v>
      </c>
      <c r="S27" s="1076">
        <f>F27</f>
        <v>100</v>
      </c>
      <c r="T27" s="1075" t="s">
        <v>951</v>
      </c>
      <c r="U27" s="1076">
        <f>H27</f>
        <v>100</v>
      </c>
      <c r="V27" s="1075" t="s">
        <v>951</v>
      </c>
      <c r="W27" s="1076">
        <f>J27</f>
        <v>100</v>
      </c>
      <c r="X27" s="1077"/>
      <c r="Y27" s="3180"/>
      <c r="Z27" s="1091" t="str">
        <f>Q27</f>
        <v>人流量</v>
      </c>
      <c r="AA27" s="1092">
        <f t="shared" si="3"/>
        <v>1</v>
      </c>
      <c r="AB27" s="1092">
        <f t="shared" si="4"/>
        <v>1</v>
      </c>
      <c r="AC27" s="1092">
        <f t="shared" si="5"/>
        <v>1</v>
      </c>
    </row>
    <row r="28" spans="1:29" ht="15">
      <c r="A28" s="922"/>
      <c r="B28" s="917" t="s">
        <v>1500</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38"/>
      <c r="Q28" s="661" t="str">
        <f t="shared" si="11"/>
        <v>楼层</v>
      </c>
      <c r="R28" s="1080" t="s">
        <v>951</v>
      </c>
      <c r="S28" s="1081">
        <f t="shared" ref="S28:S46" si="12">F28</f>
        <v>100</v>
      </c>
      <c r="T28" s="1080" t="s">
        <v>951</v>
      </c>
      <c r="U28" s="1081">
        <f t="shared" ref="U28:U46" si="13">H28</f>
        <v>100</v>
      </c>
      <c r="V28" s="1080" t="s">
        <v>951</v>
      </c>
      <c r="W28" s="1081">
        <f t="shared" ref="W28:W46" si="14">J28</f>
        <v>100</v>
      </c>
      <c r="X28" s="1074"/>
      <c r="Y28" s="3180"/>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38"/>
      <c r="Q29" s="661">
        <f t="shared" si="11"/>
        <v>111</v>
      </c>
      <c r="R29" s="1080" t="s">
        <v>951</v>
      </c>
      <c r="S29" s="1081">
        <f t="shared" si="12"/>
        <v>100</v>
      </c>
      <c r="T29" s="1080" t="s">
        <v>951</v>
      </c>
      <c r="U29" s="1081">
        <f t="shared" si="13"/>
        <v>100</v>
      </c>
      <c r="V29" s="1080" t="s">
        <v>951</v>
      </c>
      <c r="W29" s="1081">
        <f t="shared" si="14"/>
        <v>100</v>
      </c>
      <c r="X29" s="1074"/>
      <c r="Y29" s="3180"/>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38"/>
      <c r="Q30" s="661">
        <f t="shared" si="11"/>
        <v>111</v>
      </c>
      <c r="R30" s="1080" t="s">
        <v>951</v>
      </c>
      <c r="S30" s="1081">
        <f t="shared" si="12"/>
        <v>100</v>
      </c>
      <c r="T30" s="1080" t="s">
        <v>951</v>
      </c>
      <c r="U30" s="1081">
        <f t="shared" si="13"/>
        <v>100</v>
      </c>
      <c r="V30" s="1080" t="s">
        <v>951</v>
      </c>
      <c r="W30" s="1081">
        <f t="shared" si="14"/>
        <v>100</v>
      </c>
      <c r="X30" s="1074"/>
      <c r="Y30" s="3180"/>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38"/>
      <c r="Q31" s="661">
        <f t="shared" si="11"/>
        <v>111</v>
      </c>
      <c r="R31" s="1080" t="s">
        <v>951</v>
      </c>
      <c r="S31" s="1081">
        <f t="shared" si="12"/>
        <v>100</v>
      </c>
      <c r="T31" s="1080" t="s">
        <v>951</v>
      </c>
      <c r="U31" s="1081">
        <f t="shared" si="13"/>
        <v>100</v>
      </c>
      <c r="V31" s="1080" t="s">
        <v>951</v>
      </c>
      <c r="W31" s="1081">
        <f t="shared" si="14"/>
        <v>100</v>
      </c>
      <c r="X31" s="1074"/>
      <c r="Y31" s="3180"/>
      <c r="Z31" s="1073">
        <f t="shared" si="15"/>
        <v>111</v>
      </c>
      <c r="AA31" s="1092">
        <f t="shared" si="3"/>
        <v>1</v>
      </c>
      <c r="AB31" s="1092">
        <f t="shared" si="4"/>
        <v>1</v>
      </c>
      <c r="AC31" s="1092">
        <f t="shared" si="5"/>
        <v>1</v>
      </c>
    </row>
    <row r="32" spans="1:29" ht="15">
      <c r="A32" s="936" t="s">
        <v>963</v>
      </c>
      <c r="B32" s="913" t="s">
        <v>1501</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39" t="s">
        <v>962</v>
      </c>
      <c r="Q32" s="661" t="str">
        <f t="shared" si="11"/>
        <v>商业类型</v>
      </c>
      <c r="R32" s="1080" t="s">
        <v>951</v>
      </c>
      <c r="S32" s="1081">
        <f t="shared" si="12"/>
        <v>100</v>
      </c>
      <c r="T32" s="1080" t="s">
        <v>951</v>
      </c>
      <c r="U32" s="1081">
        <f t="shared" si="13"/>
        <v>100</v>
      </c>
      <c r="V32" s="1080" t="s">
        <v>951</v>
      </c>
      <c r="W32" s="1081">
        <f t="shared" si="14"/>
        <v>100</v>
      </c>
      <c r="X32" s="1074"/>
      <c r="Y32" s="3182" t="s">
        <v>962</v>
      </c>
      <c r="Z32" s="1073" t="str">
        <f t="shared" si="15"/>
        <v>商业类型</v>
      </c>
      <c r="AA32" s="1092">
        <f t="shared" si="3"/>
        <v>1</v>
      </c>
      <c r="AB32" s="1092">
        <f t="shared" si="4"/>
        <v>1</v>
      </c>
      <c r="AC32" s="1092">
        <f t="shared" si="5"/>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0"/>
      <c r="Q33" s="1294" t="str">
        <f t="shared" si="11"/>
        <v>项目建筑规模</v>
      </c>
      <c r="R33" s="1082" t="s">
        <v>951</v>
      </c>
      <c r="S33" s="1083" t="e">
        <f t="shared" si="12"/>
        <v>#N/A</v>
      </c>
      <c r="T33" s="1082" t="s">
        <v>951</v>
      </c>
      <c r="U33" s="1083" t="e">
        <f t="shared" si="13"/>
        <v>#N/A</v>
      </c>
      <c r="V33" s="1082" t="s">
        <v>951</v>
      </c>
      <c r="W33" s="1083" t="e">
        <f t="shared" si="14"/>
        <v>#N/A</v>
      </c>
      <c r="X33" s="1084"/>
      <c r="Y33" s="3182"/>
      <c r="Z33" s="1093" t="str">
        <f t="shared" si="15"/>
        <v>项目建筑规模</v>
      </c>
      <c r="AA33" s="1092" t="e">
        <f t="shared" si="3"/>
        <v>#N/A</v>
      </c>
      <c r="AB33" s="1092" t="e">
        <f t="shared" si="4"/>
        <v>#N/A</v>
      </c>
      <c r="AC33" s="1092" t="e">
        <f t="shared" si="5"/>
        <v>#N/A</v>
      </c>
    </row>
    <row r="34" spans="1:29" ht="15">
      <c r="A34" s="973"/>
      <c r="B34" s="917" t="s">
        <v>1460</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0"/>
      <c r="Q34" s="661" t="str">
        <f t="shared" si="11"/>
        <v>建筑结构</v>
      </c>
      <c r="R34" s="1080" t="s">
        <v>951</v>
      </c>
      <c r="S34" s="1081">
        <f t="shared" si="12"/>
        <v>100</v>
      </c>
      <c r="T34" s="1080" t="s">
        <v>951</v>
      </c>
      <c r="U34" s="1081">
        <f t="shared" si="13"/>
        <v>100</v>
      </c>
      <c r="V34" s="1080" t="s">
        <v>951</v>
      </c>
      <c r="W34" s="1081">
        <f t="shared" si="14"/>
        <v>100</v>
      </c>
      <c r="X34" s="1074"/>
      <c r="Y34" s="3182"/>
      <c r="Z34" s="1073" t="str">
        <f t="shared" si="15"/>
        <v>建筑结构</v>
      </c>
      <c r="AA34" s="1092">
        <f t="shared" si="3"/>
        <v>1</v>
      </c>
      <c r="AB34" s="1092">
        <f t="shared" si="4"/>
        <v>1</v>
      </c>
      <c r="AC34" s="1092">
        <f t="shared" si="5"/>
        <v>1</v>
      </c>
    </row>
    <row r="35" spans="1:29" ht="15">
      <c r="A35" s="973"/>
      <c r="B35" s="917" t="s">
        <v>1462</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0"/>
      <c r="Q35" s="661" t="str">
        <f t="shared" si="11"/>
        <v>公共部分装修</v>
      </c>
      <c r="R35" s="1080" t="s">
        <v>951</v>
      </c>
      <c r="S35" s="1081">
        <f t="shared" si="12"/>
        <v>100</v>
      </c>
      <c r="T35" s="1080" t="s">
        <v>951</v>
      </c>
      <c r="U35" s="1081">
        <f t="shared" si="13"/>
        <v>100</v>
      </c>
      <c r="V35" s="1080" t="s">
        <v>951</v>
      </c>
      <c r="W35" s="1081">
        <f t="shared" si="14"/>
        <v>100</v>
      </c>
      <c r="X35" s="1074"/>
      <c r="Y35" s="3182"/>
      <c r="Z35" s="1073" t="str">
        <f t="shared" si="15"/>
        <v>公共部分装修</v>
      </c>
      <c r="AA35" s="1092">
        <f t="shared" si="3"/>
        <v>1</v>
      </c>
      <c r="AB35" s="1092">
        <f t="shared" si="4"/>
        <v>1</v>
      </c>
      <c r="AC35" s="1092">
        <f t="shared" si="5"/>
        <v>1</v>
      </c>
    </row>
    <row r="36" spans="1:29" ht="15">
      <c r="A36" s="973"/>
      <c r="B36" s="917" t="s">
        <v>575</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0"/>
      <c r="Q36" s="661" t="str">
        <f t="shared" si="11"/>
        <v>成新度</v>
      </c>
      <c r="R36" s="1080" t="s">
        <v>951</v>
      </c>
      <c r="S36" s="1081" t="e">
        <f t="shared" si="12"/>
        <v>#N/A</v>
      </c>
      <c r="T36" s="1080" t="s">
        <v>951</v>
      </c>
      <c r="U36" s="1081" t="e">
        <f t="shared" si="13"/>
        <v>#N/A</v>
      </c>
      <c r="V36" s="1080" t="s">
        <v>951</v>
      </c>
      <c r="W36" s="1081" t="e">
        <f t="shared" si="14"/>
        <v>#N/A</v>
      </c>
      <c r="X36" s="1074"/>
      <c r="Y36" s="3182"/>
      <c r="Z36" s="1073" t="str">
        <f t="shared" si="15"/>
        <v>成新度</v>
      </c>
      <c r="AA36" s="1092" t="e">
        <f t="shared" si="3"/>
        <v>#N/A</v>
      </c>
      <c r="AB36" s="1092" t="e">
        <f t="shared" si="4"/>
        <v>#N/A</v>
      </c>
      <c r="AC36" s="1092" t="e">
        <f t="shared" si="5"/>
        <v>#N/A</v>
      </c>
    </row>
    <row r="37" spans="1:29" s="878" customFormat="1" ht="15">
      <c r="A37" s="977"/>
      <c r="B37" s="917" t="s">
        <v>1464</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0"/>
      <c r="Q37" s="1079" t="str">
        <f t="shared" si="11"/>
        <v>市政基础设施</v>
      </c>
      <c r="R37" s="1075" t="s">
        <v>951</v>
      </c>
      <c r="S37" s="1076">
        <f t="shared" si="12"/>
        <v>100</v>
      </c>
      <c r="T37" s="1075" t="s">
        <v>951</v>
      </c>
      <c r="U37" s="1076">
        <f t="shared" si="13"/>
        <v>100</v>
      </c>
      <c r="V37" s="1075" t="s">
        <v>951</v>
      </c>
      <c r="W37" s="1076">
        <f t="shared" si="14"/>
        <v>100</v>
      </c>
      <c r="X37" s="1077"/>
      <c r="Y37" s="3182"/>
      <c r="Z37" s="1091" t="str">
        <f t="shared" si="15"/>
        <v>市政基础设施</v>
      </c>
      <c r="AA37" s="1090">
        <f t="shared" si="3"/>
        <v>1</v>
      </c>
      <c r="AB37" s="1090">
        <f t="shared" si="4"/>
        <v>1</v>
      </c>
      <c r="AC37" s="1090">
        <f t="shared" si="5"/>
        <v>1</v>
      </c>
    </row>
    <row r="38" spans="1:29" ht="15">
      <c r="A38" s="973"/>
      <c r="B38" s="917" t="s">
        <v>1502</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0" t="s">
        <v>962</v>
      </c>
      <c r="Q38" s="661" t="str">
        <f t="shared" si="11"/>
        <v>业态</v>
      </c>
      <c r="R38" s="1080" t="s">
        <v>951</v>
      </c>
      <c r="S38" s="1081">
        <f t="shared" si="12"/>
        <v>100</v>
      </c>
      <c r="T38" s="1080" t="s">
        <v>951</v>
      </c>
      <c r="U38" s="1081">
        <f t="shared" si="13"/>
        <v>100</v>
      </c>
      <c r="V38" s="1080" t="s">
        <v>951</v>
      </c>
      <c r="W38" s="1081">
        <f t="shared" si="14"/>
        <v>100</v>
      </c>
      <c r="X38" s="1074"/>
      <c r="Y38" s="3182" t="s">
        <v>962</v>
      </c>
      <c r="Z38" s="1073" t="str">
        <f t="shared" si="15"/>
        <v>业态</v>
      </c>
      <c r="AA38" s="1092">
        <f t="shared" si="3"/>
        <v>1</v>
      </c>
      <c r="AB38" s="1092">
        <f t="shared" si="4"/>
        <v>1</v>
      </c>
      <c r="AC38" s="1092">
        <f t="shared" si="5"/>
        <v>1</v>
      </c>
    </row>
    <row r="39" spans="1:29" ht="15">
      <c r="A39" s="973"/>
      <c r="B39" s="917" t="s">
        <v>1503</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0"/>
      <c r="Q39" s="661" t="str">
        <f t="shared" si="11"/>
        <v>层高</v>
      </c>
      <c r="R39" s="1080" t="s">
        <v>951</v>
      </c>
      <c r="S39" s="1081">
        <f t="shared" si="12"/>
        <v>100</v>
      </c>
      <c r="T39" s="1080" t="s">
        <v>951</v>
      </c>
      <c r="U39" s="1081">
        <f t="shared" si="13"/>
        <v>100</v>
      </c>
      <c r="V39" s="1080" t="s">
        <v>951</v>
      </c>
      <c r="W39" s="1081">
        <f t="shared" si="14"/>
        <v>100</v>
      </c>
      <c r="X39" s="1074"/>
      <c r="Y39" s="3182"/>
      <c r="Z39" s="1073" t="str">
        <f t="shared" si="15"/>
        <v>层高</v>
      </c>
      <c r="AA39" s="1092">
        <f t="shared" si="3"/>
        <v>1</v>
      </c>
      <c r="AB39" s="1092">
        <f t="shared" si="4"/>
        <v>1</v>
      </c>
      <c r="AC39" s="1092">
        <f t="shared" si="5"/>
        <v>1</v>
      </c>
    </row>
    <row r="40" spans="1:29" ht="15">
      <c r="A40" s="973"/>
      <c r="B40" s="917" t="s">
        <v>1504</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0"/>
      <c r="Q40" s="661" t="str">
        <f t="shared" si="11"/>
        <v>单套建筑面积</v>
      </c>
      <c r="R40" s="1080" t="s">
        <v>951</v>
      </c>
      <c r="S40" s="1081">
        <f t="shared" si="12"/>
        <v>100</v>
      </c>
      <c r="T40" s="1080" t="s">
        <v>951</v>
      </c>
      <c r="U40" s="1081">
        <f t="shared" si="13"/>
        <v>100</v>
      </c>
      <c r="V40" s="1080" t="s">
        <v>951</v>
      </c>
      <c r="W40" s="1081">
        <f t="shared" si="14"/>
        <v>100</v>
      </c>
      <c r="X40" s="1074"/>
      <c r="Y40" s="3182"/>
      <c r="Z40" s="1073" t="str">
        <f t="shared" si="15"/>
        <v>单套建筑面积</v>
      </c>
      <c r="AA40" s="1092">
        <f t="shared" si="3"/>
        <v>1</v>
      </c>
      <c r="AB40" s="1092">
        <f t="shared" si="4"/>
        <v>1</v>
      </c>
      <c r="AC40" s="1092">
        <f t="shared" si="5"/>
        <v>1</v>
      </c>
    </row>
    <row r="41" spans="1:29" s="880" customFormat="1" ht="15">
      <c r="A41" s="979"/>
      <c r="B41" s="1061" t="s">
        <v>1505</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0"/>
      <c r="Q41" s="1294" t="str">
        <f t="shared" si="11"/>
        <v>进深比</v>
      </c>
      <c r="R41" s="1082" t="s">
        <v>951</v>
      </c>
      <c r="S41" s="1083">
        <f t="shared" si="12"/>
        <v>100</v>
      </c>
      <c r="T41" s="1082" t="s">
        <v>951</v>
      </c>
      <c r="U41" s="1083">
        <f t="shared" si="13"/>
        <v>100</v>
      </c>
      <c r="V41" s="1082" t="s">
        <v>951</v>
      </c>
      <c r="W41" s="1083">
        <f t="shared" si="14"/>
        <v>100</v>
      </c>
      <c r="X41" s="1084"/>
      <c r="Y41" s="3182"/>
      <c r="Z41" s="1093" t="str">
        <f t="shared" si="15"/>
        <v>进深比</v>
      </c>
      <c r="AA41" s="1092">
        <f t="shared" si="3"/>
        <v>1</v>
      </c>
      <c r="AB41" s="1092">
        <f t="shared" si="4"/>
        <v>1</v>
      </c>
      <c r="AC41" s="1092">
        <f t="shared" si="5"/>
        <v>1</v>
      </c>
    </row>
    <row r="42" spans="1:29" ht="15">
      <c r="A42" s="973"/>
      <c r="B42" s="917" t="s">
        <v>1467</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0"/>
      <c r="Q42" s="661" t="str">
        <f t="shared" si="11"/>
        <v>内部装修</v>
      </c>
      <c r="R42" s="1080" t="s">
        <v>951</v>
      </c>
      <c r="S42" s="1081">
        <f t="shared" si="12"/>
        <v>100</v>
      </c>
      <c r="T42" s="1080" t="s">
        <v>951</v>
      </c>
      <c r="U42" s="1081">
        <f t="shared" si="13"/>
        <v>100</v>
      </c>
      <c r="V42" s="1080" t="s">
        <v>951</v>
      </c>
      <c r="W42" s="1081">
        <f t="shared" si="14"/>
        <v>100</v>
      </c>
      <c r="X42" s="1074"/>
      <c r="Y42" s="3182"/>
      <c r="Z42" s="1073" t="str">
        <f t="shared" si="15"/>
        <v>内部装修</v>
      </c>
      <c r="AA42" s="1092">
        <f t="shared" si="3"/>
        <v>1</v>
      </c>
      <c r="AB42" s="1092">
        <f t="shared" si="4"/>
        <v>1</v>
      </c>
      <c r="AC42" s="1092">
        <f t="shared" si="5"/>
        <v>1</v>
      </c>
    </row>
    <row r="43" spans="1:29" ht="15">
      <c r="A43" s="973"/>
      <c r="B43" s="917" t="s">
        <v>1468</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0"/>
      <c r="Q43" s="661" t="str">
        <f t="shared" si="11"/>
        <v>内部装修维护情况</v>
      </c>
      <c r="R43" s="1080" t="s">
        <v>951</v>
      </c>
      <c r="S43" s="1081">
        <f t="shared" si="12"/>
        <v>100</v>
      </c>
      <c r="T43" s="1080" t="s">
        <v>951</v>
      </c>
      <c r="U43" s="1081">
        <f t="shared" si="13"/>
        <v>100</v>
      </c>
      <c r="V43" s="1080" t="s">
        <v>951</v>
      </c>
      <c r="W43" s="1081">
        <f t="shared" si="14"/>
        <v>100</v>
      </c>
      <c r="X43" s="1074"/>
      <c r="Y43" s="3182"/>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0"/>
      <c r="Q44" s="1079">
        <f t="shared" si="11"/>
        <v>111</v>
      </c>
      <c r="R44" s="1075" t="s">
        <v>951</v>
      </c>
      <c r="S44" s="1076">
        <f t="shared" si="12"/>
        <v>100</v>
      </c>
      <c r="T44" s="1075" t="s">
        <v>951</v>
      </c>
      <c r="U44" s="1076">
        <f t="shared" si="13"/>
        <v>100</v>
      </c>
      <c r="V44" s="1075" t="s">
        <v>951</v>
      </c>
      <c r="W44" s="1076">
        <f t="shared" si="14"/>
        <v>100</v>
      </c>
      <c r="X44" s="1077"/>
      <c r="Y44" s="3182"/>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0"/>
      <c r="Q45" s="661">
        <f t="shared" si="11"/>
        <v>111</v>
      </c>
      <c r="R45" s="1080" t="s">
        <v>951</v>
      </c>
      <c r="S45" s="1081">
        <f t="shared" si="12"/>
        <v>100</v>
      </c>
      <c r="T45" s="1080" t="s">
        <v>951</v>
      </c>
      <c r="U45" s="1081">
        <f t="shared" si="13"/>
        <v>100</v>
      </c>
      <c r="V45" s="1080" t="s">
        <v>951</v>
      </c>
      <c r="W45" s="1081">
        <f t="shared" si="14"/>
        <v>100</v>
      </c>
      <c r="X45" s="1074"/>
      <c r="Y45" s="3182"/>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1"/>
      <c r="Q46" s="661">
        <f t="shared" si="11"/>
        <v>111</v>
      </c>
      <c r="R46" s="1080" t="s">
        <v>951</v>
      </c>
      <c r="S46" s="1081">
        <f t="shared" si="12"/>
        <v>100</v>
      </c>
      <c r="T46" s="1080" t="s">
        <v>951</v>
      </c>
      <c r="U46" s="1081">
        <f t="shared" si="13"/>
        <v>100</v>
      </c>
      <c r="V46" s="1080" t="s">
        <v>951</v>
      </c>
      <c r="W46" s="1081">
        <f t="shared" si="14"/>
        <v>100</v>
      </c>
      <c r="X46" s="1074"/>
      <c r="Y46" s="3242"/>
      <c r="Z46" s="1073">
        <f t="shared" si="15"/>
        <v>111</v>
      </c>
      <c r="AA46" s="1092">
        <f t="shared" si="3"/>
        <v>1</v>
      </c>
      <c r="AB46" s="1092">
        <f t="shared" si="4"/>
        <v>1</v>
      </c>
      <c r="AC46" s="1092">
        <f t="shared" si="5"/>
        <v>1</v>
      </c>
    </row>
    <row r="47" spans="1:29" ht="15">
      <c r="A47" s="982" t="s">
        <v>1469</v>
      </c>
      <c r="B47" s="1265"/>
      <c r="C47" s="1266" t="s">
        <v>124</v>
      </c>
      <c r="D47" s="1267"/>
      <c r="E47" s="1268"/>
      <c r="F47" s="1269"/>
      <c r="G47" s="1270"/>
      <c r="H47" s="1271"/>
      <c r="I47" s="1268"/>
      <c r="J47" s="1271"/>
      <c r="K47" s="1057"/>
      <c r="L47" s="1058"/>
      <c r="M47" s="999"/>
      <c r="N47" s="1034"/>
      <c r="O47" s="999"/>
      <c r="P47" s="3178" t="str">
        <f>A47</f>
        <v>成交单价（元/平方米）</v>
      </c>
      <c r="Q47" s="3178"/>
      <c r="R47" s="3176">
        <f>E47</f>
        <v>0</v>
      </c>
      <c r="S47" s="3176"/>
      <c r="T47" s="3176">
        <f>G47</f>
        <v>0</v>
      </c>
      <c r="U47" s="3176"/>
      <c r="V47" s="3176">
        <f>I47</f>
        <v>0</v>
      </c>
      <c r="W47" s="3176"/>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059"/>
      <c r="L48" s="1058"/>
      <c r="M48" s="999"/>
      <c r="N48" s="1034"/>
      <c r="O48" s="999"/>
      <c r="P48" s="3178" t="str">
        <f>A48</f>
        <v>比较价值（元/平方米）</v>
      </c>
      <c r="Q48" s="317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1085"/>
      <c r="Y48" s="1085"/>
      <c r="Z48" s="1085"/>
      <c r="AA48" s="1085"/>
      <c r="AB48" s="1085"/>
      <c r="AC48" s="1085"/>
    </row>
    <row r="49" spans="1:29" ht="15">
      <c r="A49" s="996" t="s">
        <v>972</v>
      </c>
      <c r="B49" s="997"/>
      <c r="C49" s="1276" t="e">
        <f>R49</f>
        <v>#DIV/0!</v>
      </c>
      <c r="D49" s="1276"/>
      <c r="E49" s="1276"/>
      <c r="F49" s="1276"/>
      <c r="G49" s="1276"/>
      <c r="H49" s="1276"/>
      <c r="I49" s="1276"/>
      <c r="J49" s="1276"/>
      <c r="K49" s="1060"/>
      <c r="L49" s="1058"/>
      <c r="M49" s="999"/>
      <c r="N49" s="1034"/>
      <c r="O49" s="999"/>
      <c r="P49" s="3187" t="str">
        <f>A49</f>
        <v>估价对象XX用房的比较价值（楼面单价，元/平方米）</v>
      </c>
      <c r="Q49" s="3188"/>
      <c r="R49" s="3236" t="e">
        <f>IF(F1="售价",ROUND(AVERAGE(R48:V48),0),ROUND(AVERAGE(R48:V48),1))</f>
        <v>#DIV/0!</v>
      </c>
      <c r="S49" s="3236"/>
      <c r="T49" s="3236"/>
      <c r="U49" s="3236"/>
      <c r="V49" s="3236"/>
      <c r="W49" s="3236"/>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1001</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949</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t="s">
        <v>1000</v>
      </c>
      <c r="D66" s="1129" t="s">
        <v>1000</v>
      </c>
      <c r="E66" s="1129" t="s">
        <v>1000</v>
      </c>
      <c r="F66" s="1129">
        <v>100</v>
      </c>
      <c r="G66" s="1129">
        <f>F66-$K10</f>
        <v>100</v>
      </c>
      <c r="H66" s="1129">
        <f>G66-$K10</f>
        <v>100</v>
      </c>
      <c r="I66" s="1129">
        <f>H66-$K10</f>
        <v>100</v>
      </c>
      <c r="J66" s="1129"/>
      <c r="K66" s="1129"/>
      <c r="L66" s="1129"/>
      <c r="M66" s="1186"/>
      <c r="N66" s="1182"/>
      <c r="O66" s="1182"/>
      <c r="P66" s="1429"/>
      <c r="Q66" s="1168"/>
    </row>
    <row r="67" spans="1:17" ht="15">
      <c r="A67" s="1123"/>
      <c r="B67" s="1130" t="s">
        <v>959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50" t="s">
        <v>1010</v>
      </c>
      <c r="D82" s="1150" t="s">
        <v>1011</v>
      </c>
      <c r="E82" s="1150" t="s">
        <v>1012</v>
      </c>
      <c r="F82" s="1150" t="s">
        <v>1013</v>
      </c>
      <c r="G82" s="1150" t="s">
        <v>1014</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689</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963</v>
      </c>
      <c r="B100" s="1122" t="s">
        <v>1501</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1459</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1462</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575</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1464</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1502</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1503</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1504</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1506</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1507</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IF(C2="——",ROUND(C50*D3/10000,0),ROUND(C50*D3/10000,0)-D2)</f>
        <v>#DIV/0!</v>
      </c>
      <c r="C2" s="1234"/>
      <c r="D2" s="138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IF(C2="——",C50,ROUND(B2*10000/D3,0))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938</v>
      </c>
      <c r="B4" s="899"/>
      <c r="C4" s="3183" t="s">
        <v>939</v>
      </c>
      <c r="D4" s="3198"/>
      <c r="E4" s="3199" t="s">
        <v>940</v>
      </c>
      <c r="F4" s="3200"/>
      <c r="G4" s="3183" t="s">
        <v>941</v>
      </c>
      <c r="H4" s="3198"/>
      <c r="I4" s="3183" t="s">
        <v>942</v>
      </c>
      <c r="J4" s="3198"/>
      <c r="K4" s="1032" t="s">
        <v>943</v>
      </c>
      <c r="L4" s="1033"/>
      <c r="M4" s="1034"/>
      <c r="N4" s="1034"/>
      <c r="O4" s="1034"/>
      <c r="P4" s="3251" t="s">
        <v>944</v>
      </c>
      <c r="Q4" s="3252"/>
      <c r="R4" s="3255" t="s">
        <v>940</v>
      </c>
      <c r="S4" s="3256"/>
      <c r="T4" s="3255" t="s">
        <v>941</v>
      </c>
      <c r="U4" s="3256"/>
      <c r="V4" s="3257" t="s">
        <v>942</v>
      </c>
      <c r="W4" s="3257"/>
      <c r="X4" s="1402"/>
      <c r="Y4" s="3255" t="s">
        <v>944</v>
      </c>
      <c r="Z4" s="3256"/>
      <c r="AA4" s="3247" t="s">
        <v>940</v>
      </c>
      <c r="AB4" s="3247" t="s">
        <v>941</v>
      </c>
      <c r="AC4" s="3248" t="s">
        <v>942</v>
      </c>
    </row>
    <row r="5" spans="1:29" ht="15">
      <c r="A5" s="900"/>
      <c r="B5" s="901"/>
      <c r="C5" s="3201" t="s">
        <v>945</v>
      </c>
      <c r="D5" s="3202"/>
      <c r="E5" s="3203" t="s">
        <v>1452</v>
      </c>
      <c r="F5" s="3204"/>
      <c r="G5" s="3201" t="s">
        <v>1453</v>
      </c>
      <c r="H5" s="3202"/>
      <c r="I5" s="3201" t="s">
        <v>1454</v>
      </c>
      <c r="J5" s="3202"/>
      <c r="K5" s="1032"/>
      <c r="L5" s="1033"/>
      <c r="M5" s="1034"/>
      <c r="N5" s="1034"/>
      <c r="O5" s="1034"/>
      <c r="P5" s="3253"/>
      <c r="Q5" s="3167"/>
      <c r="R5" s="3172"/>
      <c r="S5" s="3173"/>
      <c r="T5" s="3172"/>
      <c r="U5" s="3173"/>
      <c r="V5" s="3176"/>
      <c r="W5" s="3176"/>
      <c r="X5" s="1074"/>
      <c r="Y5" s="3172"/>
      <c r="Z5" s="3173"/>
      <c r="AA5" s="3162"/>
      <c r="AB5" s="3162"/>
      <c r="AC5" s="3249"/>
    </row>
    <row r="6" spans="1:29" ht="15">
      <c r="A6" s="902"/>
      <c r="B6" s="903"/>
      <c r="C6" s="3243" t="s">
        <v>1455</v>
      </c>
      <c r="D6" s="3244"/>
      <c r="E6" s="3245" t="s">
        <v>1455</v>
      </c>
      <c r="F6" s="3246"/>
      <c r="G6" s="3243" t="s">
        <v>1455</v>
      </c>
      <c r="H6" s="3244"/>
      <c r="I6" s="3243" t="s">
        <v>1455</v>
      </c>
      <c r="J6" s="3244"/>
      <c r="K6" s="1032" t="s">
        <v>948</v>
      </c>
      <c r="L6" s="1033"/>
      <c r="M6" s="1034"/>
      <c r="N6" s="1034"/>
      <c r="O6" s="1034"/>
      <c r="P6" s="3254"/>
      <c r="Q6" s="3169"/>
      <c r="R6" s="3172"/>
      <c r="S6" s="3173"/>
      <c r="T6" s="3174"/>
      <c r="U6" s="3175"/>
      <c r="V6" s="3176"/>
      <c r="W6" s="3176"/>
      <c r="X6" s="1074"/>
      <c r="Y6" s="3174"/>
      <c r="Z6" s="3175"/>
      <c r="AA6" s="3163"/>
      <c r="AB6" s="3163"/>
      <c r="AC6" s="3250"/>
    </row>
    <row r="7" spans="1:29" s="878" customFormat="1" ht="15">
      <c r="A7" s="904" t="s">
        <v>949</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61" t="s">
        <v>950</v>
      </c>
      <c r="Q7" s="3197"/>
      <c r="R7" s="1075" t="s">
        <v>951</v>
      </c>
      <c r="S7" s="1076">
        <f t="shared" ref="S7:S15" si="0">F7</f>
        <v>0</v>
      </c>
      <c r="T7" s="1075" t="s">
        <v>951</v>
      </c>
      <c r="U7" s="1076">
        <f t="shared" ref="U7:U15" si="1">H7</f>
        <v>0</v>
      </c>
      <c r="V7" s="1075" t="s">
        <v>951</v>
      </c>
      <c r="W7" s="1076">
        <f t="shared" ref="W7:W15" si="2">J7</f>
        <v>0</v>
      </c>
      <c r="X7" s="1077"/>
      <c r="Y7" s="3190" t="s">
        <v>950</v>
      </c>
      <c r="Z7" s="3191"/>
      <c r="AA7" s="1090" t="e">
        <f>D7/F7</f>
        <v>#DIV/0!</v>
      </c>
      <c r="AB7" s="1090" t="e">
        <f>D7/H7</f>
        <v>#DIV/0!</v>
      </c>
      <c r="AC7" s="1404" t="e">
        <f>D7/J7</f>
        <v>#DIV/0!</v>
      </c>
    </row>
    <row r="8" spans="1:29" s="878" customFormat="1" ht="15">
      <c r="A8" s="904" t="s">
        <v>952</v>
      </c>
      <c r="B8" s="905"/>
      <c r="C8" s="911" t="s">
        <v>953</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61" t="s">
        <v>954</v>
      </c>
      <c r="Q8" s="3191"/>
      <c r="R8" s="1075" t="s">
        <v>951</v>
      </c>
      <c r="S8" s="1076">
        <f t="shared" si="0"/>
        <v>0</v>
      </c>
      <c r="T8" s="1075" t="s">
        <v>951</v>
      </c>
      <c r="U8" s="1076">
        <f t="shared" si="1"/>
        <v>0</v>
      </c>
      <c r="V8" s="1075" t="s">
        <v>951</v>
      </c>
      <c r="W8" s="1076">
        <f t="shared" si="2"/>
        <v>0</v>
      </c>
      <c r="X8" s="1077"/>
      <c r="Y8" s="3190" t="s">
        <v>954</v>
      </c>
      <c r="Z8" s="3191"/>
      <c r="AA8" s="1090" t="e">
        <f t="shared" ref="AA8:AA47" si="3">D8/F8</f>
        <v>#DIV/0!</v>
      </c>
      <c r="AB8" s="1090" t="e">
        <f t="shared" ref="AB8:AB47" si="4">D8/H8</f>
        <v>#DIV/0!</v>
      </c>
      <c r="AC8" s="1404" t="e">
        <f t="shared" ref="AC8:AC47" si="5">D8/J8</f>
        <v>#DIV/0!</v>
      </c>
    </row>
    <row r="9" spans="1:29" s="878" customFormat="1">
      <c r="A9" s="912" t="s">
        <v>955</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5"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404">
        <f t="shared" si="5"/>
        <v>1</v>
      </c>
    </row>
    <row r="10" spans="1:29" s="879" customFormat="1" ht="27">
      <c r="A10" s="916"/>
      <c r="B10" s="917" t="s">
        <v>958</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5"/>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404">
        <f t="shared" si="5"/>
        <v>1</v>
      </c>
    </row>
    <row r="11" spans="1:29" ht="15">
      <c r="A11" s="922"/>
      <c r="B11" s="917" t="s">
        <v>959</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5"/>
      <c r="Q11" s="1079" t="str">
        <f t="shared" si="6"/>
        <v>容积率</v>
      </c>
      <c r="R11" s="1075" t="s">
        <v>951</v>
      </c>
      <c r="S11" s="1076" t="e">
        <f t="shared" si="0"/>
        <v>#N/A</v>
      </c>
      <c r="T11" s="1075" t="s">
        <v>951</v>
      </c>
      <c r="U11" s="1076" t="e">
        <f t="shared" si="1"/>
        <v>#N/A</v>
      </c>
      <c r="V11" s="1075" t="s">
        <v>951</v>
      </c>
      <c r="W11" s="1076" t="e">
        <f t="shared" si="2"/>
        <v>#N/A</v>
      </c>
      <c r="X11" s="1077"/>
      <c r="Y11" s="3020"/>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5"/>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5"/>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5"/>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404">
        <f t="shared" si="5"/>
        <v>1</v>
      </c>
    </row>
    <row r="15" spans="1:29" ht="71.25">
      <c r="A15" s="936" t="s">
        <v>960</v>
      </c>
      <c r="B15" s="1321" t="s">
        <v>675</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37" t="s">
        <v>961</v>
      </c>
      <c r="Q15" s="661" t="str">
        <f t="shared" si="6"/>
        <v>办公集聚程度</v>
      </c>
      <c r="R15" s="1080" t="s">
        <v>951</v>
      </c>
      <c r="S15" s="1081">
        <f t="shared" si="0"/>
        <v>100</v>
      </c>
      <c r="T15" s="1080" t="s">
        <v>951</v>
      </c>
      <c r="U15" s="1081">
        <f t="shared" si="1"/>
        <v>100</v>
      </c>
      <c r="V15" s="1080" t="s">
        <v>951</v>
      </c>
      <c r="W15" s="1081">
        <f t="shared" si="2"/>
        <v>100</v>
      </c>
      <c r="X15" s="1074"/>
      <c r="Y15" s="3179" t="s">
        <v>961</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38"/>
      <c r="Q16" s="661"/>
      <c r="R16" s="1080"/>
      <c r="S16" s="1081"/>
      <c r="T16" s="1080"/>
      <c r="U16" s="1081"/>
      <c r="V16" s="1080"/>
      <c r="W16" s="1081"/>
      <c r="X16" s="1074"/>
      <c r="Y16" s="3180"/>
      <c r="Z16" s="1073"/>
      <c r="AA16" s="1092">
        <v>1</v>
      </c>
      <c r="AB16" s="1092">
        <v>1</v>
      </c>
      <c r="AC16" s="1405">
        <v>1</v>
      </c>
    </row>
    <row r="17" spans="1:29" ht="71.25">
      <c r="A17" s="922"/>
      <c r="B17" s="1323" t="s">
        <v>673</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38"/>
      <c r="Q17" s="661" t="str">
        <f>B17</f>
        <v>交通便捷度</v>
      </c>
      <c r="R17" s="1080" t="s">
        <v>951</v>
      </c>
      <c r="S17" s="1081">
        <f>F17</f>
        <v>100</v>
      </c>
      <c r="T17" s="1080" t="s">
        <v>951</v>
      </c>
      <c r="U17" s="1081">
        <f>H17</f>
        <v>100</v>
      </c>
      <c r="V17" s="1080" t="s">
        <v>951</v>
      </c>
      <c r="W17" s="1081">
        <f>J17</f>
        <v>100</v>
      </c>
      <c r="X17" s="1074"/>
      <c r="Y17" s="3180"/>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38"/>
      <c r="Q18" s="661"/>
      <c r="R18" s="1080"/>
      <c r="S18" s="1081"/>
      <c r="T18" s="1080"/>
      <c r="U18" s="1081"/>
      <c r="V18" s="1080"/>
      <c r="W18" s="1081"/>
      <c r="X18" s="1074"/>
      <c r="Y18" s="3180"/>
      <c r="Z18" s="1073"/>
      <c r="AA18" s="1092">
        <v>1</v>
      </c>
      <c r="AB18" s="1092">
        <v>1</v>
      </c>
      <c r="AC18" s="1405">
        <v>1</v>
      </c>
    </row>
    <row r="19" spans="1:29" ht="42.75">
      <c r="A19" s="922"/>
      <c r="B19" s="1323" t="s">
        <v>677</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38"/>
      <c r="Q19" s="661" t="str">
        <f>B19</f>
        <v>公共配套设施</v>
      </c>
      <c r="R19" s="1080" t="s">
        <v>951</v>
      </c>
      <c r="S19" s="1081">
        <f>F19</f>
        <v>100</v>
      </c>
      <c r="T19" s="1080" t="s">
        <v>951</v>
      </c>
      <c r="U19" s="1081">
        <f>H19</f>
        <v>100</v>
      </c>
      <c r="V19" s="1080" t="s">
        <v>951</v>
      </c>
      <c r="W19" s="1081">
        <f>J19</f>
        <v>100</v>
      </c>
      <c r="X19" s="1074"/>
      <c r="Y19" s="3180"/>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38"/>
      <c r="Q20" s="661"/>
      <c r="R20" s="1080"/>
      <c r="S20" s="1081"/>
      <c r="T20" s="1080"/>
      <c r="U20" s="1081"/>
      <c r="V20" s="1080"/>
      <c r="W20" s="1081"/>
      <c r="X20" s="1074"/>
      <c r="Y20" s="3180"/>
      <c r="Z20" s="1073"/>
      <c r="AA20" s="1092">
        <v>1</v>
      </c>
      <c r="AB20" s="1092">
        <v>1</v>
      </c>
      <c r="AC20" s="1405">
        <v>1</v>
      </c>
    </row>
    <row r="21" spans="1:29" ht="28.5">
      <c r="A21" s="922"/>
      <c r="B21" s="1325" t="s">
        <v>679</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38"/>
      <c r="Q21" s="661" t="str">
        <f>B21</f>
        <v>基础设施水平</v>
      </c>
      <c r="R21" s="1080" t="s">
        <v>951</v>
      </c>
      <c r="S21" s="1081">
        <f>F21</f>
        <v>100</v>
      </c>
      <c r="T21" s="1080" t="s">
        <v>951</v>
      </c>
      <c r="U21" s="1081">
        <f>H21</f>
        <v>100</v>
      </c>
      <c r="V21" s="1080" t="s">
        <v>951</v>
      </c>
      <c r="W21" s="1081">
        <f>J21</f>
        <v>100</v>
      </c>
      <c r="X21" s="1074"/>
      <c r="Y21" s="3180"/>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38"/>
      <c r="Q22" s="661"/>
      <c r="R22" s="1080"/>
      <c r="S22" s="1081"/>
      <c r="T22" s="1080"/>
      <c r="U22" s="1081"/>
      <c r="V22" s="1080"/>
      <c r="W22" s="1081"/>
      <c r="X22" s="1074"/>
      <c r="Y22" s="3180"/>
      <c r="Z22" s="1073"/>
      <c r="AA22" s="1092">
        <v>1</v>
      </c>
      <c r="AB22" s="1092">
        <v>1</v>
      </c>
      <c r="AC22" s="1405">
        <v>1</v>
      </c>
    </row>
    <row r="23" spans="1:29" ht="42.75">
      <c r="A23" s="922"/>
      <c r="B23" s="1323" t="s">
        <v>1508</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38"/>
      <c r="Q23" s="661" t="str">
        <f>B23</f>
        <v>环境质量</v>
      </c>
      <c r="R23" s="1080" t="s">
        <v>951</v>
      </c>
      <c r="S23" s="1081">
        <f>F23</f>
        <v>100</v>
      </c>
      <c r="T23" s="1080" t="s">
        <v>951</v>
      </c>
      <c r="U23" s="1081">
        <f>H23</f>
        <v>100</v>
      </c>
      <c r="V23" s="1080" t="s">
        <v>951</v>
      </c>
      <c r="W23" s="1081">
        <f>J23</f>
        <v>100</v>
      </c>
      <c r="X23" s="1074"/>
      <c r="Y23" s="3180"/>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38"/>
      <c r="Q24" s="661"/>
      <c r="R24" s="1080"/>
      <c r="S24" s="1081"/>
      <c r="T24" s="1080"/>
      <c r="U24" s="1081"/>
      <c r="V24" s="1080"/>
      <c r="W24" s="1081"/>
      <c r="X24" s="1074"/>
      <c r="Y24" s="3180"/>
      <c r="Z24" s="1073"/>
      <c r="AA24" s="1092">
        <v>1</v>
      </c>
      <c r="AB24" s="1092">
        <v>1</v>
      </c>
      <c r="AC24" s="1405">
        <v>1</v>
      </c>
    </row>
    <row r="25" spans="1:29" ht="27">
      <c r="A25" s="900"/>
      <c r="B25" s="1323" t="s">
        <v>685</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38"/>
      <c r="Q25" s="661" t="str">
        <f>B25</f>
        <v>毗邻道路的类型与等级</v>
      </c>
      <c r="R25" s="1080" t="s">
        <v>951</v>
      </c>
      <c r="S25" s="1081">
        <f>F25</f>
        <v>100</v>
      </c>
      <c r="T25" s="1080" t="s">
        <v>951</v>
      </c>
      <c r="U25" s="1081">
        <f>H25</f>
        <v>100</v>
      </c>
      <c r="V25" s="1080" t="s">
        <v>951</v>
      </c>
      <c r="W25" s="1081">
        <f>J25</f>
        <v>100</v>
      </c>
      <c r="X25" s="1074"/>
      <c r="Y25" s="3180"/>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38"/>
      <c r="Q26" s="661"/>
      <c r="R26" s="1080"/>
      <c r="S26" s="1081"/>
      <c r="T26" s="1080"/>
      <c r="U26" s="1081"/>
      <c r="V26" s="1080"/>
      <c r="W26" s="1081"/>
      <c r="X26" s="1074"/>
      <c r="Y26" s="3180"/>
      <c r="Z26" s="1073"/>
      <c r="AA26" s="1092">
        <v>1</v>
      </c>
      <c r="AB26" s="1092">
        <v>1</v>
      </c>
      <c r="AC26" s="1405">
        <v>1</v>
      </c>
    </row>
    <row r="27" spans="1:29" ht="15">
      <c r="A27" s="922"/>
      <c r="B27" s="1324" t="s">
        <v>1500</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38"/>
      <c r="Q27" s="661" t="str">
        <f t="shared" ref="Q27:Q47" si="11">B27</f>
        <v>楼层</v>
      </c>
      <c r="R27" s="1080" t="s">
        <v>951</v>
      </c>
      <c r="S27" s="1081">
        <f>F27</f>
        <v>100</v>
      </c>
      <c r="T27" s="1080" t="s">
        <v>951</v>
      </c>
      <c r="U27" s="1081">
        <f>H27</f>
        <v>100</v>
      </c>
      <c r="V27" s="1080" t="s">
        <v>951</v>
      </c>
      <c r="W27" s="1081">
        <f>J27</f>
        <v>100</v>
      </c>
      <c r="X27" s="1074"/>
      <c r="Y27" s="3180"/>
      <c r="Z27" s="1073" t="str">
        <f>Q27</f>
        <v>楼层</v>
      </c>
      <c r="AA27" s="1092">
        <f t="shared" si="3"/>
        <v>1</v>
      </c>
      <c r="AB27" s="1092">
        <f t="shared" si="4"/>
        <v>1</v>
      </c>
      <c r="AC27" s="1405">
        <f t="shared" si="5"/>
        <v>1</v>
      </c>
    </row>
    <row r="28" spans="1:29" s="878" customFormat="1" ht="15">
      <c r="A28" s="925"/>
      <c r="B28" s="1323" t="s">
        <v>1457</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38"/>
      <c r="Q28" s="1079" t="str">
        <f t="shared" si="11"/>
        <v>朝向</v>
      </c>
      <c r="R28" s="1075" t="s">
        <v>951</v>
      </c>
      <c r="S28" s="1076">
        <f>F28</f>
        <v>100</v>
      </c>
      <c r="T28" s="1075" t="s">
        <v>951</v>
      </c>
      <c r="U28" s="1076">
        <f>H28</f>
        <v>100</v>
      </c>
      <c r="V28" s="1075" t="s">
        <v>951</v>
      </c>
      <c r="W28" s="1076">
        <f>J28</f>
        <v>100</v>
      </c>
      <c r="X28" s="1077"/>
      <c r="Y28" s="3180"/>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38"/>
      <c r="Q29" s="661">
        <f t="shared" si="11"/>
        <v>111</v>
      </c>
      <c r="R29" s="1080" t="s">
        <v>951</v>
      </c>
      <c r="S29" s="1081">
        <f t="shared" ref="S29:S47" si="12">F29</f>
        <v>100</v>
      </c>
      <c r="T29" s="1080" t="s">
        <v>951</v>
      </c>
      <c r="U29" s="1081">
        <f t="shared" ref="U29:U47" si="13">H29</f>
        <v>100</v>
      </c>
      <c r="V29" s="1080" t="s">
        <v>951</v>
      </c>
      <c r="W29" s="1081">
        <f t="shared" ref="W29:W47" si="14">J29</f>
        <v>100</v>
      </c>
      <c r="X29" s="1074"/>
      <c r="Y29" s="3180"/>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38"/>
      <c r="Q30" s="661">
        <f t="shared" si="11"/>
        <v>111</v>
      </c>
      <c r="R30" s="1080" t="s">
        <v>951</v>
      </c>
      <c r="S30" s="1081">
        <f t="shared" si="12"/>
        <v>100</v>
      </c>
      <c r="T30" s="1080" t="s">
        <v>951</v>
      </c>
      <c r="U30" s="1081">
        <f t="shared" si="13"/>
        <v>100</v>
      </c>
      <c r="V30" s="1080" t="s">
        <v>951</v>
      </c>
      <c r="W30" s="1081">
        <f t="shared" si="14"/>
        <v>100</v>
      </c>
      <c r="X30" s="1074"/>
      <c r="Y30" s="3180"/>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38"/>
      <c r="Q31" s="661">
        <f t="shared" si="11"/>
        <v>111</v>
      </c>
      <c r="R31" s="1080" t="s">
        <v>951</v>
      </c>
      <c r="S31" s="1081">
        <f t="shared" si="12"/>
        <v>100</v>
      </c>
      <c r="T31" s="1080" t="s">
        <v>951</v>
      </c>
      <c r="U31" s="1081">
        <f t="shared" si="13"/>
        <v>100</v>
      </c>
      <c r="V31" s="1080" t="s">
        <v>951</v>
      </c>
      <c r="W31" s="1081">
        <f t="shared" si="14"/>
        <v>100</v>
      </c>
      <c r="X31" s="1074"/>
      <c r="Y31" s="3180"/>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38"/>
      <c r="Q32" s="661">
        <f t="shared" si="11"/>
        <v>111</v>
      </c>
      <c r="R32" s="1080" t="s">
        <v>951</v>
      </c>
      <c r="S32" s="1081">
        <f t="shared" si="12"/>
        <v>100</v>
      </c>
      <c r="T32" s="1080" t="s">
        <v>951</v>
      </c>
      <c r="U32" s="1081">
        <f t="shared" si="13"/>
        <v>100</v>
      </c>
      <c r="V32" s="1080" t="s">
        <v>951</v>
      </c>
      <c r="W32" s="1081">
        <f t="shared" si="14"/>
        <v>100</v>
      </c>
      <c r="X32" s="1074"/>
      <c r="Y32" s="3180"/>
      <c r="Z32" s="1073">
        <f t="shared" si="15"/>
        <v>111</v>
      </c>
      <c r="AA32" s="1092">
        <f t="shared" si="3"/>
        <v>1</v>
      </c>
      <c r="AB32" s="1092">
        <f t="shared" si="4"/>
        <v>1</v>
      </c>
      <c r="AC32" s="1405">
        <f t="shared" si="5"/>
        <v>1</v>
      </c>
    </row>
    <row r="33" spans="1:29" ht="15">
      <c r="A33" s="936" t="s">
        <v>963</v>
      </c>
      <c r="B33" s="913" t="s">
        <v>1458</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39" t="s">
        <v>962</v>
      </c>
      <c r="Q33" s="661" t="str">
        <f t="shared" si="11"/>
        <v>建筑类型</v>
      </c>
      <c r="R33" s="1080" t="s">
        <v>951</v>
      </c>
      <c r="S33" s="1081">
        <f t="shared" si="12"/>
        <v>100</v>
      </c>
      <c r="T33" s="1080" t="s">
        <v>951</v>
      </c>
      <c r="U33" s="1081">
        <f t="shared" si="13"/>
        <v>100</v>
      </c>
      <c r="V33" s="1080" t="s">
        <v>951</v>
      </c>
      <c r="W33" s="1081">
        <f t="shared" si="14"/>
        <v>100</v>
      </c>
      <c r="X33" s="1074"/>
      <c r="Y33" s="3182" t="s">
        <v>962</v>
      </c>
      <c r="Z33" s="1073" t="str">
        <f t="shared" si="15"/>
        <v>建筑类型</v>
      </c>
      <c r="AA33" s="1092">
        <f t="shared" si="3"/>
        <v>1</v>
      </c>
      <c r="AB33" s="1092">
        <f t="shared" si="4"/>
        <v>1</v>
      </c>
      <c r="AC33" s="1405">
        <f t="shared" si="5"/>
        <v>1</v>
      </c>
    </row>
    <row r="34" spans="1:29" s="880" customFormat="1" ht="15">
      <c r="A34" s="979"/>
      <c r="B34" s="917" t="s">
        <v>1459</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0"/>
      <c r="Q34" s="1294" t="str">
        <f t="shared" si="11"/>
        <v>项目建筑规模</v>
      </c>
      <c r="R34" s="1082" t="s">
        <v>951</v>
      </c>
      <c r="S34" s="1083" t="e">
        <f t="shared" si="12"/>
        <v>#N/A</v>
      </c>
      <c r="T34" s="1082" t="s">
        <v>951</v>
      </c>
      <c r="U34" s="1083" t="e">
        <f t="shared" si="13"/>
        <v>#N/A</v>
      </c>
      <c r="V34" s="1082" t="s">
        <v>951</v>
      </c>
      <c r="W34" s="1083" t="e">
        <f t="shared" si="14"/>
        <v>#N/A</v>
      </c>
      <c r="X34" s="1084"/>
      <c r="Y34" s="3182"/>
      <c r="Z34" s="1093" t="str">
        <f t="shared" si="15"/>
        <v>项目建筑规模</v>
      </c>
      <c r="AA34" s="1092" t="e">
        <f t="shared" si="3"/>
        <v>#N/A</v>
      </c>
      <c r="AB34" s="1092" t="e">
        <f t="shared" si="4"/>
        <v>#N/A</v>
      </c>
      <c r="AC34" s="1405" t="e">
        <f t="shared" si="5"/>
        <v>#N/A</v>
      </c>
    </row>
    <row r="35" spans="1:29" ht="15">
      <c r="A35" s="973"/>
      <c r="B35" s="917" t="s">
        <v>1460</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0"/>
      <c r="Q35" s="661" t="str">
        <f t="shared" si="11"/>
        <v>建筑结构</v>
      </c>
      <c r="R35" s="1080" t="s">
        <v>951</v>
      </c>
      <c r="S35" s="1081">
        <f t="shared" si="12"/>
        <v>100</v>
      </c>
      <c r="T35" s="1080" t="s">
        <v>951</v>
      </c>
      <c r="U35" s="1081">
        <f t="shared" si="13"/>
        <v>100</v>
      </c>
      <c r="V35" s="1080" t="s">
        <v>951</v>
      </c>
      <c r="W35" s="1081">
        <f t="shared" si="14"/>
        <v>100</v>
      </c>
      <c r="X35" s="1074"/>
      <c r="Y35" s="3182"/>
      <c r="Z35" s="1073" t="str">
        <f t="shared" si="15"/>
        <v>建筑结构</v>
      </c>
      <c r="AA35" s="1092">
        <f t="shared" si="3"/>
        <v>1</v>
      </c>
      <c r="AB35" s="1092">
        <f t="shared" si="4"/>
        <v>1</v>
      </c>
      <c r="AC35" s="1405">
        <f t="shared" si="5"/>
        <v>1</v>
      </c>
    </row>
    <row r="36" spans="1:29" ht="15">
      <c r="A36" s="973"/>
      <c r="B36" s="917" t="s">
        <v>1462</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0"/>
      <c r="Q36" s="661" t="str">
        <f t="shared" si="11"/>
        <v>公共部分装修</v>
      </c>
      <c r="R36" s="1080" t="s">
        <v>951</v>
      </c>
      <c r="S36" s="1081">
        <f t="shared" si="12"/>
        <v>100</v>
      </c>
      <c r="T36" s="1080" t="s">
        <v>951</v>
      </c>
      <c r="U36" s="1081">
        <f t="shared" si="13"/>
        <v>100</v>
      </c>
      <c r="V36" s="1080" t="s">
        <v>951</v>
      </c>
      <c r="W36" s="1081">
        <f t="shared" si="14"/>
        <v>100</v>
      </c>
      <c r="X36" s="1074"/>
      <c r="Y36" s="3182"/>
      <c r="Z36" s="1073" t="str">
        <f t="shared" si="15"/>
        <v>公共部分装修</v>
      </c>
      <c r="AA36" s="1092">
        <f t="shared" si="3"/>
        <v>1</v>
      </c>
      <c r="AB36" s="1092">
        <f t="shared" si="4"/>
        <v>1</v>
      </c>
      <c r="AC36" s="1405">
        <f t="shared" si="5"/>
        <v>1</v>
      </c>
    </row>
    <row r="37" spans="1:29" ht="15">
      <c r="A37" s="973"/>
      <c r="B37" s="917" t="s">
        <v>575</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0"/>
      <c r="Q37" s="661" t="str">
        <f t="shared" si="11"/>
        <v>成新度</v>
      </c>
      <c r="R37" s="1080" t="s">
        <v>951</v>
      </c>
      <c r="S37" s="1081" t="e">
        <f t="shared" si="12"/>
        <v>#N/A</v>
      </c>
      <c r="T37" s="1080" t="s">
        <v>951</v>
      </c>
      <c r="U37" s="1081" t="e">
        <f t="shared" si="13"/>
        <v>#N/A</v>
      </c>
      <c r="V37" s="1080" t="s">
        <v>951</v>
      </c>
      <c r="W37" s="1081" t="e">
        <f t="shared" si="14"/>
        <v>#N/A</v>
      </c>
      <c r="X37" s="1074"/>
      <c r="Y37" s="3182"/>
      <c r="Z37" s="1073" t="str">
        <f t="shared" si="15"/>
        <v>成新度</v>
      </c>
      <c r="AA37" s="1092" t="e">
        <f t="shared" si="3"/>
        <v>#N/A</v>
      </c>
      <c r="AB37" s="1092" t="e">
        <f t="shared" si="4"/>
        <v>#N/A</v>
      </c>
      <c r="AC37" s="1405" t="e">
        <f t="shared" si="5"/>
        <v>#N/A</v>
      </c>
    </row>
    <row r="38" spans="1:29" s="878" customFormat="1" ht="15">
      <c r="A38" s="977"/>
      <c r="B38" s="917" t="s">
        <v>1509</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0"/>
      <c r="Q38" s="1079" t="str">
        <f t="shared" si="11"/>
        <v>写字楼等级</v>
      </c>
      <c r="R38" s="1075" t="s">
        <v>951</v>
      </c>
      <c r="S38" s="1076">
        <f t="shared" si="12"/>
        <v>100</v>
      </c>
      <c r="T38" s="1075" t="s">
        <v>951</v>
      </c>
      <c r="U38" s="1076">
        <f t="shared" si="13"/>
        <v>100</v>
      </c>
      <c r="V38" s="1075" t="s">
        <v>951</v>
      </c>
      <c r="W38" s="1076">
        <f t="shared" si="14"/>
        <v>100</v>
      </c>
      <c r="X38" s="1077"/>
      <c r="Y38" s="3182"/>
      <c r="Z38" s="1091" t="str">
        <f t="shared" si="15"/>
        <v>写字楼等级</v>
      </c>
      <c r="AA38" s="1090">
        <f t="shared" si="3"/>
        <v>1</v>
      </c>
      <c r="AB38" s="1090">
        <f t="shared" si="4"/>
        <v>1</v>
      </c>
      <c r="AC38" s="1404">
        <f t="shared" si="5"/>
        <v>1</v>
      </c>
    </row>
    <row r="39" spans="1:29" ht="15">
      <c r="A39" s="973"/>
      <c r="B39" s="917" t="s">
        <v>1463</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0" t="s">
        <v>962</v>
      </c>
      <c r="Q39" s="661" t="str">
        <f t="shared" si="11"/>
        <v>物业管理</v>
      </c>
      <c r="R39" s="1080" t="s">
        <v>951</v>
      </c>
      <c r="S39" s="1081">
        <f t="shared" si="12"/>
        <v>100</v>
      </c>
      <c r="T39" s="1080" t="s">
        <v>951</v>
      </c>
      <c r="U39" s="1081">
        <f t="shared" si="13"/>
        <v>100</v>
      </c>
      <c r="V39" s="1080" t="s">
        <v>951</v>
      </c>
      <c r="W39" s="1081">
        <f t="shared" si="14"/>
        <v>100</v>
      </c>
      <c r="X39" s="1074"/>
      <c r="Y39" s="3182" t="s">
        <v>962</v>
      </c>
      <c r="Z39" s="1073" t="str">
        <f t="shared" si="15"/>
        <v>物业管理</v>
      </c>
      <c r="AA39" s="1092">
        <f t="shared" si="3"/>
        <v>1</v>
      </c>
      <c r="AB39" s="1092">
        <f t="shared" si="4"/>
        <v>1</v>
      </c>
      <c r="AC39" s="1405">
        <f t="shared" si="5"/>
        <v>1</v>
      </c>
    </row>
    <row r="40" spans="1:29" ht="15">
      <c r="A40" s="973"/>
      <c r="B40" s="917" t="s">
        <v>1464</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0"/>
      <c r="Q40" s="661" t="str">
        <f t="shared" si="11"/>
        <v>市政基础设施</v>
      </c>
      <c r="R40" s="1080" t="s">
        <v>951</v>
      </c>
      <c r="S40" s="1081">
        <f t="shared" si="12"/>
        <v>100</v>
      </c>
      <c r="T40" s="1080" t="s">
        <v>951</v>
      </c>
      <c r="U40" s="1081">
        <f t="shared" si="13"/>
        <v>100</v>
      </c>
      <c r="V40" s="1080" t="s">
        <v>951</v>
      </c>
      <c r="W40" s="1081">
        <f t="shared" si="14"/>
        <v>100</v>
      </c>
      <c r="X40" s="1074"/>
      <c r="Y40" s="3182"/>
      <c r="Z40" s="1073" t="str">
        <f t="shared" si="15"/>
        <v>市政基础设施</v>
      </c>
      <c r="AA40" s="1092">
        <f t="shared" si="3"/>
        <v>1</v>
      </c>
      <c r="AB40" s="1092">
        <f t="shared" si="4"/>
        <v>1</v>
      </c>
      <c r="AC40" s="1405">
        <f t="shared" si="5"/>
        <v>1</v>
      </c>
    </row>
    <row r="41" spans="1:29" ht="15">
      <c r="A41" s="973"/>
      <c r="B41" s="917" t="s">
        <v>1503</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0"/>
      <c r="Q41" s="661" t="str">
        <f t="shared" si="11"/>
        <v>层高</v>
      </c>
      <c r="R41" s="1080" t="s">
        <v>951</v>
      </c>
      <c r="S41" s="1081">
        <f t="shared" si="12"/>
        <v>100</v>
      </c>
      <c r="T41" s="1080" t="s">
        <v>951</v>
      </c>
      <c r="U41" s="1081">
        <f t="shared" si="13"/>
        <v>100</v>
      </c>
      <c r="V41" s="1080" t="s">
        <v>951</v>
      </c>
      <c r="W41" s="1081">
        <f t="shared" si="14"/>
        <v>100</v>
      </c>
      <c r="X41" s="1074"/>
      <c r="Y41" s="3182"/>
      <c r="Z41" s="1073" t="str">
        <f t="shared" si="15"/>
        <v>层高</v>
      </c>
      <c r="AA41" s="1092">
        <f t="shared" si="3"/>
        <v>1</v>
      </c>
      <c r="AB41" s="1092">
        <f t="shared" si="4"/>
        <v>1</v>
      </c>
      <c r="AC41" s="1405">
        <f t="shared" si="5"/>
        <v>1</v>
      </c>
    </row>
    <row r="42" spans="1:29" s="880" customFormat="1" ht="15">
      <c r="A42" s="979"/>
      <c r="B42" s="1061" t="s">
        <v>1510</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0"/>
      <c r="Q42" s="1294" t="str">
        <f t="shared" si="11"/>
        <v>单套建筑面积</v>
      </c>
      <c r="R42" s="1082" t="s">
        <v>951</v>
      </c>
      <c r="S42" s="1083">
        <f t="shared" si="12"/>
        <v>100</v>
      </c>
      <c r="T42" s="1082" t="s">
        <v>951</v>
      </c>
      <c r="U42" s="1083">
        <f t="shared" si="13"/>
        <v>100</v>
      </c>
      <c r="V42" s="1082" t="s">
        <v>951</v>
      </c>
      <c r="W42" s="1083">
        <f t="shared" si="14"/>
        <v>100</v>
      </c>
      <c r="X42" s="1084"/>
      <c r="Y42" s="3182"/>
      <c r="Z42" s="1093" t="str">
        <f t="shared" si="15"/>
        <v>单套建筑面积</v>
      </c>
      <c r="AA42" s="1092">
        <f t="shared" si="3"/>
        <v>1</v>
      </c>
      <c r="AB42" s="1092">
        <f t="shared" si="4"/>
        <v>1</v>
      </c>
      <c r="AC42" s="1405">
        <f t="shared" si="5"/>
        <v>1</v>
      </c>
    </row>
    <row r="43" spans="1:29" ht="15">
      <c r="A43" s="973"/>
      <c r="B43" s="917" t="s">
        <v>1467</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0"/>
      <c r="Q43" s="661" t="str">
        <f t="shared" si="11"/>
        <v>内部装修</v>
      </c>
      <c r="R43" s="1080" t="s">
        <v>951</v>
      </c>
      <c r="S43" s="1081">
        <f t="shared" si="12"/>
        <v>100</v>
      </c>
      <c r="T43" s="1080" t="s">
        <v>951</v>
      </c>
      <c r="U43" s="1081">
        <f t="shared" si="13"/>
        <v>100</v>
      </c>
      <c r="V43" s="1080" t="s">
        <v>951</v>
      </c>
      <c r="W43" s="1081">
        <f t="shared" si="14"/>
        <v>100</v>
      </c>
      <c r="X43" s="1074"/>
      <c r="Y43" s="3182"/>
      <c r="Z43" s="1073" t="str">
        <f t="shared" si="15"/>
        <v>内部装修</v>
      </c>
      <c r="AA43" s="1092">
        <f t="shared" si="3"/>
        <v>1</v>
      </c>
      <c r="AB43" s="1092">
        <f t="shared" si="4"/>
        <v>1</v>
      </c>
      <c r="AC43" s="1405">
        <f t="shared" si="5"/>
        <v>1</v>
      </c>
    </row>
    <row r="44" spans="1:29" ht="15">
      <c r="A44" s="973"/>
      <c r="B44" s="917" t="s">
        <v>1468</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0"/>
      <c r="Q44" s="661" t="str">
        <f t="shared" si="11"/>
        <v>内部装修维护情况</v>
      </c>
      <c r="R44" s="1080" t="s">
        <v>951</v>
      </c>
      <c r="S44" s="1081">
        <f t="shared" si="12"/>
        <v>100</v>
      </c>
      <c r="T44" s="1080" t="s">
        <v>951</v>
      </c>
      <c r="U44" s="1081">
        <f t="shared" si="13"/>
        <v>100</v>
      </c>
      <c r="V44" s="1080" t="s">
        <v>951</v>
      </c>
      <c r="W44" s="1081">
        <f t="shared" si="14"/>
        <v>100</v>
      </c>
      <c r="X44" s="1074"/>
      <c r="Y44" s="3182"/>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0"/>
      <c r="Q45" s="1079">
        <f t="shared" si="11"/>
        <v>111</v>
      </c>
      <c r="R45" s="1075" t="s">
        <v>951</v>
      </c>
      <c r="S45" s="1076">
        <f t="shared" si="12"/>
        <v>100</v>
      </c>
      <c r="T45" s="1075" t="s">
        <v>951</v>
      </c>
      <c r="U45" s="1076">
        <f t="shared" si="13"/>
        <v>100</v>
      </c>
      <c r="V45" s="1075" t="s">
        <v>951</v>
      </c>
      <c r="W45" s="1076">
        <f t="shared" si="14"/>
        <v>100</v>
      </c>
      <c r="X45" s="1077"/>
      <c r="Y45" s="3182"/>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0"/>
      <c r="Q46" s="661">
        <f t="shared" si="11"/>
        <v>111</v>
      </c>
      <c r="R46" s="1080" t="s">
        <v>951</v>
      </c>
      <c r="S46" s="1081">
        <f t="shared" si="12"/>
        <v>100</v>
      </c>
      <c r="T46" s="1080" t="s">
        <v>951</v>
      </c>
      <c r="U46" s="1081">
        <f t="shared" si="13"/>
        <v>100</v>
      </c>
      <c r="V46" s="1080" t="s">
        <v>951</v>
      </c>
      <c r="W46" s="1081">
        <f t="shared" si="14"/>
        <v>100</v>
      </c>
      <c r="X46" s="1074"/>
      <c r="Y46" s="3182"/>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1"/>
      <c r="Q47" s="661">
        <f t="shared" si="11"/>
        <v>111</v>
      </c>
      <c r="R47" s="1080" t="s">
        <v>951</v>
      </c>
      <c r="S47" s="1081">
        <f t="shared" si="12"/>
        <v>100</v>
      </c>
      <c r="T47" s="1080" t="s">
        <v>951</v>
      </c>
      <c r="U47" s="1081">
        <f t="shared" si="13"/>
        <v>100</v>
      </c>
      <c r="V47" s="1080" t="s">
        <v>951</v>
      </c>
      <c r="W47" s="1081">
        <f t="shared" si="14"/>
        <v>100</v>
      </c>
      <c r="X47" s="1074"/>
      <c r="Y47" s="3242"/>
      <c r="Z47" s="1073">
        <f t="shared" si="15"/>
        <v>111</v>
      </c>
      <c r="AA47" s="1092">
        <f t="shared" si="3"/>
        <v>1</v>
      </c>
      <c r="AB47" s="1092">
        <f t="shared" si="4"/>
        <v>1</v>
      </c>
      <c r="AC47" s="1405">
        <f t="shared" si="5"/>
        <v>1</v>
      </c>
    </row>
    <row r="48" spans="1:29" ht="15">
      <c r="A48" s="982" t="s">
        <v>1469</v>
      </c>
      <c r="B48" s="1265"/>
      <c r="C48" s="1266" t="s">
        <v>124</v>
      </c>
      <c r="D48" s="1267"/>
      <c r="E48" s="1268"/>
      <c r="F48" s="1269"/>
      <c r="G48" s="1270"/>
      <c r="H48" s="1271"/>
      <c r="I48" s="1268"/>
      <c r="J48" s="989"/>
      <c r="K48" s="1057"/>
      <c r="L48" s="1058"/>
      <c r="M48" s="1034"/>
      <c r="N48" s="1034"/>
      <c r="O48" s="1034"/>
      <c r="P48" s="3185" t="str">
        <f>A48</f>
        <v>成交单价（元/平方米）</v>
      </c>
      <c r="Q48" s="3178"/>
      <c r="R48" s="3235">
        <f>E48</f>
        <v>0</v>
      </c>
      <c r="S48" s="3235"/>
      <c r="T48" s="3235">
        <f>G48</f>
        <v>0</v>
      </c>
      <c r="U48" s="3235"/>
      <c r="V48" s="3235">
        <f>I48</f>
        <v>0</v>
      </c>
      <c r="W48" s="3235"/>
      <c r="X48" s="941"/>
      <c r="Y48" s="1094"/>
      <c r="Z48" s="941"/>
      <c r="AA48" s="941"/>
      <c r="AB48" s="941"/>
      <c r="AC48" s="1387"/>
    </row>
    <row r="49" spans="1:29" ht="15">
      <c r="A49" s="990" t="s">
        <v>971</v>
      </c>
      <c r="B49" s="1272"/>
      <c r="C49" s="1273" t="e">
        <f>R50</f>
        <v>#DIV/0!</v>
      </c>
      <c r="D49" s="1274"/>
      <c r="E49" s="1275" t="e">
        <f>R49</f>
        <v>#DIV/0!</v>
      </c>
      <c r="F49" s="1275"/>
      <c r="G49" s="1273" t="e">
        <f>T49</f>
        <v>#DIV/0!</v>
      </c>
      <c r="H49" s="1274"/>
      <c r="I49" s="1275" t="e">
        <f>V49</f>
        <v>#DIV/0!</v>
      </c>
      <c r="J49" s="993"/>
      <c r="K49" s="1059"/>
      <c r="L49" s="1058"/>
      <c r="M49" s="1034"/>
      <c r="N49" s="1034"/>
      <c r="O49" s="1034"/>
      <c r="P49" s="3185" t="str">
        <f>A49</f>
        <v>比较价值（元/平方米）</v>
      </c>
      <c r="Q49" s="3178"/>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941"/>
      <c r="Y49" s="941"/>
      <c r="Z49" s="941"/>
      <c r="AA49" s="941"/>
      <c r="AB49" s="941"/>
      <c r="AC49" s="1387"/>
    </row>
    <row r="50" spans="1:29" ht="15">
      <c r="A50" s="996" t="s">
        <v>972</v>
      </c>
      <c r="B50" s="997"/>
      <c r="C50" s="1276" t="e">
        <f>R50</f>
        <v>#DIV/0!</v>
      </c>
      <c r="D50" s="1276"/>
      <c r="E50" s="1276"/>
      <c r="F50" s="1276"/>
      <c r="G50" s="1276"/>
      <c r="H50" s="1276"/>
      <c r="I50" s="1276"/>
      <c r="J50" s="998"/>
      <c r="K50" s="1060"/>
      <c r="L50" s="1058"/>
      <c r="M50" s="1034"/>
      <c r="N50" s="1034"/>
      <c r="O50" s="1034"/>
      <c r="P50" s="3258" t="str">
        <f>A50</f>
        <v>估价对象XX用房的比较价值（楼面单价，元/平方米）</v>
      </c>
      <c r="Q50" s="3259"/>
      <c r="R50" s="3260" t="e">
        <f>IF(F1="售价",ROUND(AVERAGE(R49:V49),0),ROUND(AVERAGE(R49:V49),1))</f>
        <v>#DIV/0!</v>
      </c>
      <c r="S50" s="3260"/>
      <c r="T50" s="3260"/>
      <c r="U50" s="3260"/>
      <c r="V50" s="3260"/>
      <c r="W50" s="3260"/>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973</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974</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975</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1001</v>
      </c>
      <c r="B58" s="1085"/>
      <c r="C58" s="1103"/>
      <c r="D58" s="1103"/>
      <c r="E58" s="1103"/>
      <c r="F58" s="1104"/>
      <c r="G58" s="1104"/>
      <c r="H58" s="1103"/>
      <c r="I58" s="1103"/>
      <c r="J58" s="1103"/>
      <c r="K58" s="1290"/>
      <c r="L58" s="1163"/>
      <c r="M58" s="1161"/>
      <c r="N58" s="1161"/>
      <c r="O58" s="1161"/>
      <c r="P58" s="1397"/>
      <c r="Q58" s="1168"/>
    </row>
    <row r="59" spans="1:29" s="883" customFormat="1" ht="15">
      <c r="A59" s="1278" t="s">
        <v>949</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1003</v>
      </c>
      <c r="B61" s="1112"/>
      <c r="C61" s="1113"/>
      <c r="D61" s="1114"/>
      <c r="E61" s="1114"/>
      <c r="F61" s="1114"/>
      <c r="G61" s="1114"/>
      <c r="H61" s="1114"/>
      <c r="I61" s="1114"/>
      <c r="J61" s="1114"/>
      <c r="K61" s="1114"/>
      <c r="L61" s="1114"/>
      <c r="M61" s="1169"/>
      <c r="N61" s="1114"/>
      <c r="O61" s="1169"/>
      <c r="P61" s="1399"/>
      <c r="Q61" s="1168"/>
    </row>
    <row r="62" spans="1:29" s="878" customFormat="1" ht="15">
      <c r="A62" s="1115" t="s">
        <v>952</v>
      </c>
      <c r="B62" s="1116"/>
      <c r="C62" s="1117" t="s">
        <v>953</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1004</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958</v>
      </c>
      <c r="C66" s="1127" t="s">
        <v>1470</v>
      </c>
      <c r="D66" s="1127" t="s">
        <v>1471</v>
      </c>
      <c r="E66" s="1127" t="s">
        <v>1472</v>
      </c>
      <c r="F66" s="1127" t="s">
        <v>1473</v>
      </c>
      <c r="G66" s="1127" t="s">
        <v>1474</v>
      </c>
      <c r="H66" s="1127" t="s">
        <v>1475</v>
      </c>
      <c r="I66" s="1127" t="s">
        <v>1476</v>
      </c>
      <c r="J66" s="1127"/>
      <c r="K66" s="1183"/>
      <c r="L66" s="1184"/>
      <c r="M66" s="1185"/>
      <c r="N66" s="1179"/>
      <c r="O66" s="1179"/>
      <c r="P66" s="1401"/>
      <c r="Q66" s="1168"/>
    </row>
    <row r="67" spans="1:17" ht="15">
      <c r="A67" s="1123"/>
      <c r="B67" s="1128"/>
      <c r="C67" s="1129" t="s">
        <v>1000</v>
      </c>
      <c r="D67" s="1129" t="s">
        <v>1000</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960</v>
      </c>
      <c r="B77" s="1122" t="s">
        <v>675</v>
      </c>
      <c r="C77" s="1143" t="s">
        <v>1005</v>
      </c>
      <c r="D77" s="1143" t="s">
        <v>1006</v>
      </c>
      <c r="E77" s="1143" t="s">
        <v>1007</v>
      </c>
      <c r="F77" s="1143" t="s">
        <v>1008</v>
      </c>
      <c r="G77" s="1143" t="s">
        <v>1009</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673</v>
      </c>
      <c r="C79" s="1145" t="s">
        <v>1005</v>
      </c>
      <c r="D79" s="1145" t="s">
        <v>1006</v>
      </c>
      <c r="E79" s="1145" t="s">
        <v>1007</v>
      </c>
      <c r="F79" s="1145" t="s">
        <v>1008</v>
      </c>
      <c r="G79" s="1145" t="s">
        <v>1009</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677</v>
      </c>
      <c r="C81" s="1145" t="s">
        <v>1005</v>
      </c>
      <c r="D81" s="1145" t="s">
        <v>1006</v>
      </c>
      <c r="E81" s="1145" t="s">
        <v>1007</v>
      </c>
      <c r="F81" s="1145" t="s">
        <v>1008</v>
      </c>
      <c r="G81" s="1145" t="s">
        <v>1009</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679</v>
      </c>
      <c r="C83" s="1150" t="s">
        <v>1010</v>
      </c>
      <c r="D83" s="1150" t="s">
        <v>1011</v>
      </c>
      <c r="E83" s="1150" t="s">
        <v>1012</v>
      </c>
      <c r="F83" s="1150" t="s">
        <v>1013</v>
      </c>
      <c r="G83" s="1150" t="s">
        <v>1014</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1508</v>
      </c>
      <c r="C85" s="1145" t="s">
        <v>1005</v>
      </c>
      <c r="D85" s="1145" t="s">
        <v>1006</v>
      </c>
      <c r="E85" s="1145" t="s">
        <v>1007</v>
      </c>
      <c r="F85" s="1145" t="s">
        <v>1008</v>
      </c>
      <c r="G85" s="1145" t="s">
        <v>1009</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685</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963</v>
      </c>
      <c r="B101" s="1122" t="s">
        <v>1458</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1459</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1460</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1462</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575</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1509</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1463</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1464</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1511</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1504</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1467</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1468</v>
      </c>
      <c r="C125" s="1145" t="s">
        <v>1005</v>
      </c>
      <c r="D125" s="1145" t="s">
        <v>1006</v>
      </c>
      <c r="E125" s="1145" t="s">
        <v>1007</v>
      </c>
      <c r="F125" s="1145" t="s">
        <v>1008</v>
      </c>
      <c r="G125" s="1145" t="s">
        <v>1009</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2019年3月7日（评估专业人员实地查勘之日）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933</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IF(C2="——",ROUND(C43*D3/10000,0),ROUND(C43*D3/10000,0)-D2)</f>
        <v>#DIV/0!</v>
      </c>
      <c r="C2" s="1234"/>
      <c r="D2" s="89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936</v>
      </c>
      <c r="B3" s="896" t="e">
        <f ca="1">IF(C2="——",C43,ROUND(B2*10000/D3,0))</f>
        <v>#DIV/0!</v>
      </c>
      <c r="C3" s="1237" t="s">
        <v>937</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2" t="s">
        <v>941</v>
      </c>
      <c r="AC4" s="3161" t="s">
        <v>942</v>
      </c>
    </row>
    <row r="5" spans="1:29" ht="15">
      <c r="A5" s="900"/>
      <c r="B5" s="901"/>
      <c r="C5" s="3201" t="s">
        <v>945</v>
      </c>
      <c r="D5" s="3202"/>
      <c r="E5" s="3203" t="s">
        <v>1452</v>
      </c>
      <c r="F5" s="3204"/>
      <c r="G5" s="3201" t="s">
        <v>1453</v>
      </c>
      <c r="H5" s="3202"/>
      <c r="I5" s="3201" t="s">
        <v>1454</v>
      </c>
      <c r="J5" s="3202"/>
      <c r="K5" s="1032"/>
      <c r="L5" s="1033"/>
      <c r="M5" s="1034"/>
      <c r="N5" s="1034"/>
      <c r="O5" s="1034"/>
      <c r="P5" s="3166"/>
      <c r="Q5" s="3167"/>
      <c r="R5" s="3172"/>
      <c r="S5" s="3173"/>
      <c r="T5" s="3172"/>
      <c r="U5" s="3173"/>
      <c r="V5" s="3176"/>
      <c r="W5" s="3176"/>
      <c r="X5" s="1074"/>
      <c r="Y5" s="3172"/>
      <c r="Z5" s="3173"/>
      <c r="AA5" s="3162"/>
      <c r="AB5" s="3162"/>
      <c r="AC5" s="3162"/>
    </row>
    <row r="6" spans="1:29" ht="15">
      <c r="A6" s="902"/>
      <c r="B6" s="903"/>
      <c r="C6" s="3243" t="s">
        <v>1455</v>
      </c>
      <c r="D6" s="3244"/>
      <c r="E6" s="3245" t="s">
        <v>1455</v>
      </c>
      <c r="F6" s="3246"/>
      <c r="G6" s="3243" t="s">
        <v>1455</v>
      </c>
      <c r="H6" s="3244"/>
      <c r="I6" s="3243" t="s">
        <v>1455</v>
      </c>
      <c r="J6" s="3244"/>
      <c r="K6" s="1032" t="s">
        <v>948</v>
      </c>
      <c r="L6" s="1033"/>
      <c r="M6" s="1034"/>
      <c r="N6" s="1034"/>
      <c r="O6" s="1034"/>
      <c r="P6" s="3168"/>
      <c r="Q6" s="3169"/>
      <c r="R6" s="3172"/>
      <c r="S6" s="3173"/>
      <c r="T6" s="3174"/>
      <c r="U6" s="3175"/>
      <c r="V6" s="3176"/>
      <c r="W6" s="3176"/>
      <c r="X6" s="1074"/>
      <c r="Y6" s="3174"/>
      <c r="Z6" s="3175"/>
      <c r="AA6" s="3163"/>
      <c r="AB6" s="3163"/>
      <c r="AC6" s="3163"/>
    </row>
    <row r="7" spans="1:29" s="878" customFormat="1" ht="15">
      <c r="A7" s="904" t="s">
        <v>949</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90" t="s">
        <v>950</v>
      </c>
      <c r="Q7" s="3197"/>
      <c r="R7" s="1075" t="s">
        <v>951</v>
      </c>
      <c r="S7" s="1076">
        <f t="shared" ref="S7:S15" si="0">F7</f>
        <v>0</v>
      </c>
      <c r="T7" s="1075" t="s">
        <v>951</v>
      </c>
      <c r="U7" s="1076">
        <f t="shared" ref="U7:U15" si="1">H7</f>
        <v>0</v>
      </c>
      <c r="V7" s="1075" t="s">
        <v>951</v>
      </c>
      <c r="W7" s="1076">
        <f t="shared" ref="W7:W15" si="2">J7</f>
        <v>0</v>
      </c>
      <c r="X7" s="1077"/>
      <c r="Y7" s="3190" t="s">
        <v>950</v>
      </c>
      <c r="Z7" s="3191"/>
      <c r="AA7" s="1090" t="e">
        <f>D7/F7</f>
        <v>#DIV/0!</v>
      </c>
      <c r="AB7" s="1090" t="e">
        <f>D7/H7</f>
        <v>#DIV/0!</v>
      </c>
      <c r="AC7" s="1090" t="e">
        <f>D7/J7</f>
        <v>#DIV/0!</v>
      </c>
    </row>
    <row r="8" spans="1:29" s="878" customFormat="1" ht="15">
      <c r="A8" s="904" t="s">
        <v>952</v>
      </c>
      <c r="B8" s="905"/>
      <c r="C8" s="911" t="s">
        <v>953</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40" si="3">D8/F8</f>
        <v>#DIV/0!</v>
      </c>
      <c r="AB8" s="1090" t="e">
        <f t="shared" ref="AB8:AB40" si="4">D8/H8</f>
        <v>#DIV/0!</v>
      </c>
      <c r="AC8" s="1090" t="e">
        <f t="shared" ref="AC8:AC40" si="5">D8/J8</f>
        <v>#DIV/0!</v>
      </c>
    </row>
    <row r="9" spans="1:29" s="878" customFormat="1">
      <c r="A9" s="912" t="s">
        <v>955</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78"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78"/>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090">
        <f t="shared" si="5"/>
        <v>1</v>
      </c>
    </row>
    <row r="11" spans="1:29" ht="15">
      <c r="A11" s="922"/>
      <c r="B11" s="917" t="s">
        <v>959</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78"/>
      <c r="Q11" s="1079" t="str">
        <f t="shared" si="6"/>
        <v>容积率</v>
      </c>
      <c r="R11" s="1075" t="s">
        <v>951</v>
      </c>
      <c r="S11" s="1076" t="e">
        <f t="shared" si="0"/>
        <v>#N/A</v>
      </c>
      <c r="T11" s="1075" t="s">
        <v>951</v>
      </c>
      <c r="U11" s="1076" t="e">
        <f t="shared" si="1"/>
        <v>#N/A</v>
      </c>
      <c r="V11" s="1075" t="s">
        <v>951</v>
      </c>
      <c r="W11" s="1076" t="e">
        <f t="shared" si="2"/>
        <v>#N/A</v>
      </c>
      <c r="X11" s="1077"/>
      <c r="Y11" s="302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78"/>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78"/>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78"/>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090">
        <f t="shared" si="5"/>
        <v>1</v>
      </c>
    </row>
    <row r="15" spans="1:29" ht="15">
      <c r="A15" s="936" t="s">
        <v>960</v>
      </c>
      <c r="B15" s="937" t="s">
        <v>669</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79" t="s">
        <v>961</v>
      </c>
      <c r="Q15" s="661" t="str">
        <f t="shared" si="6"/>
        <v>产业集聚程度</v>
      </c>
      <c r="R15" s="1080" t="s">
        <v>951</v>
      </c>
      <c r="S15" s="1081">
        <f t="shared" si="0"/>
        <v>100</v>
      </c>
      <c r="T15" s="1080" t="s">
        <v>951</v>
      </c>
      <c r="U15" s="1081">
        <f t="shared" si="1"/>
        <v>100</v>
      </c>
      <c r="V15" s="1080" t="s">
        <v>951</v>
      </c>
      <c r="W15" s="1081">
        <f t="shared" si="2"/>
        <v>100</v>
      </c>
      <c r="X15" s="1074"/>
      <c r="Y15" s="3179" t="s">
        <v>961</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80"/>
      <c r="Q16" s="661"/>
      <c r="R16" s="1080"/>
      <c r="S16" s="1081"/>
      <c r="T16" s="1080"/>
      <c r="U16" s="1081"/>
      <c r="V16" s="1080"/>
      <c r="W16" s="1081"/>
      <c r="X16" s="1074"/>
      <c r="Y16" s="3180"/>
      <c r="Z16" s="1073"/>
      <c r="AA16" s="1092">
        <v>1</v>
      </c>
      <c r="AB16" s="1092">
        <v>1</v>
      </c>
      <c r="AC16" s="1092">
        <v>1</v>
      </c>
    </row>
    <row r="17" spans="1:29" ht="15">
      <c r="A17" s="922"/>
      <c r="B17" s="946" t="s">
        <v>673</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80"/>
      <c r="Q17" s="661" t="str">
        <f>B17</f>
        <v>交通便捷度</v>
      </c>
      <c r="R17" s="1080" t="s">
        <v>951</v>
      </c>
      <c r="S17" s="1081">
        <f>F17</f>
        <v>100</v>
      </c>
      <c r="T17" s="1080" t="s">
        <v>951</v>
      </c>
      <c r="U17" s="1081">
        <f>H17</f>
        <v>100</v>
      </c>
      <c r="V17" s="1080" t="s">
        <v>951</v>
      </c>
      <c r="W17" s="1081">
        <f>J17</f>
        <v>100</v>
      </c>
      <c r="X17" s="1074"/>
      <c r="Y17" s="3180"/>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80"/>
      <c r="Q18" s="661"/>
      <c r="R18" s="1080"/>
      <c r="S18" s="1081"/>
      <c r="T18" s="1080"/>
      <c r="U18" s="1081"/>
      <c r="V18" s="1080"/>
      <c r="W18" s="1081"/>
      <c r="X18" s="1074"/>
      <c r="Y18" s="3180"/>
      <c r="Z18" s="1073"/>
      <c r="AA18" s="1092">
        <v>1</v>
      </c>
      <c r="AB18" s="1092">
        <v>1</v>
      </c>
      <c r="AC18" s="1092">
        <v>1</v>
      </c>
    </row>
    <row r="19" spans="1:29" ht="15">
      <c r="A19" s="922"/>
      <c r="B19" s="946" t="s">
        <v>677</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80"/>
      <c r="Q19" s="661" t="str">
        <f>B19</f>
        <v>公共配套设施</v>
      </c>
      <c r="R19" s="1080" t="s">
        <v>951</v>
      </c>
      <c r="S19" s="1081">
        <f>F19</f>
        <v>100</v>
      </c>
      <c r="T19" s="1080" t="s">
        <v>951</v>
      </c>
      <c r="U19" s="1081">
        <f>H19</f>
        <v>100</v>
      </c>
      <c r="V19" s="1080" t="s">
        <v>951</v>
      </c>
      <c r="W19" s="1081">
        <f>J19</f>
        <v>100</v>
      </c>
      <c r="X19" s="1074"/>
      <c r="Y19" s="3180"/>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80"/>
      <c r="Q20" s="661"/>
      <c r="R20" s="1080"/>
      <c r="S20" s="1081"/>
      <c r="T20" s="1080"/>
      <c r="U20" s="1081"/>
      <c r="V20" s="1080"/>
      <c r="W20" s="1081"/>
      <c r="X20" s="1074"/>
      <c r="Y20" s="3180"/>
      <c r="Z20" s="1073"/>
      <c r="AA20" s="1092">
        <v>1</v>
      </c>
      <c r="AB20" s="1092">
        <v>1</v>
      </c>
      <c r="AC20" s="1092">
        <v>1</v>
      </c>
    </row>
    <row r="21" spans="1:29" ht="15">
      <c r="A21" s="922"/>
      <c r="B21" s="954" t="s">
        <v>679</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80"/>
      <c r="Q21" s="661" t="str">
        <f>B21</f>
        <v>基础设施水平</v>
      </c>
      <c r="R21" s="1080" t="s">
        <v>951</v>
      </c>
      <c r="S21" s="1081">
        <f>F21</f>
        <v>100</v>
      </c>
      <c r="T21" s="1080" t="s">
        <v>951</v>
      </c>
      <c r="U21" s="1081">
        <f>H21</f>
        <v>100</v>
      </c>
      <c r="V21" s="1080" t="s">
        <v>951</v>
      </c>
      <c r="W21" s="1081">
        <f>J21</f>
        <v>100</v>
      </c>
      <c r="X21" s="1074"/>
      <c r="Y21" s="3180"/>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80"/>
      <c r="Q22" s="661"/>
      <c r="R22" s="1080"/>
      <c r="S22" s="1081"/>
      <c r="T22" s="1080"/>
      <c r="U22" s="1081"/>
      <c r="V22" s="1080"/>
      <c r="W22" s="1081"/>
      <c r="X22" s="1074"/>
      <c r="Y22" s="3180"/>
      <c r="Z22" s="1073"/>
      <c r="AA22" s="1092">
        <v>1</v>
      </c>
      <c r="AB22" s="1092">
        <v>1</v>
      </c>
      <c r="AC22" s="1092">
        <v>1</v>
      </c>
    </row>
    <row r="23" spans="1:29" ht="15">
      <c r="A23" s="922"/>
      <c r="B23" s="946" t="s">
        <v>1508</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80"/>
      <c r="Q23" s="661" t="str">
        <f>B23</f>
        <v>环境质量</v>
      </c>
      <c r="R23" s="1080" t="s">
        <v>951</v>
      </c>
      <c r="S23" s="1081">
        <f>F23</f>
        <v>100</v>
      </c>
      <c r="T23" s="1080" t="s">
        <v>951</v>
      </c>
      <c r="U23" s="1081">
        <f>H23</f>
        <v>100</v>
      </c>
      <c r="V23" s="1080" t="s">
        <v>951</v>
      </c>
      <c r="W23" s="1081">
        <f>J23</f>
        <v>100</v>
      </c>
      <c r="X23" s="1074"/>
      <c r="Y23" s="3180"/>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80"/>
      <c r="Q24" s="661"/>
      <c r="R24" s="1080"/>
      <c r="S24" s="1081"/>
      <c r="T24" s="1080"/>
      <c r="U24" s="1081"/>
      <c r="V24" s="1080"/>
      <c r="W24" s="1081"/>
      <c r="X24" s="1074"/>
      <c r="Y24" s="3180"/>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80"/>
      <c r="Q25" s="661">
        <f>B25</f>
        <v>111</v>
      </c>
      <c r="R25" s="1080" t="s">
        <v>951</v>
      </c>
      <c r="S25" s="1081">
        <f>F25</f>
        <v>100</v>
      </c>
      <c r="T25" s="1080" t="s">
        <v>951</v>
      </c>
      <c r="U25" s="1081">
        <f>H25</f>
        <v>100</v>
      </c>
      <c r="V25" s="1080" t="s">
        <v>951</v>
      </c>
      <c r="W25" s="1081">
        <f>J25</f>
        <v>100</v>
      </c>
      <c r="X25" s="1074"/>
      <c r="Y25" s="3180"/>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80"/>
      <c r="Q26" s="661">
        <f t="shared" ref="Q26:Q40" si="11">B26</f>
        <v>111</v>
      </c>
      <c r="R26" s="1080" t="s">
        <v>951</v>
      </c>
      <c r="S26" s="1081">
        <f>F26</f>
        <v>100</v>
      </c>
      <c r="T26" s="1080" t="s">
        <v>951</v>
      </c>
      <c r="U26" s="1081">
        <f>H26</f>
        <v>100</v>
      </c>
      <c r="V26" s="1080" t="s">
        <v>951</v>
      </c>
      <c r="W26" s="1081">
        <f>J26</f>
        <v>100</v>
      </c>
      <c r="X26" s="1074"/>
      <c r="Y26" s="3180"/>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80"/>
      <c r="Q27" s="1079">
        <f t="shared" si="11"/>
        <v>111</v>
      </c>
      <c r="R27" s="1075" t="s">
        <v>951</v>
      </c>
      <c r="S27" s="1076">
        <f>F27</f>
        <v>100</v>
      </c>
      <c r="T27" s="1075" t="s">
        <v>951</v>
      </c>
      <c r="U27" s="1076">
        <f>H27</f>
        <v>100</v>
      </c>
      <c r="V27" s="1075" t="s">
        <v>951</v>
      </c>
      <c r="W27" s="1076">
        <f>J27</f>
        <v>100</v>
      </c>
      <c r="X27" s="1077"/>
      <c r="Y27" s="3180"/>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80"/>
      <c r="Q28" s="661">
        <f t="shared" si="11"/>
        <v>111</v>
      </c>
      <c r="R28" s="1080" t="s">
        <v>951</v>
      </c>
      <c r="S28" s="1081">
        <f t="shared" ref="S28:S40" si="12">F28</f>
        <v>100</v>
      </c>
      <c r="T28" s="1080" t="s">
        <v>951</v>
      </c>
      <c r="U28" s="1081">
        <f t="shared" ref="U28:U40" si="13">H28</f>
        <v>100</v>
      </c>
      <c r="V28" s="1080" t="s">
        <v>951</v>
      </c>
      <c r="W28" s="1081">
        <f t="shared" ref="W28:W40" si="14">J28</f>
        <v>100</v>
      </c>
      <c r="X28" s="1074"/>
      <c r="Y28" s="3180"/>
      <c r="Z28" s="1073">
        <f t="shared" ref="Z28:Z40" si="15">Q28</f>
        <v>111</v>
      </c>
      <c r="AA28" s="1092">
        <f t="shared" si="3"/>
        <v>1</v>
      </c>
      <c r="AB28" s="1092">
        <f t="shared" si="4"/>
        <v>1</v>
      </c>
      <c r="AC28" s="1092">
        <f t="shared" si="5"/>
        <v>1</v>
      </c>
    </row>
    <row r="29" spans="1:29" ht="28.5">
      <c r="A29" s="1255" t="s">
        <v>963</v>
      </c>
      <c r="B29" s="913" t="s">
        <v>1458</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1" t="s">
        <v>962</v>
      </c>
      <c r="Q29" s="661" t="str">
        <f t="shared" si="11"/>
        <v>建筑类型</v>
      </c>
      <c r="R29" s="1080" t="s">
        <v>951</v>
      </c>
      <c r="S29" s="1081">
        <f t="shared" si="12"/>
        <v>100</v>
      </c>
      <c r="T29" s="1080" t="s">
        <v>951</v>
      </c>
      <c r="U29" s="1081">
        <f t="shared" si="13"/>
        <v>100</v>
      </c>
      <c r="V29" s="1080" t="s">
        <v>951</v>
      </c>
      <c r="W29" s="1081">
        <f t="shared" si="14"/>
        <v>100</v>
      </c>
      <c r="X29" s="1074"/>
      <c r="Y29" s="3182" t="s">
        <v>962</v>
      </c>
      <c r="Z29" s="1073" t="str">
        <f t="shared" si="15"/>
        <v>建筑类型</v>
      </c>
      <c r="AA29" s="1092">
        <f t="shared" si="3"/>
        <v>1</v>
      </c>
      <c r="AB29" s="1092">
        <f t="shared" si="4"/>
        <v>1</v>
      </c>
      <c r="AC29" s="1092">
        <f t="shared" si="5"/>
        <v>1</v>
      </c>
    </row>
    <row r="30" spans="1:29" s="880" customFormat="1" ht="15">
      <c r="A30" s="979"/>
      <c r="B30" s="917" t="s">
        <v>1459</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2"/>
      <c r="Q30" s="1294" t="str">
        <f t="shared" si="11"/>
        <v>项目建筑规模</v>
      </c>
      <c r="R30" s="1082" t="s">
        <v>951</v>
      </c>
      <c r="S30" s="1083" t="e">
        <f t="shared" si="12"/>
        <v>#N/A</v>
      </c>
      <c r="T30" s="1082" t="s">
        <v>951</v>
      </c>
      <c r="U30" s="1083" t="e">
        <f t="shared" si="13"/>
        <v>#N/A</v>
      </c>
      <c r="V30" s="1082" t="s">
        <v>951</v>
      </c>
      <c r="W30" s="1083" t="e">
        <f t="shared" si="14"/>
        <v>#N/A</v>
      </c>
      <c r="X30" s="1084"/>
      <c r="Y30" s="3182"/>
      <c r="Z30" s="1093" t="str">
        <f t="shared" si="15"/>
        <v>项目建筑规模</v>
      </c>
      <c r="AA30" s="1092" t="e">
        <f t="shared" si="3"/>
        <v>#N/A</v>
      </c>
      <c r="AB30" s="1092" t="e">
        <f t="shared" si="4"/>
        <v>#N/A</v>
      </c>
      <c r="AC30" s="1092" t="e">
        <f t="shared" si="5"/>
        <v>#N/A</v>
      </c>
    </row>
    <row r="31" spans="1:29" ht="15">
      <c r="A31" s="973"/>
      <c r="B31" s="917" t="s">
        <v>1460</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2"/>
      <c r="Q31" s="661" t="str">
        <f t="shared" si="11"/>
        <v>建筑结构</v>
      </c>
      <c r="R31" s="1080" t="s">
        <v>951</v>
      </c>
      <c r="S31" s="1081">
        <f t="shared" si="12"/>
        <v>100</v>
      </c>
      <c r="T31" s="1080" t="s">
        <v>951</v>
      </c>
      <c r="U31" s="1081">
        <f t="shared" si="13"/>
        <v>100</v>
      </c>
      <c r="V31" s="1080" t="s">
        <v>951</v>
      </c>
      <c r="W31" s="1081">
        <f t="shared" si="14"/>
        <v>100</v>
      </c>
      <c r="X31" s="1074"/>
      <c r="Y31" s="3182"/>
      <c r="Z31" s="1073" t="str">
        <f t="shared" si="15"/>
        <v>建筑结构</v>
      </c>
      <c r="AA31" s="1092">
        <f t="shared" si="3"/>
        <v>1</v>
      </c>
      <c r="AB31" s="1092">
        <f t="shared" si="4"/>
        <v>1</v>
      </c>
      <c r="AC31" s="1092">
        <f t="shared" si="5"/>
        <v>1</v>
      </c>
    </row>
    <row r="32" spans="1:29" ht="15">
      <c r="A32" s="973"/>
      <c r="B32" s="917" t="s">
        <v>1462</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2"/>
      <c r="Q32" s="661" t="str">
        <f t="shared" si="11"/>
        <v>公共部分装修</v>
      </c>
      <c r="R32" s="1080" t="s">
        <v>951</v>
      </c>
      <c r="S32" s="1081">
        <f t="shared" si="12"/>
        <v>100</v>
      </c>
      <c r="T32" s="1080" t="s">
        <v>951</v>
      </c>
      <c r="U32" s="1081">
        <f t="shared" si="13"/>
        <v>100</v>
      </c>
      <c r="V32" s="1080" t="s">
        <v>951</v>
      </c>
      <c r="W32" s="1081">
        <f t="shared" si="14"/>
        <v>100</v>
      </c>
      <c r="X32" s="1074"/>
      <c r="Y32" s="3182"/>
      <c r="Z32" s="1073" t="str">
        <f t="shared" si="15"/>
        <v>公共部分装修</v>
      </c>
      <c r="AA32" s="1092">
        <f t="shared" si="3"/>
        <v>1</v>
      </c>
      <c r="AB32" s="1092">
        <f t="shared" si="4"/>
        <v>1</v>
      </c>
      <c r="AC32" s="1092">
        <f t="shared" si="5"/>
        <v>1</v>
      </c>
    </row>
    <row r="33" spans="1:29" ht="15">
      <c r="A33" s="973"/>
      <c r="B33" s="917" t="s">
        <v>575</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2"/>
      <c r="Q33" s="661" t="str">
        <f t="shared" si="11"/>
        <v>成新度</v>
      </c>
      <c r="R33" s="1080" t="s">
        <v>951</v>
      </c>
      <c r="S33" s="1081" t="e">
        <f t="shared" si="12"/>
        <v>#N/A</v>
      </c>
      <c r="T33" s="1080" t="s">
        <v>951</v>
      </c>
      <c r="U33" s="1081" t="e">
        <f t="shared" si="13"/>
        <v>#N/A</v>
      </c>
      <c r="V33" s="1080" t="s">
        <v>951</v>
      </c>
      <c r="W33" s="1081" t="e">
        <f t="shared" si="14"/>
        <v>#N/A</v>
      </c>
      <c r="X33" s="1074"/>
      <c r="Y33" s="3182"/>
      <c r="Z33" s="1073" t="str">
        <f t="shared" si="15"/>
        <v>成新度</v>
      </c>
      <c r="AA33" s="1092" t="e">
        <f t="shared" si="3"/>
        <v>#N/A</v>
      </c>
      <c r="AB33" s="1092" t="e">
        <f t="shared" si="4"/>
        <v>#N/A</v>
      </c>
      <c r="AC33" s="1092" t="e">
        <f t="shared" si="5"/>
        <v>#N/A</v>
      </c>
    </row>
    <row r="34" spans="1:29" s="878" customFormat="1" ht="15">
      <c r="A34" s="977"/>
      <c r="B34" s="917" t="s">
        <v>1463</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2"/>
      <c r="Q34" s="1079" t="str">
        <f t="shared" si="11"/>
        <v>物业管理</v>
      </c>
      <c r="R34" s="1075" t="s">
        <v>951</v>
      </c>
      <c r="S34" s="1076">
        <f t="shared" si="12"/>
        <v>100</v>
      </c>
      <c r="T34" s="1075" t="s">
        <v>951</v>
      </c>
      <c r="U34" s="1076">
        <f t="shared" si="13"/>
        <v>100</v>
      </c>
      <c r="V34" s="1075" t="s">
        <v>951</v>
      </c>
      <c r="W34" s="1076">
        <f t="shared" si="14"/>
        <v>100</v>
      </c>
      <c r="X34" s="1077"/>
      <c r="Y34" s="3182"/>
      <c r="Z34" s="1091" t="str">
        <f t="shared" si="15"/>
        <v>物业管理</v>
      </c>
      <c r="AA34" s="1090">
        <f t="shared" si="3"/>
        <v>1</v>
      </c>
      <c r="AB34" s="1090">
        <f t="shared" si="4"/>
        <v>1</v>
      </c>
      <c r="AC34" s="1090">
        <f t="shared" si="5"/>
        <v>1</v>
      </c>
    </row>
    <row r="35" spans="1:29" ht="15">
      <c r="A35" s="973"/>
      <c r="B35" s="917" t="s">
        <v>1464</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2" t="s">
        <v>962</v>
      </c>
      <c r="Q35" s="661" t="str">
        <f t="shared" si="11"/>
        <v>市政基础设施</v>
      </c>
      <c r="R35" s="1080" t="s">
        <v>951</v>
      </c>
      <c r="S35" s="1081">
        <f t="shared" si="12"/>
        <v>100</v>
      </c>
      <c r="T35" s="1080" t="s">
        <v>951</v>
      </c>
      <c r="U35" s="1081">
        <f t="shared" si="13"/>
        <v>100</v>
      </c>
      <c r="V35" s="1080" t="s">
        <v>951</v>
      </c>
      <c r="W35" s="1081">
        <f t="shared" si="14"/>
        <v>100</v>
      </c>
      <c r="X35" s="1074"/>
      <c r="Y35" s="3182" t="s">
        <v>962</v>
      </c>
      <c r="Z35" s="1073" t="str">
        <f t="shared" si="15"/>
        <v>市政基础设施</v>
      </c>
      <c r="AA35" s="1092">
        <f t="shared" si="3"/>
        <v>1</v>
      </c>
      <c r="AB35" s="1092">
        <f t="shared" si="4"/>
        <v>1</v>
      </c>
      <c r="AC35" s="1092">
        <f t="shared" si="5"/>
        <v>1</v>
      </c>
    </row>
    <row r="36" spans="1:29" ht="15">
      <c r="A36" s="973"/>
      <c r="B36" s="917" t="s">
        <v>1467</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2"/>
      <c r="Q36" s="661" t="str">
        <f t="shared" si="11"/>
        <v>内部装修</v>
      </c>
      <c r="R36" s="1080" t="s">
        <v>951</v>
      </c>
      <c r="S36" s="1081">
        <f t="shared" si="12"/>
        <v>100</v>
      </c>
      <c r="T36" s="1080" t="s">
        <v>951</v>
      </c>
      <c r="U36" s="1081">
        <f t="shared" si="13"/>
        <v>100</v>
      </c>
      <c r="V36" s="1080" t="s">
        <v>951</v>
      </c>
      <c r="W36" s="1081">
        <f t="shared" si="14"/>
        <v>100</v>
      </c>
      <c r="X36" s="1074"/>
      <c r="Y36" s="3182"/>
      <c r="Z36" s="1073" t="str">
        <f t="shared" si="15"/>
        <v>内部装修</v>
      </c>
      <c r="AA36" s="1092">
        <f t="shared" si="3"/>
        <v>1</v>
      </c>
      <c r="AB36" s="1092">
        <f t="shared" si="4"/>
        <v>1</v>
      </c>
      <c r="AC36" s="1092">
        <f t="shared" si="5"/>
        <v>1</v>
      </c>
    </row>
    <row r="37" spans="1:29" ht="15">
      <c r="A37" s="973"/>
      <c r="B37" s="917" t="s">
        <v>1512</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2"/>
      <c r="Q37" s="661" t="str">
        <f t="shared" si="11"/>
        <v>内部装修状况</v>
      </c>
      <c r="R37" s="1080" t="s">
        <v>951</v>
      </c>
      <c r="S37" s="1081">
        <f t="shared" si="12"/>
        <v>100</v>
      </c>
      <c r="T37" s="1080" t="s">
        <v>951</v>
      </c>
      <c r="U37" s="1081">
        <f t="shared" si="13"/>
        <v>100</v>
      </c>
      <c r="V37" s="1080" t="s">
        <v>951</v>
      </c>
      <c r="W37" s="1081">
        <f t="shared" si="14"/>
        <v>100</v>
      </c>
      <c r="X37" s="1074"/>
      <c r="Y37" s="3182"/>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2"/>
      <c r="Q38" s="1294">
        <f t="shared" si="11"/>
        <v>111</v>
      </c>
      <c r="R38" s="1082" t="s">
        <v>951</v>
      </c>
      <c r="S38" s="1083">
        <f t="shared" si="12"/>
        <v>100</v>
      </c>
      <c r="T38" s="1082" t="s">
        <v>951</v>
      </c>
      <c r="U38" s="1083">
        <f t="shared" si="13"/>
        <v>100</v>
      </c>
      <c r="V38" s="1082" t="s">
        <v>951</v>
      </c>
      <c r="W38" s="1083">
        <f t="shared" si="14"/>
        <v>100</v>
      </c>
      <c r="X38" s="1084"/>
      <c r="Y38" s="3182"/>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2"/>
      <c r="Q39" s="661">
        <f t="shared" si="11"/>
        <v>111</v>
      </c>
      <c r="R39" s="1080" t="s">
        <v>951</v>
      </c>
      <c r="S39" s="1081">
        <f t="shared" si="12"/>
        <v>100</v>
      </c>
      <c r="T39" s="1080" t="s">
        <v>951</v>
      </c>
      <c r="U39" s="1081">
        <f t="shared" si="13"/>
        <v>100</v>
      </c>
      <c r="V39" s="1080" t="s">
        <v>951</v>
      </c>
      <c r="W39" s="1081">
        <f t="shared" si="14"/>
        <v>100</v>
      </c>
      <c r="X39" s="1074"/>
      <c r="Y39" s="3182"/>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2"/>
      <c r="Q40" s="661">
        <f t="shared" si="11"/>
        <v>111</v>
      </c>
      <c r="R40" s="1080" t="s">
        <v>951</v>
      </c>
      <c r="S40" s="1081">
        <f t="shared" si="12"/>
        <v>100</v>
      </c>
      <c r="T40" s="1080" t="s">
        <v>951</v>
      </c>
      <c r="U40" s="1081">
        <f t="shared" si="13"/>
        <v>100</v>
      </c>
      <c r="V40" s="1080" t="s">
        <v>951</v>
      </c>
      <c r="W40" s="1081">
        <f t="shared" si="14"/>
        <v>100</v>
      </c>
      <c r="X40" s="1074"/>
      <c r="Y40" s="3242"/>
      <c r="Z40" s="1073">
        <f t="shared" si="15"/>
        <v>111</v>
      </c>
      <c r="AA40" s="1092">
        <f t="shared" si="3"/>
        <v>1</v>
      </c>
      <c r="AB40" s="1092">
        <f t="shared" si="4"/>
        <v>1</v>
      </c>
      <c r="AC40" s="1092">
        <f t="shared" si="5"/>
        <v>1</v>
      </c>
    </row>
    <row r="41" spans="1:29" ht="15">
      <c r="A41" s="982" t="s">
        <v>1469</v>
      </c>
      <c r="B41" s="1265"/>
      <c r="C41" s="1266" t="s">
        <v>124</v>
      </c>
      <c r="D41" s="1267"/>
      <c r="E41" s="1268"/>
      <c r="F41" s="1269"/>
      <c r="G41" s="1270"/>
      <c r="H41" s="1271"/>
      <c r="I41" s="1268"/>
      <c r="J41" s="1271"/>
      <c r="K41" s="1057"/>
      <c r="L41" s="1058"/>
      <c r="M41" s="999"/>
      <c r="N41" s="1034"/>
      <c r="O41" s="999"/>
      <c r="P41" s="3178" t="str">
        <f>A41</f>
        <v>成交单价（元/平方米）</v>
      </c>
      <c r="Q41" s="3178"/>
      <c r="R41" s="3235">
        <f>E41</f>
        <v>0</v>
      </c>
      <c r="S41" s="3235"/>
      <c r="T41" s="3235">
        <f>G41</f>
        <v>0</v>
      </c>
      <c r="U41" s="3235"/>
      <c r="V41" s="3235">
        <f>I41</f>
        <v>0</v>
      </c>
      <c r="W41" s="3235"/>
      <c r="X41" s="1085"/>
      <c r="Y41" s="1094"/>
      <c r="Z41" s="1085"/>
      <c r="AA41" s="1085"/>
      <c r="AB41" s="1085"/>
      <c r="AC41" s="1085"/>
    </row>
    <row r="42" spans="1:29" ht="15">
      <c r="A42" s="990" t="s">
        <v>971</v>
      </c>
      <c r="B42" s="1272"/>
      <c r="C42" s="1273" t="e">
        <f>R43</f>
        <v>#DIV/0!</v>
      </c>
      <c r="D42" s="1274"/>
      <c r="E42" s="1275" t="e">
        <f>R42</f>
        <v>#DIV/0!</v>
      </c>
      <c r="F42" s="1275"/>
      <c r="G42" s="1273" t="e">
        <f>T42</f>
        <v>#DIV/0!</v>
      </c>
      <c r="H42" s="1274"/>
      <c r="I42" s="1275" t="e">
        <f>V42</f>
        <v>#DIV/0!</v>
      </c>
      <c r="J42" s="1274"/>
      <c r="K42" s="1059"/>
      <c r="L42" s="1058"/>
      <c r="M42" s="999"/>
      <c r="N42" s="1034"/>
      <c r="O42" s="999"/>
      <c r="P42" s="3178" t="str">
        <f>A42</f>
        <v>比较价值（元/平方米）</v>
      </c>
      <c r="Q42" s="3178"/>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1085"/>
      <c r="Y42" s="1085"/>
      <c r="Z42" s="1085"/>
      <c r="AA42" s="1085"/>
      <c r="AB42" s="1085"/>
      <c r="AC42" s="1085"/>
    </row>
    <row r="43" spans="1:29" ht="15">
      <c r="A43" s="996" t="s">
        <v>972</v>
      </c>
      <c r="B43" s="997"/>
      <c r="C43" s="1276" t="e">
        <f>R43</f>
        <v>#DIV/0!</v>
      </c>
      <c r="D43" s="1276"/>
      <c r="E43" s="1276"/>
      <c r="F43" s="1276"/>
      <c r="G43" s="1276"/>
      <c r="H43" s="1276"/>
      <c r="I43" s="1276"/>
      <c r="J43" s="1276"/>
      <c r="K43" s="1060"/>
      <c r="L43" s="1058"/>
      <c r="M43" s="999"/>
      <c r="N43" s="999"/>
      <c r="O43" s="999"/>
      <c r="P43" s="3187" t="str">
        <f>A43</f>
        <v>估价对象XX用房的比较价值（楼面单价，元/平方米）</v>
      </c>
      <c r="Q43" s="3188"/>
      <c r="R43" s="3236" t="e">
        <f>IF(F1="售价",ROUND(AVERAGE(R42:V42),0),ROUND(AVERAGE(R42:V42),1))</f>
        <v>#DIV/0!</v>
      </c>
      <c r="S43" s="3236"/>
      <c r="T43" s="3236"/>
      <c r="U43" s="3236"/>
      <c r="V43" s="3236"/>
      <c r="W43" s="3236"/>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973</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974</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975</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1001</v>
      </c>
      <c r="B51" s="1085"/>
      <c r="C51" s="1103"/>
      <c r="D51" s="1103"/>
      <c r="E51" s="1103"/>
      <c r="F51" s="1104"/>
      <c r="G51" s="1104"/>
      <c r="H51" s="1103"/>
      <c r="I51" s="1103"/>
      <c r="J51" s="1103"/>
      <c r="K51" s="1162"/>
      <c r="L51" s="1163"/>
      <c r="M51" s="1161"/>
      <c r="N51" s="1161"/>
      <c r="O51" s="1161"/>
      <c r="P51" s="1164"/>
      <c r="Q51" s="1168"/>
    </row>
    <row r="52" spans="1:17" s="883" customFormat="1" ht="15">
      <c r="A52" s="1278" t="s">
        <v>949</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1003</v>
      </c>
      <c r="B54" s="1112"/>
      <c r="C54" s="1113"/>
      <c r="D54" s="1114"/>
      <c r="E54" s="1114"/>
      <c r="F54" s="1114"/>
      <c r="G54" s="1114"/>
      <c r="H54" s="1114"/>
      <c r="I54" s="1114"/>
      <c r="J54" s="1114"/>
      <c r="K54" s="1114"/>
      <c r="L54" s="1114"/>
      <c r="M54" s="1169"/>
      <c r="N54" s="1114"/>
      <c r="O54" s="1293"/>
      <c r="P54" s="1168"/>
      <c r="Q54" s="1168"/>
    </row>
    <row r="55" spans="1:17" s="878" customFormat="1" ht="15">
      <c r="A55" s="1115" t="s">
        <v>952</v>
      </c>
      <c r="B55" s="1116"/>
      <c r="C55" s="1117" t="s">
        <v>953</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1004</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958</v>
      </c>
      <c r="C59" s="1127" t="s">
        <v>1470</v>
      </c>
      <c r="D59" s="1127" t="s">
        <v>1471</v>
      </c>
      <c r="E59" s="1127" t="s">
        <v>1472</v>
      </c>
      <c r="F59" s="1127" t="s">
        <v>1473</v>
      </c>
      <c r="G59" s="1127" t="s">
        <v>1474</v>
      </c>
      <c r="H59" s="1127" t="s">
        <v>1475</v>
      </c>
      <c r="I59" s="1127" t="s">
        <v>1476</v>
      </c>
      <c r="J59" s="1127"/>
      <c r="K59" s="1183"/>
      <c r="L59" s="1184"/>
      <c r="M59" s="1185"/>
      <c r="N59" s="1179"/>
      <c r="O59" s="1179"/>
      <c r="P59" s="1180"/>
      <c r="Q59" s="1168"/>
    </row>
    <row r="60" spans="1:17" ht="15">
      <c r="A60" s="1123"/>
      <c r="B60" s="1128"/>
      <c r="C60" s="1129" t="s">
        <v>1000</v>
      </c>
      <c r="D60" s="1129" t="s">
        <v>1000</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960</v>
      </c>
      <c r="B70" s="1122" t="s">
        <v>669</v>
      </c>
      <c r="C70" s="1143" t="s">
        <v>1005</v>
      </c>
      <c r="D70" s="1143" t="s">
        <v>1006</v>
      </c>
      <c r="E70" s="1143" t="s">
        <v>1007</v>
      </c>
      <c r="F70" s="1143" t="s">
        <v>1008</v>
      </c>
      <c r="G70" s="1143" t="s">
        <v>1009</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673</v>
      </c>
      <c r="C72" s="1145" t="s">
        <v>1005</v>
      </c>
      <c r="D72" s="1145" t="s">
        <v>1006</v>
      </c>
      <c r="E72" s="1145" t="s">
        <v>1007</v>
      </c>
      <c r="F72" s="1145" t="s">
        <v>1008</v>
      </c>
      <c r="G72" s="1145" t="s">
        <v>1009</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677</v>
      </c>
      <c r="C74" s="1145" t="s">
        <v>1005</v>
      </c>
      <c r="D74" s="1145" t="s">
        <v>1006</v>
      </c>
      <c r="E74" s="1145" t="s">
        <v>1007</v>
      </c>
      <c r="F74" s="1145" t="s">
        <v>1008</v>
      </c>
      <c r="G74" s="1145" t="s">
        <v>1009</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679</v>
      </c>
      <c r="C76" s="1150" t="s">
        <v>1010</v>
      </c>
      <c r="D76" s="1150" t="s">
        <v>1011</v>
      </c>
      <c r="E76" s="1150" t="s">
        <v>1012</v>
      </c>
      <c r="F76" s="1150" t="s">
        <v>1013</v>
      </c>
      <c r="G76" s="1150" t="s">
        <v>1014</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1508</v>
      </c>
      <c r="C78" s="1145" t="s">
        <v>1005</v>
      </c>
      <c r="D78" s="1145" t="s">
        <v>1006</v>
      </c>
      <c r="E78" s="1145" t="s">
        <v>1007</v>
      </c>
      <c r="F78" s="1145" t="s">
        <v>1008</v>
      </c>
      <c r="G78" s="1145" t="s">
        <v>1009</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963</v>
      </c>
      <c r="B88" s="1122" t="s">
        <v>1458</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1459</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1460</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1462</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575</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1463</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1464</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1467</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1513</v>
      </c>
      <c r="C106" s="1145" t="s">
        <v>1005</v>
      </c>
      <c r="D106" s="1145" t="s">
        <v>1006</v>
      </c>
      <c r="E106" s="1145" t="s">
        <v>1007</v>
      </c>
      <c r="F106" s="1145" t="s">
        <v>1008</v>
      </c>
      <c r="G106" s="1145" t="s">
        <v>1009</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309"/>
      <c r="F1" s="1230"/>
      <c r="G1" s="1310" t="s">
        <v>934</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935</v>
      </c>
      <c r="B2" s="1233" t="e">
        <f ca="1">IF(C2="——",IF(B37="元/平方米",ROUND(C39*D3/10000,0),ROUND(F3*C39/10000,0)),IF(B37="元/平方米",ROUND(C39*D3/10000,0),ROUND(F3*C39/10000,0))-D2)</f>
        <v>#DIV/0!</v>
      </c>
      <c r="C2" s="1234"/>
      <c r="D2" s="893" t="e">
        <f ca="1">SUMIF(INDIRECT("'"&amp;F2&amp;"'"&amp;"!A:A"),"承租人权益价值",INDIRECT("'"&amp;F2&amp;"'"&amp;"!c:c"))</f>
        <v>#REF!</v>
      </c>
      <c r="E2" s="1235" t="s">
        <v>1022</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936</v>
      </c>
      <c r="B3" s="896" t="e">
        <f ca="1">IF(AND(C2="——",B37="元/平方米"),C39,ROUND(B2*10000/D3,0))</f>
        <v>#DIV/0!</v>
      </c>
      <c r="C3" s="1237" t="s">
        <v>937</v>
      </c>
      <c r="D3" s="1238">
        <f>SUMIF('数据-汇总表'!$C19:$C33,D1,'数据-汇总表'!$E19:$E33)</f>
        <v>0</v>
      </c>
      <c r="E3" s="1237" t="s">
        <v>1515</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2" t="s">
        <v>941</v>
      </c>
      <c r="AC4" s="3161" t="s">
        <v>942</v>
      </c>
    </row>
    <row r="5" spans="1:29" ht="15">
      <c r="A5" s="900"/>
      <c r="B5" s="901"/>
      <c r="C5" s="3201" t="s">
        <v>945</v>
      </c>
      <c r="D5" s="3202"/>
      <c r="E5" s="3203" t="s">
        <v>1452</v>
      </c>
      <c r="F5" s="3204"/>
      <c r="G5" s="3201" t="s">
        <v>1453</v>
      </c>
      <c r="H5" s="3202"/>
      <c r="I5" s="3201" t="s">
        <v>1454</v>
      </c>
      <c r="J5" s="3202"/>
      <c r="K5" s="1032"/>
      <c r="L5" s="1033"/>
      <c r="M5" s="1034"/>
      <c r="N5" s="1034"/>
      <c r="O5" s="1034"/>
      <c r="P5" s="3166"/>
      <c r="Q5" s="3167"/>
      <c r="R5" s="3172"/>
      <c r="S5" s="3173"/>
      <c r="T5" s="3172"/>
      <c r="U5" s="3173"/>
      <c r="V5" s="3176"/>
      <c r="W5" s="3176"/>
      <c r="X5" s="1074"/>
      <c r="Y5" s="3172"/>
      <c r="Z5" s="3173"/>
      <c r="AA5" s="3162"/>
      <c r="AB5" s="3162"/>
      <c r="AC5" s="3162"/>
    </row>
    <row r="6" spans="1:29" ht="15">
      <c r="A6" s="902"/>
      <c r="B6" s="903"/>
      <c r="C6" s="3243" t="s">
        <v>1455</v>
      </c>
      <c r="D6" s="3244"/>
      <c r="E6" s="3245" t="s">
        <v>1455</v>
      </c>
      <c r="F6" s="3246"/>
      <c r="G6" s="3243" t="s">
        <v>1455</v>
      </c>
      <c r="H6" s="3244"/>
      <c r="I6" s="3243" t="s">
        <v>1455</v>
      </c>
      <c r="J6" s="3244"/>
      <c r="K6" s="1032" t="s">
        <v>948</v>
      </c>
      <c r="L6" s="1033"/>
      <c r="M6" s="1034"/>
      <c r="N6" s="1034"/>
      <c r="O6" s="1034"/>
      <c r="P6" s="3168"/>
      <c r="Q6" s="3169"/>
      <c r="R6" s="3172"/>
      <c r="S6" s="3173"/>
      <c r="T6" s="3174"/>
      <c r="U6" s="3175"/>
      <c r="V6" s="3176"/>
      <c r="W6" s="3176"/>
      <c r="X6" s="1074"/>
      <c r="Y6" s="3174"/>
      <c r="Z6" s="3175"/>
      <c r="AA6" s="3163"/>
      <c r="AB6" s="3163"/>
      <c r="AC6" s="3163"/>
    </row>
    <row r="7" spans="1:29" s="878" customFormat="1" ht="15">
      <c r="A7" s="904" t="s">
        <v>949</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90" t="s">
        <v>950</v>
      </c>
      <c r="Q7" s="3197"/>
      <c r="R7" s="1075" t="s">
        <v>951</v>
      </c>
      <c r="S7" s="1076">
        <f t="shared" ref="S7:S14" si="0">F7</f>
        <v>0</v>
      </c>
      <c r="T7" s="1075" t="s">
        <v>951</v>
      </c>
      <c r="U7" s="1076">
        <f t="shared" ref="U7:U14" si="1">H7</f>
        <v>0</v>
      </c>
      <c r="V7" s="1075" t="s">
        <v>951</v>
      </c>
      <c r="W7" s="1076">
        <f t="shared" ref="W7:W14" si="2">J7</f>
        <v>0</v>
      </c>
      <c r="X7" s="1077"/>
      <c r="Y7" s="3190" t="s">
        <v>950</v>
      </c>
      <c r="Z7" s="3191"/>
      <c r="AA7" s="1090" t="e">
        <f>D7/F7</f>
        <v>#DIV/0!</v>
      </c>
      <c r="AB7" s="1090" t="e">
        <f>D7/H7</f>
        <v>#DIV/0!</v>
      </c>
      <c r="AC7" s="1090" t="e">
        <f>D7/J7</f>
        <v>#DIV/0!</v>
      </c>
    </row>
    <row r="8" spans="1:29" s="878" customFormat="1" ht="15">
      <c r="A8" s="904" t="s">
        <v>952</v>
      </c>
      <c r="B8" s="905"/>
      <c r="C8" s="911" t="s">
        <v>953</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36" si="3">D8/F8</f>
        <v>#DIV/0!</v>
      </c>
      <c r="AB8" s="1090" t="e">
        <f t="shared" ref="AB8:AB36" si="4">D8/H8</f>
        <v>#DIV/0!</v>
      </c>
      <c r="AC8" s="1090" t="e">
        <f t="shared" ref="AC8:AC36" si="5">D8/J8</f>
        <v>#DIV/0!</v>
      </c>
    </row>
    <row r="9" spans="1:29" s="878" customFormat="1">
      <c r="A9" s="1311" t="s">
        <v>955</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78" t="s">
        <v>956</v>
      </c>
      <c r="Q9" s="1079" t="str">
        <f t="shared" ref="Q9:Q14" si="6">B9</f>
        <v>用途</v>
      </c>
      <c r="R9" s="1075" t="s">
        <v>951</v>
      </c>
      <c r="S9" s="1076">
        <f t="shared" si="0"/>
        <v>100</v>
      </c>
      <c r="T9" s="1075" t="s">
        <v>951</v>
      </c>
      <c r="U9" s="1076">
        <f t="shared" si="1"/>
        <v>100</v>
      </c>
      <c r="V9" s="1075" t="s">
        <v>951</v>
      </c>
      <c r="W9" s="1076">
        <f t="shared" si="2"/>
        <v>100</v>
      </c>
      <c r="X9" s="1077"/>
      <c r="Y9" s="3020" t="s">
        <v>957</v>
      </c>
      <c r="Z9" s="1091" t="str">
        <f t="shared" ref="Z9:Z14" si="7">Q9</f>
        <v>用途</v>
      </c>
      <c r="AA9" s="1090">
        <f t="shared" si="3"/>
        <v>1</v>
      </c>
      <c r="AB9" s="1090">
        <f t="shared" si="4"/>
        <v>1</v>
      </c>
      <c r="AC9" s="1090">
        <f t="shared" si="5"/>
        <v>1</v>
      </c>
    </row>
    <row r="10" spans="1:29" s="879" customFormat="1" ht="27">
      <c r="A10" s="1314"/>
      <c r="B10" s="1315" t="s">
        <v>958</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78"/>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78"/>
      <c r="Q11" s="1079">
        <f t="shared" si="6"/>
        <v>111</v>
      </c>
      <c r="R11" s="1075" t="s">
        <v>951</v>
      </c>
      <c r="S11" s="1076">
        <f t="shared" si="0"/>
        <v>100</v>
      </c>
      <c r="T11" s="1075" t="s">
        <v>951</v>
      </c>
      <c r="U11" s="1076">
        <f t="shared" si="1"/>
        <v>100</v>
      </c>
      <c r="V11" s="1075" t="s">
        <v>951</v>
      </c>
      <c r="W11" s="1076">
        <f t="shared" si="2"/>
        <v>100</v>
      </c>
      <c r="X11" s="1077"/>
      <c r="Y11" s="3020"/>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78"/>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78"/>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85.5">
      <c r="A14" s="898" t="s">
        <v>960</v>
      </c>
      <c r="B14" s="1321" t="s">
        <v>673</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79" t="s">
        <v>961</v>
      </c>
      <c r="Q14" s="661" t="str">
        <f t="shared" si="6"/>
        <v>交通便捷度</v>
      </c>
      <c r="R14" s="1080" t="s">
        <v>951</v>
      </c>
      <c r="S14" s="1081">
        <f t="shared" si="0"/>
        <v>100</v>
      </c>
      <c r="T14" s="1080" t="s">
        <v>951</v>
      </c>
      <c r="U14" s="1081">
        <f t="shared" si="1"/>
        <v>100</v>
      </c>
      <c r="V14" s="1080" t="s">
        <v>951</v>
      </c>
      <c r="W14" s="1081">
        <f t="shared" si="2"/>
        <v>100</v>
      </c>
      <c r="X14" s="1074"/>
      <c r="Y14" s="3179" t="s">
        <v>961</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80"/>
      <c r="Q15" s="661"/>
      <c r="R15" s="1080"/>
      <c r="S15" s="1081"/>
      <c r="T15" s="1080"/>
      <c r="U15" s="1081"/>
      <c r="V15" s="1080"/>
      <c r="W15" s="1081"/>
      <c r="X15" s="1074"/>
      <c r="Y15" s="3180"/>
      <c r="Z15" s="1073"/>
      <c r="AA15" s="1092">
        <v>1</v>
      </c>
      <c r="AB15" s="1092">
        <v>1</v>
      </c>
      <c r="AC15" s="1092">
        <v>1</v>
      </c>
    </row>
    <row r="16" spans="1:29" ht="42.75">
      <c r="A16" s="900"/>
      <c r="B16" s="1323" t="s">
        <v>677</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80"/>
      <c r="Q16" s="661" t="str">
        <f>B16</f>
        <v>公共配套设施</v>
      </c>
      <c r="R16" s="1080" t="s">
        <v>951</v>
      </c>
      <c r="S16" s="1081">
        <f>F16</f>
        <v>100</v>
      </c>
      <c r="T16" s="1080" t="s">
        <v>951</v>
      </c>
      <c r="U16" s="1081">
        <f>H16</f>
        <v>100</v>
      </c>
      <c r="V16" s="1080" t="s">
        <v>951</v>
      </c>
      <c r="W16" s="1081">
        <f>J16</f>
        <v>100</v>
      </c>
      <c r="X16" s="1074"/>
      <c r="Y16" s="3180"/>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80"/>
      <c r="Q17" s="661"/>
      <c r="R17" s="1080"/>
      <c r="S17" s="1081"/>
      <c r="T17" s="1080"/>
      <c r="U17" s="1081"/>
      <c r="V17" s="1080"/>
      <c r="W17" s="1081"/>
      <c r="X17" s="1074"/>
      <c r="Y17" s="3180"/>
      <c r="Z17" s="1073"/>
      <c r="AA17" s="1092">
        <v>1</v>
      </c>
      <c r="AB17" s="1092">
        <v>1</v>
      </c>
      <c r="AC17" s="1092">
        <v>1</v>
      </c>
    </row>
    <row r="18" spans="1:29" ht="28.5">
      <c r="A18" s="900"/>
      <c r="B18" s="1325" t="s">
        <v>679</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80"/>
      <c r="Q18" s="661" t="str">
        <f>B18</f>
        <v>基础设施水平</v>
      </c>
      <c r="R18" s="1080" t="s">
        <v>951</v>
      </c>
      <c r="S18" s="1081">
        <f>F18</f>
        <v>100</v>
      </c>
      <c r="T18" s="1080" t="s">
        <v>951</v>
      </c>
      <c r="U18" s="1081">
        <f>H18</f>
        <v>100</v>
      </c>
      <c r="V18" s="1080" t="s">
        <v>951</v>
      </c>
      <c r="W18" s="1081">
        <f>J18</f>
        <v>100</v>
      </c>
      <c r="X18" s="1074"/>
      <c r="Y18" s="3180"/>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80"/>
      <c r="Q19" s="661"/>
      <c r="R19" s="1080"/>
      <c r="S19" s="1081"/>
      <c r="T19" s="1080"/>
      <c r="U19" s="1081"/>
      <c r="V19" s="1080"/>
      <c r="W19" s="1081"/>
      <c r="X19" s="1074"/>
      <c r="Y19" s="3180"/>
      <c r="Z19" s="1073"/>
      <c r="AA19" s="1092">
        <v>1</v>
      </c>
      <c r="AB19" s="1092">
        <v>1</v>
      </c>
      <c r="AC19" s="1092">
        <v>1</v>
      </c>
    </row>
    <row r="20" spans="1:29" ht="57">
      <c r="A20" s="900"/>
      <c r="B20" s="1323" t="s">
        <v>683</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80"/>
      <c r="Q20" s="661" t="str">
        <f>B20</f>
        <v>自然及人文环境</v>
      </c>
      <c r="R20" s="1080" t="s">
        <v>951</v>
      </c>
      <c r="S20" s="1081">
        <f>F20</f>
        <v>100</v>
      </c>
      <c r="T20" s="1080" t="s">
        <v>951</v>
      </c>
      <c r="U20" s="1081">
        <f>H20</f>
        <v>100</v>
      </c>
      <c r="V20" s="1080" t="s">
        <v>951</v>
      </c>
      <c r="W20" s="1081">
        <f>J20</f>
        <v>100</v>
      </c>
      <c r="X20" s="1074"/>
      <c r="Y20" s="3180"/>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80"/>
      <c r="Q21" s="661"/>
      <c r="R21" s="1080"/>
      <c r="S21" s="1081"/>
      <c r="T21" s="1080"/>
      <c r="U21" s="1081"/>
      <c r="V21" s="1080"/>
      <c r="W21" s="1081"/>
      <c r="X21" s="1074"/>
      <c r="Y21" s="3180"/>
      <c r="Z21" s="1073"/>
      <c r="AA21" s="1092">
        <v>1</v>
      </c>
      <c r="AB21" s="1092">
        <v>1</v>
      </c>
      <c r="AC21" s="1092">
        <v>1</v>
      </c>
    </row>
    <row r="22" spans="1:29" ht="15">
      <c r="A22" s="900"/>
      <c r="B22" s="1323" t="s">
        <v>1500</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80"/>
      <c r="Q22" s="661" t="str">
        <f>B22</f>
        <v>楼层</v>
      </c>
      <c r="R22" s="1080" t="s">
        <v>951</v>
      </c>
      <c r="S22" s="1081">
        <f>F22</f>
        <v>100</v>
      </c>
      <c r="T22" s="1080" t="s">
        <v>951</v>
      </c>
      <c r="U22" s="1081">
        <f>H22</f>
        <v>100</v>
      </c>
      <c r="V22" s="1080" t="s">
        <v>951</v>
      </c>
      <c r="W22" s="1081">
        <f>J22</f>
        <v>100</v>
      </c>
      <c r="X22" s="1074"/>
      <c r="Y22" s="3180"/>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80"/>
      <c r="Q23" s="661">
        <f>B23</f>
        <v>111</v>
      </c>
      <c r="R23" s="1080" t="s">
        <v>951</v>
      </c>
      <c r="S23" s="1081">
        <f>F23</f>
        <v>100</v>
      </c>
      <c r="T23" s="1080" t="s">
        <v>951</v>
      </c>
      <c r="U23" s="1081">
        <f>H23</f>
        <v>100</v>
      </c>
      <c r="V23" s="1080" t="s">
        <v>951</v>
      </c>
      <c r="W23" s="1081">
        <f>J23</f>
        <v>100</v>
      </c>
      <c r="X23" s="1074"/>
      <c r="Y23" s="3180"/>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80"/>
      <c r="Q24" s="661">
        <f t="shared" ref="Q24:Q36" si="11">B24</f>
        <v>111</v>
      </c>
      <c r="R24" s="1080" t="s">
        <v>951</v>
      </c>
      <c r="S24" s="1081">
        <f>F24</f>
        <v>100</v>
      </c>
      <c r="T24" s="1080" t="s">
        <v>951</v>
      </c>
      <c r="U24" s="1081">
        <f>H24</f>
        <v>100</v>
      </c>
      <c r="V24" s="1080" t="s">
        <v>951</v>
      </c>
      <c r="W24" s="1081">
        <f>J24</f>
        <v>100</v>
      </c>
      <c r="X24" s="1074"/>
      <c r="Y24" s="3180"/>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80"/>
      <c r="Q25" s="1079">
        <f t="shared" si="11"/>
        <v>111</v>
      </c>
      <c r="R25" s="1075" t="s">
        <v>951</v>
      </c>
      <c r="S25" s="1076">
        <f>F25</f>
        <v>100</v>
      </c>
      <c r="T25" s="1075" t="s">
        <v>951</v>
      </c>
      <c r="U25" s="1076">
        <f>H25</f>
        <v>100</v>
      </c>
      <c r="V25" s="1075" t="s">
        <v>951</v>
      </c>
      <c r="W25" s="1076">
        <f>J25</f>
        <v>100</v>
      </c>
      <c r="X25" s="1077"/>
      <c r="Y25" s="3180"/>
      <c r="Z25" s="1091">
        <f>Q25</f>
        <v>111</v>
      </c>
      <c r="AA25" s="1092">
        <f t="shared" si="3"/>
        <v>1</v>
      </c>
      <c r="AB25" s="1092">
        <f t="shared" si="4"/>
        <v>1</v>
      </c>
      <c r="AC25" s="1092">
        <f t="shared" si="5"/>
        <v>1</v>
      </c>
    </row>
    <row r="26" spans="1:29" ht="28.5">
      <c r="A26" s="1331" t="s">
        <v>963</v>
      </c>
      <c r="B26" s="1332" t="s">
        <v>1516</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1" t="s">
        <v>962</v>
      </c>
      <c r="Q26" s="661" t="str">
        <f t="shared" si="11"/>
        <v>配套类型</v>
      </c>
      <c r="R26" s="1080" t="s">
        <v>951</v>
      </c>
      <c r="S26" s="1081">
        <f t="shared" ref="S26:S36" si="12">F26</f>
        <v>100</v>
      </c>
      <c r="T26" s="1080" t="s">
        <v>951</v>
      </c>
      <c r="U26" s="1081">
        <f t="shared" ref="U26:U36" si="13">H26</f>
        <v>100</v>
      </c>
      <c r="V26" s="1080" t="s">
        <v>951</v>
      </c>
      <c r="W26" s="1081">
        <f t="shared" ref="W26:W36" si="14">J26</f>
        <v>100</v>
      </c>
      <c r="X26" s="1074"/>
      <c r="Y26" s="3182" t="s">
        <v>962</v>
      </c>
      <c r="Z26" s="1073" t="str">
        <f t="shared" ref="Z26:Z36" si="15">Q26</f>
        <v>配套类型</v>
      </c>
      <c r="AA26" s="1092">
        <f t="shared" si="3"/>
        <v>1</v>
      </c>
      <c r="AB26" s="1092">
        <f t="shared" si="4"/>
        <v>1</v>
      </c>
      <c r="AC26" s="1092">
        <f t="shared" si="5"/>
        <v>1</v>
      </c>
    </row>
    <row r="27" spans="1:29" s="880" customFormat="1" ht="15">
      <c r="A27" s="1334"/>
      <c r="B27" s="1335" t="s">
        <v>1517</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2"/>
      <c r="Q27" s="1294" t="str">
        <f t="shared" si="11"/>
        <v>项目停车位配比</v>
      </c>
      <c r="R27" s="1082" t="s">
        <v>951</v>
      </c>
      <c r="S27" s="1083">
        <f t="shared" si="12"/>
        <v>100</v>
      </c>
      <c r="T27" s="1082" t="s">
        <v>951</v>
      </c>
      <c r="U27" s="1083">
        <f t="shared" si="13"/>
        <v>100</v>
      </c>
      <c r="V27" s="1082" t="s">
        <v>951</v>
      </c>
      <c r="W27" s="1083">
        <f t="shared" si="14"/>
        <v>100</v>
      </c>
      <c r="X27" s="1084"/>
      <c r="Y27" s="3182"/>
      <c r="Z27" s="1093" t="str">
        <f t="shared" si="15"/>
        <v>项目停车位配比</v>
      </c>
      <c r="AA27" s="1092">
        <f t="shared" si="3"/>
        <v>1</v>
      </c>
      <c r="AB27" s="1092">
        <f t="shared" si="4"/>
        <v>1</v>
      </c>
      <c r="AC27" s="1092">
        <f t="shared" si="5"/>
        <v>1</v>
      </c>
    </row>
    <row r="28" spans="1:29" ht="15">
      <c r="A28" s="1337"/>
      <c r="B28" s="1335" t="s">
        <v>1462</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2"/>
      <c r="Q28" s="661" t="str">
        <f t="shared" si="11"/>
        <v>公共部分装修</v>
      </c>
      <c r="R28" s="1080" t="s">
        <v>951</v>
      </c>
      <c r="S28" s="1081">
        <f t="shared" si="12"/>
        <v>100</v>
      </c>
      <c r="T28" s="1080" t="s">
        <v>951</v>
      </c>
      <c r="U28" s="1081">
        <f t="shared" si="13"/>
        <v>100</v>
      </c>
      <c r="V28" s="1080" t="s">
        <v>951</v>
      </c>
      <c r="W28" s="1081">
        <f t="shared" si="14"/>
        <v>100</v>
      </c>
      <c r="X28" s="1074"/>
      <c r="Y28" s="3182"/>
      <c r="Z28" s="1073" t="str">
        <f t="shared" si="15"/>
        <v>公共部分装修</v>
      </c>
      <c r="AA28" s="1092">
        <f t="shared" si="3"/>
        <v>1</v>
      </c>
      <c r="AB28" s="1092">
        <f t="shared" si="4"/>
        <v>1</v>
      </c>
      <c r="AC28" s="1092">
        <f t="shared" si="5"/>
        <v>1</v>
      </c>
    </row>
    <row r="29" spans="1:29" ht="15">
      <c r="A29" s="1337"/>
      <c r="B29" s="1335" t="s">
        <v>1518</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2"/>
      <c r="Q29" s="661" t="str">
        <f t="shared" si="11"/>
        <v>成新率</v>
      </c>
      <c r="R29" s="1080" t="s">
        <v>951</v>
      </c>
      <c r="S29" s="1081" t="e">
        <f t="shared" si="12"/>
        <v>#N/A</v>
      </c>
      <c r="T29" s="1080" t="s">
        <v>951</v>
      </c>
      <c r="U29" s="1081" t="e">
        <f t="shared" si="13"/>
        <v>#N/A</v>
      </c>
      <c r="V29" s="1080" t="s">
        <v>951</v>
      </c>
      <c r="W29" s="1081" t="e">
        <f t="shared" si="14"/>
        <v>#N/A</v>
      </c>
      <c r="X29" s="1074"/>
      <c r="Y29" s="3182"/>
      <c r="Z29" s="1073" t="str">
        <f t="shared" si="15"/>
        <v>成新率</v>
      </c>
      <c r="AA29" s="1092" t="e">
        <f t="shared" si="3"/>
        <v>#N/A</v>
      </c>
      <c r="AB29" s="1092" t="e">
        <f t="shared" si="4"/>
        <v>#N/A</v>
      </c>
      <c r="AC29" s="1092" t="e">
        <f t="shared" si="5"/>
        <v>#N/A</v>
      </c>
    </row>
    <row r="30" spans="1:29" ht="15">
      <c r="A30" s="1337"/>
      <c r="B30" s="1335" t="s">
        <v>1519</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2"/>
      <c r="Q30" s="661" t="str">
        <f t="shared" si="11"/>
        <v>物业等级</v>
      </c>
      <c r="R30" s="1080" t="s">
        <v>951</v>
      </c>
      <c r="S30" s="1081">
        <f t="shared" si="12"/>
        <v>100</v>
      </c>
      <c r="T30" s="1080" t="s">
        <v>951</v>
      </c>
      <c r="U30" s="1081">
        <f t="shared" si="13"/>
        <v>100</v>
      </c>
      <c r="V30" s="1080" t="s">
        <v>951</v>
      </c>
      <c r="W30" s="1081">
        <f t="shared" si="14"/>
        <v>100</v>
      </c>
      <c r="X30" s="1074"/>
      <c r="Y30" s="3182"/>
      <c r="Z30" s="1073" t="str">
        <f t="shared" si="15"/>
        <v>物业等级</v>
      </c>
      <c r="AA30" s="1092">
        <f t="shared" si="3"/>
        <v>1</v>
      </c>
      <c r="AB30" s="1092">
        <f t="shared" si="4"/>
        <v>1</v>
      </c>
      <c r="AC30" s="1092">
        <f t="shared" si="5"/>
        <v>1</v>
      </c>
    </row>
    <row r="31" spans="1:29" s="878" customFormat="1" ht="15">
      <c r="A31" s="1338"/>
      <c r="B31" s="1335" t="s">
        <v>1520</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2"/>
      <c r="Q31" s="1079" t="str">
        <f t="shared" si="11"/>
        <v>停车位面积</v>
      </c>
      <c r="R31" s="1075" t="s">
        <v>951</v>
      </c>
      <c r="S31" s="1076" t="e">
        <f t="shared" si="12"/>
        <v>#N/A</v>
      </c>
      <c r="T31" s="1075" t="s">
        <v>951</v>
      </c>
      <c r="U31" s="1076" t="e">
        <f t="shared" si="13"/>
        <v>#N/A</v>
      </c>
      <c r="V31" s="1075" t="s">
        <v>951</v>
      </c>
      <c r="W31" s="1076" t="e">
        <f t="shared" si="14"/>
        <v>#N/A</v>
      </c>
      <c r="X31" s="1077"/>
      <c r="Y31" s="3182"/>
      <c r="Z31" s="1091" t="str">
        <f t="shared" si="15"/>
        <v>停车位面积</v>
      </c>
      <c r="AA31" s="1090" t="e">
        <f t="shared" si="3"/>
        <v>#N/A</v>
      </c>
      <c r="AB31" s="1090" t="e">
        <f t="shared" si="4"/>
        <v>#N/A</v>
      </c>
      <c r="AC31" s="1090" t="e">
        <f t="shared" si="5"/>
        <v>#N/A</v>
      </c>
    </row>
    <row r="32" spans="1:29" ht="15">
      <c r="A32" s="1337"/>
      <c r="B32" s="1335" t="s">
        <v>1521</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2" t="s">
        <v>962</v>
      </c>
      <c r="Q32" s="661" t="str">
        <f t="shared" si="11"/>
        <v>车位类型</v>
      </c>
      <c r="R32" s="1080" t="s">
        <v>951</v>
      </c>
      <c r="S32" s="1081">
        <f t="shared" si="12"/>
        <v>100</v>
      </c>
      <c r="T32" s="1080" t="s">
        <v>951</v>
      </c>
      <c r="U32" s="1081">
        <f t="shared" si="13"/>
        <v>100</v>
      </c>
      <c r="V32" s="1080" t="s">
        <v>951</v>
      </c>
      <c r="W32" s="1081">
        <f t="shared" si="14"/>
        <v>100</v>
      </c>
      <c r="X32" s="1074"/>
      <c r="Y32" s="3182" t="s">
        <v>962</v>
      </c>
      <c r="Z32" s="1073" t="str">
        <f t="shared" si="15"/>
        <v>车位类型</v>
      </c>
      <c r="AA32" s="1092">
        <f t="shared" si="3"/>
        <v>1</v>
      </c>
      <c r="AB32" s="1092">
        <f t="shared" si="4"/>
        <v>1</v>
      </c>
      <c r="AC32" s="1092">
        <f t="shared" si="5"/>
        <v>1</v>
      </c>
    </row>
    <row r="33" spans="1:29" ht="15">
      <c r="A33" s="1337"/>
      <c r="B33" s="1335" t="s">
        <v>1522</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2"/>
      <c r="Q33" s="661" t="str">
        <f t="shared" si="11"/>
        <v>是否直接入户</v>
      </c>
      <c r="R33" s="1080" t="s">
        <v>951</v>
      </c>
      <c r="S33" s="1081">
        <f t="shared" si="12"/>
        <v>100</v>
      </c>
      <c r="T33" s="1080" t="s">
        <v>951</v>
      </c>
      <c r="U33" s="1081">
        <f t="shared" si="13"/>
        <v>100</v>
      </c>
      <c r="V33" s="1080" t="s">
        <v>951</v>
      </c>
      <c r="W33" s="1081">
        <f t="shared" si="14"/>
        <v>100</v>
      </c>
      <c r="X33" s="1074"/>
      <c r="Y33" s="3182"/>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2"/>
      <c r="Q34" s="661">
        <f t="shared" si="11"/>
        <v>111</v>
      </c>
      <c r="R34" s="1080" t="s">
        <v>951</v>
      </c>
      <c r="S34" s="1081">
        <f t="shared" si="12"/>
        <v>100</v>
      </c>
      <c r="T34" s="1080" t="s">
        <v>951</v>
      </c>
      <c r="U34" s="1081">
        <f t="shared" si="13"/>
        <v>100</v>
      </c>
      <c r="V34" s="1080" t="s">
        <v>951</v>
      </c>
      <c r="W34" s="1081">
        <f t="shared" si="14"/>
        <v>100</v>
      </c>
      <c r="X34" s="1074"/>
      <c r="Y34" s="3182"/>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2"/>
      <c r="Q35" s="1294">
        <f t="shared" si="11"/>
        <v>111</v>
      </c>
      <c r="R35" s="1082" t="s">
        <v>951</v>
      </c>
      <c r="S35" s="1083">
        <f t="shared" si="12"/>
        <v>100</v>
      </c>
      <c r="T35" s="1082" t="s">
        <v>951</v>
      </c>
      <c r="U35" s="1083">
        <f t="shared" si="13"/>
        <v>100</v>
      </c>
      <c r="V35" s="1082" t="s">
        <v>951</v>
      </c>
      <c r="W35" s="1083">
        <f t="shared" si="14"/>
        <v>100</v>
      </c>
      <c r="X35" s="1084"/>
      <c r="Y35" s="3182"/>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2"/>
      <c r="Q36" s="661">
        <f t="shared" si="11"/>
        <v>111</v>
      </c>
      <c r="R36" s="1080" t="s">
        <v>951</v>
      </c>
      <c r="S36" s="1081">
        <f t="shared" si="12"/>
        <v>100</v>
      </c>
      <c r="T36" s="1080" t="s">
        <v>951</v>
      </c>
      <c r="U36" s="1081">
        <f t="shared" si="13"/>
        <v>100</v>
      </c>
      <c r="V36" s="1080" t="s">
        <v>951</v>
      </c>
      <c r="W36" s="1081">
        <f t="shared" si="14"/>
        <v>100</v>
      </c>
      <c r="X36" s="1074"/>
      <c r="Y36" s="3182"/>
      <c r="Z36" s="1073">
        <f t="shared" si="15"/>
        <v>111</v>
      </c>
      <c r="AA36" s="1092">
        <f t="shared" si="3"/>
        <v>1</v>
      </c>
      <c r="AB36" s="1092">
        <f t="shared" si="4"/>
        <v>1</v>
      </c>
      <c r="AC36" s="1092">
        <f t="shared" si="5"/>
        <v>1</v>
      </c>
    </row>
    <row r="37" spans="1:29" ht="15">
      <c r="A37" s="982" t="s">
        <v>969</v>
      </c>
      <c r="B37" s="1340" t="s">
        <v>1523</v>
      </c>
      <c r="C37" s="1266" t="s">
        <v>124</v>
      </c>
      <c r="D37" s="1267"/>
      <c r="E37" s="1268"/>
      <c r="F37" s="1269"/>
      <c r="G37" s="1270"/>
      <c r="H37" s="1271"/>
      <c r="I37" s="1268"/>
      <c r="J37" s="1271"/>
      <c r="K37" s="1349"/>
      <c r="L37" s="1058"/>
      <c r="M37" s="999"/>
      <c r="N37" s="1034"/>
      <c r="O37" s="999"/>
      <c r="P37" s="3178" t="str">
        <f>A37</f>
        <v>成交单价</v>
      </c>
      <c r="Q37" s="3178"/>
      <c r="R37" s="3235">
        <f>E37</f>
        <v>0</v>
      </c>
      <c r="S37" s="3235"/>
      <c r="T37" s="3235">
        <f>G37</f>
        <v>0</v>
      </c>
      <c r="U37" s="3235"/>
      <c r="V37" s="3235">
        <f>I37</f>
        <v>0</v>
      </c>
      <c r="W37" s="3235"/>
      <c r="X37" s="1085"/>
      <c r="Y37" s="1094"/>
      <c r="Z37" s="1085"/>
      <c r="AA37" s="1085"/>
      <c r="AB37" s="1085"/>
      <c r="AC37" s="1085"/>
    </row>
    <row r="38" spans="1:29" ht="15">
      <c r="A38" s="990" t="s">
        <v>971</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78" t="str">
        <f>A38</f>
        <v>比较价值（元/平方米）</v>
      </c>
      <c r="Q38" s="3178"/>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1085"/>
      <c r="Y38" s="1085"/>
      <c r="Z38" s="1085"/>
      <c r="AA38" s="1085"/>
      <c r="AB38" s="1085"/>
      <c r="AC38" s="1085"/>
    </row>
    <row r="39" spans="1:29" ht="15">
      <c r="A39" s="996" t="s">
        <v>1524</v>
      </c>
      <c r="B39" s="997"/>
      <c r="C39" s="1276" t="e">
        <f>R39</f>
        <v>#DIV/0!</v>
      </c>
      <c r="D39" s="1276"/>
      <c r="E39" s="1276"/>
      <c r="F39" s="1276"/>
      <c r="G39" s="1276"/>
      <c r="H39" s="1276"/>
      <c r="I39" s="1276"/>
      <c r="J39" s="1276"/>
      <c r="K39" s="1351"/>
      <c r="L39" s="1058"/>
      <c r="M39" s="999"/>
      <c r="N39" s="999"/>
      <c r="O39" s="999"/>
      <c r="P39" s="3187" t="str">
        <f>A39</f>
        <v>估价对象XX用房的比较价值（楼面单价，元/平方米）</v>
      </c>
      <c r="Q39" s="3188"/>
      <c r="R39" s="3236" t="e">
        <f>IF(F1="售价",ROUND(AVERAGE(R38:V38),0),ROUND(AVERAGE(R38:V38),1))</f>
        <v>#DIV/0!</v>
      </c>
      <c r="S39" s="3236"/>
      <c r="T39" s="3236"/>
      <c r="U39" s="3236"/>
      <c r="V39" s="3236"/>
      <c r="W39" s="3236"/>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973</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974</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975</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1001</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949</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1003</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952</v>
      </c>
      <c r="B51" s="1116"/>
      <c r="C51" s="1117" t="s">
        <v>953</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1004</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958</v>
      </c>
      <c r="C55" s="1127" t="s">
        <v>1470</v>
      </c>
      <c r="D55" s="1127" t="s">
        <v>1471</v>
      </c>
      <c r="E55" s="1127" t="s">
        <v>1472</v>
      </c>
      <c r="F55" s="1127" t="s">
        <v>1473</v>
      </c>
      <c r="G55" s="1127" t="s">
        <v>1474</v>
      </c>
      <c r="H55" s="1127" t="s">
        <v>1475</v>
      </c>
      <c r="I55" s="1127" t="s">
        <v>1476</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1000</v>
      </c>
      <c r="D56" s="1129" t="s">
        <v>1000</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960</v>
      </c>
      <c r="B63" s="1122" t="s">
        <v>673</v>
      </c>
      <c r="C63" s="1143" t="s">
        <v>1005</v>
      </c>
      <c r="D63" s="1143" t="s">
        <v>1006</v>
      </c>
      <c r="E63" s="1143" t="s">
        <v>1007</v>
      </c>
      <c r="F63" s="1143" t="s">
        <v>1008</v>
      </c>
      <c r="G63" s="1143" t="s">
        <v>1009</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677</v>
      </c>
      <c r="C65" s="1145" t="s">
        <v>1005</v>
      </c>
      <c r="D65" s="1145" t="s">
        <v>1006</v>
      </c>
      <c r="E65" s="1145" t="s">
        <v>1007</v>
      </c>
      <c r="F65" s="1145" t="s">
        <v>1008</v>
      </c>
      <c r="G65" s="1145" t="s">
        <v>1009</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679</v>
      </c>
      <c r="C67" s="1150" t="s">
        <v>1010</v>
      </c>
      <c r="D67" s="1150" t="s">
        <v>1011</v>
      </c>
      <c r="E67" s="1150" t="s">
        <v>1012</v>
      </c>
      <c r="F67" s="1150" t="s">
        <v>1013</v>
      </c>
      <c r="G67" s="1150" t="s">
        <v>1014</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683</v>
      </c>
      <c r="C69" s="1145" t="s">
        <v>1005</v>
      </c>
      <c r="D69" s="1145" t="s">
        <v>1006</v>
      </c>
      <c r="E69" s="1145" t="s">
        <v>1007</v>
      </c>
      <c r="F69" s="1145" t="s">
        <v>1008</v>
      </c>
      <c r="G69" s="1145" t="s">
        <v>1009</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1500</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963</v>
      </c>
      <c r="B79" s="1122" t="s">
        <v>1525</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1517</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1462</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1518</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1519</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1520</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1521</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1522</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IF(C2="——",ROUND(C37*D3/10000,0),ROUND(C37*D3/10000,0)-D2)</f>
        <v>#DIV/0!</v>
      </c>
      <c r="C2" s="1234"/>
      <c r="D2" s="893" t="e">
        <f ca="1">SUMIF(INDIRECT("'"&amp;F2&amp;"'"&amp;"!A:A"),"承租人权益价值",INDIRECT("'"&amp;F2&amp;"'"&amp;"!c:c"))</f>
        <v>#REF!</v>
      </c>
      <c r="E2" s="1235" t="s">
        <v>1022</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IF(C2="——",C37,ROUND(B2*10000/D3,0))</f>
        <v>#DIV/0!</v>
      </c>
      <c r="C3" s="1237" t="s">
        <v>937</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2" t="s">
        <v>941</v>
      </c>
      <c r="AC4" s="3161" t="s">
        <v>942</v>
      </c>
    </row>
    <row r="5" spans="1:29" ht="15">
      <c r="A5" s="900"/>
      <c r="B5" s="901"/>
      <c r="C5" s="3201" t="s">
        <v>945</v>
      </c>
      <c r="D5" s="3202"/>
      <c r="E5" s="3203" t="s">
        <v>1452</v>
      </c>
      <c r="F5" s="3204"/>
      <c r="G5" s="3201" t="s">
        <v>1453</v>
      </c>
      <c r="H5" s="3202"/>
      <c r="I5" s="3201" t="s">
        <v>1454</v>
      </c>
      <c r="J5" s="3202"/>
      <c r="K5" s="1032"/>
      <c r="L5" s="1033"/>
      <c r="M5" s="1034"/>
      <c r="N5" s="1034"/>
      <c r="O5" s="1034"/>
      <c r="P5" s="3166"/>
      <c r="Q5" s="3167"/>
      <c r="R5" s="3172"/>
      <c r="S5" s="3173"/>
      <c r="T5" s="3172"/>
      <c r="U5" s="3173"/>
      <c r="V5" s="3176"/>
      <c r="W5" s="3176"/>
      <c r="X5" s="1074"/>
      <c r="Y5" s="3172"/>
      <c r="Z5" s="3173"/>
      <c r="AA5" s="3162"/>
      <c r="AB5" s="3162"/>
      <c r="AC5" s="3162"/>
    </row>
    <row r="6" spans="1:29" ht="15">
      <c r="A6" s="902"/>
      <c r="B6" s="903"/>
      <c r="C6" s="3243" t="s">
        <v>1455</v>
      </c>
      <c r="D6" s="3244"/>
      <c r="E6" s="3245" t="s">
        <v>1455</v>
      </c>
      <c r="F6" s="3246"/>
      <c r="G6" s="3243" t="s">
        <v>1455</v>
      </c>
      <c r="H6" s="3244"/>
      <c r="I6" s="3243" t="s">
        <v>1455</v>
      </c>
      <c r="J6" s="3244"/>
      <c r="K6" s="1032" t="s">
        <v>948</v>
      </c>
      <c r="L6" s="1033"/>
      <c r="M6" s="1034"/>
      <c r="N6" s="1034"/>
      <c r="O6" s="1034"/>
      <c r="P6" s="3168"/>
      <c r="Q6" s="3169"/>
      <c r="R6" s="3172"/>
      <c r="S6" s="3173"/>
      <c r="T6" s="3174"/>
      <c r="U6" s="3175"/>
      <c r="V6" s="3176"/>
      <c r="W6" s="3176"/>
      <c r="X6" s="1074"/>
      <c r="Y6" s="3174"/>
      <c r="Z6" s="3175"/>
      <c r="AA6" s="3163"/>
      <c r="AB6" s="3163"/>
      <c r="AC6" s="3163"/>
    </row>
    <row r="7" spans="1:29" s="878" customFormat="1" ht="15">
      <c r="A7" s="904" t="s">
        <v>949</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90" t="s">
        <v>950</v>
      </c>
      <c r="Q7" s="3197"/>
      <c r="R7" s="1075" t="s">
        <v>951</v>
      </c>
      <c r="S7" s="1076">
        <f t="shared" ref="S7:S14" si="0">F7</f>
        <v>0</v>
      </c>
      <c r="T7" s="1075" t="s">
        <v>951</v>
      </c>
      <c r="U7" s="1076">
        <f t="shared" ref="U7:U14" si="1">H7</f>
        <v>0</v>
      </c>
      <c r="V7" s="1075" t="s">
        <v>951</v>
      </c>
      <c r="W7" s="1076">
        <f t="shared" ref="W7:W14" si="2">J7</f>
        <v>0</v>
      </c>
      <c r="X7" s="1077"/>
      <c r="Y7" s="3190" t="s">
        <v>950</v>
      </c>
      <c r="Z7" s="3191"/>
      <c r="AA7" s="1090" t="e">
        <f>D7/F7</f>
        <v>#DIV/0!</v>
      </c>
      <c r="AB7" s="1090" t="e">
        <f>D7/H7</f>
        <v>#DIV/0!</v>
      </c>
      <c r="AC7" s="1090" t="e">
        <f>D7/J7</f>
        <v>#DIV/0!</v>
      </c>
    </row>
    <row r="8" spans="1:29" s="878" customFormat="1" ht="15">
      <c r="A8" s="904" t="s">
        <v>952</v>
      </c>
      <c r="B8" s="905"/>
      <c r="C8" s="911" t="s">
        <v>953</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34" si="3">D8/F8</f>
        <v>#DIV/0!</v>
      </c>
      <c r="AB8" s="1090" t="e">
        <f t="shared" ref="AB8:AB34" si="4">D8/H8</f>
        <v>#DIV/0!</v>
      </c>
      <c r="AC8" s="1090" t="e">
        <f t="shared" ref="AC8:AC34" si="5">D8/J8</f>
        <v>#DIV/0!</v>
      </c>
    </row>
    <row r="9" spans="1:29" s="878" customFormat="1">
      <c r="A9" s="912" t="s">
        <v>955</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78" t="s">
        <v>956</v>
      </c>
      <c r="Q9" s="1079" t="str">
        <f t="shared" ref="Q9:Q14" si="6">B9</f>
        <v>用途</v>
      </c>
      <c r="R9" s="1075" t="s">
        <v>951</v>
      </c>
      <c r="S9" s="1076">
        <f t="shared" si="0"/>
        <v>100</v>
      </c>
      <c r="T9" s="1075" t="s">
        <v>951</v>
      </c>
      <c r="U9" s="1076">
        <f t="shared" si="1"/>
        <v>100</v>
      </c>
      <c r="V9" s="1075" t="s">
        <v>951</v>
      </c>
      <c r="W9" s="1076">
        <f t="shared" si="2"/>
        <v>100</v>
      </c>
      <c r="X9" s="1077"/>
      <c r="Y9" s="3020" t="s">
        <v>957</v>
      </c>
      <c r="Z9" s="1091" t="str">
        <f t="shared" ref="Z9:Z14" si="7">Q9</f>
        <v>用途</v>
      </c>
      <c r="AA9" s="1090">
        <f t="shared" si="3"/>
        <v>1</v>
      </c>
      <c r="AB9" s="1090">
        <f t="shared" si="4"/>
        <v>1</v>
      </c>
      <c r="AC9" s="1090">
        <f t="shared" si="5"/>
        <v>1</v>
      </c>
    </row>
    <row r="10" spans="1:29" s="879" customFormat="1" ht="27">
      <c r="A10" s="916"/>
      <c r="B10" s="917" t="s">
        <v>958</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78"/>
      <c r="Q10" s="1079" t="str">
        <f t="shared" si="6"/>
        <v>土地使用年限（年）</v>
      </c>
      <c r="R10" s="1075" t="s">
        <v>951</v>
      </c>
      <c r="S10" s="1076">
        <f t="shared" si="0"/>
        <v>100</v>
      </c>
      <c r="T10" s="1075" t="s">
        <v>951</v>
      </c>
      <c r="U10" s="1076">
        <f t="shared" si="1"/>
        <v>100</v>
      </c>
      <c r="V10" s="1075" t="s">
        <v>951</v>
      </c>
      <c r="W10" s="1076">
        <f t="shared" si="2"/>
        <v>100</v>
      </c>
      <c r="X10" s="1077"/>
      <c r="Y10" s="3020"/>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78"/>
      <c r="Q11" s="1079">
        <f t="shared" si="6"/>
        <v>111</v>
      </c>
      <c r="R11" s="1075" t="s">
        <v>951</v>
      </c>
      <c r="S11" s="1076">
        <f t="shared" si="0"/>
        <v>100</v>
      </c>
      <c r="T11" s="1075" t="s">
        <v>951</v>
      </c>
      <c r="U11" s="1076">
        <f t="shared" si="1"/>
        <v>100</v>
      </c>
      <c r="V11" s="1075" t="s">
        <v>951</v>
      </c>
      <c r="W11" s="1076">
        <f t="shared" si="2"/>
        <v>100</v>
      </c>
      <c r="X11" s="1077"/>
      <c r="Y11" s="3020"/>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78"/>
      <c r="Q12" s="1079">
        <f t="shared" si="6"/>
        <v>111</v>
      </c>
      <c r="R12" s="1075" t="s">
        <v>951</v>
      </c>
      <c r="S12" s="1076">
        <f t="shared" si="0"/>
        <v>100</v>
      </c>
      <c r="T12" s="1075" t="s">
        <v>951</v>
      </c>
      <c r="U12" s="1076">
        <f t="shared" si="1"/>
        <v>100</v>
      </c>
      <c r="V12" s="1075" t="s">
        <v>951</v>
      </c>
      <c r="W12" s="1076">
        <f t="shared" si="2"/>
        <v>100</v>
      </c>
      <c r="X12" s="1077"/>
      <c r="Y12" s="3020"/>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78"/>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29" ht="85.5">
      <c r="A14" s="936" t="s">
        <v>960</v>
      </c>
      <c r="B14" s="937" t="s">
        <v>673</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79" t="s">
        <v>961</v>
      </c>
      <c r="Q14" s="661" t="str">
        <f t="shared" si="6"/>
        <v>交通便捷度</v>
      </c>
      <c r="R14" s="1080" t="s">
        <v>951</v>
      </c>
      <c r="S14" s="1081">
        <f t="shared" si="0"/>
        <v>100</v>
      </c>
      <c r="T14" s="1080" t="s">
        <v>951</v>
      </c>
      <c r="U14" s="1081">
        <f t="shared" si="1"/>
        <v>100</v>
      </c>
      <c r="V14" s="1080" t="s">
        <v>951</v>
      </c>
      <c r="W14" s="1081">
        <f t="shared" si="2"/>
        <v>100</v>
      </c>
      <c r="X14" s="1074"/>
      <c r="Y14" s="3179" t="s">
        <v>961</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80"/>
      <c r="Q15" s="661"/>
      <c r="R15" s="1080"/>
      <c r="S15" s="1081"/>
      <c r="T15" s="1080"/>
      <c r="U15" s="1081"/>
      <c r="V15" s="1080"/>
      <c r="W15" s="1081"/>
      <c r="X15" s="1074"/>
      <c r="Y15" s="3180"/>
      <c r="Z15" s="1073"/>
      <c r="AA15" s="1092">
        <v>1</v>
      </c>
      <c r="AB15" s="1092">
        <v>1</v>
      </c>
      <c r="AC15" s="1092">
        <v>1</v>
      </c>
    </row>
    <row r="16" spans="1:29" ht="42.75">
      <c r="A16" s="922"/>
      <c r="B16" s="946" t="s">
        <v>677</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80"/>
      <c r="Q16" s="661" t="str">
        <f>B16</f>
        <v>公共配套设施</v>
      </c>
      <c r="R16" s="1080" t="s">
        <v>951</v>
      </c>
      <c r="S16" s="1081">
        <f>F16</f>
        <v>100</v>
      </c>
      <c r="T16" s="1080" t="s">
        <v>951</v>
      </c>
      <c r="U16" s="1081">
        <f>H16</f>
        <v>100</v>
      </c>
      <c r="V16" s="1080" t="s">
        <v>951</v>
      </c>
      <c r="W16" s="1081">
        <f>J16</f>
        <v>100</v>
      </c>
      <c r="X16" s="1074"/>
      <c r="Y16" s="3180"/>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80"/>
      <c r="Q17" s="661"/>
      <c r="R17" s="1080"/>
      <c r="S17" s="1081"/>
      <c r="T17" s="1080"/>
      <c r="U17" s="1081"/>
      <c r="V17" s="1080"/>
      <c r="W17" s="1081"/>
      <c r="X17" s="1074"/>
      <c r="Y17" s="3180"/>
      <c r="Z17" s="1073"/>
      <c r="AA17" s="1092">
        <v>1</v>
      </c>
      <c r="AB17" s="1092">
        <v>1</v>
      </c>
      <c r="AC17" s="1092">
        <v>1</v>
      </c>
    </row>
    <row r="18" spans="1:29" ht="28.5">
      <c r="A18" s="922"/>
      <c r="B18" s="954" t="s">
        <v>679</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80"/>
      <c r="Q18" s="661" t="str">
        <f>B18</f>
        <v>基础设施水平</v>
      </c>
      <c r="R18" s="1080" t="s">
        <v>951</v>
      </c>
      <c r="S18" s="1081">
        <f>F18</f>
        <v>100</v>
      </c>
      <c r="T18" s="1080" t="s">
        <v>951</v>
      </c>
      <c r="U18" s="1081">
        <f>H18</f>
        <v>100</v>
      </c>
      <c r="V18" s="1080" t="s">
        <v>951</v>
      </c>
      <c r="W18" s="1081">
        <f>J18</f>
        <v>100</v>
      </c>
      <c r="X18" s="1074"/>
      <c r="Y18" s="3180"/>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80"/>
      <c r="Q19" s="661"/>
      <c r="R19" s="1080"/>
      <c r="S19" s="1081"/>
      <c r="T19" s="1080"/>
      <c r="U19" s="1081"/>
      <c r="V19" s="1080"/>
      <c r="W19" s="1081"/>
      <c r="X19" s="1074"/>
      <c r="Y19" s="3180"/>
      <c r="Z19" s="1073"/>
      <c r="AA19" s="1092">
        <v>1</v>
      </c>
      <c r="AB19" s="1092">
        <v>1</v>
      </c>
      <c r="AC19" s="1092">
        <v>1</v>
      </c>
    </row>
    <row r="20" spans="1:29" ht="57">
      <c r="A20" s="922"/>
      <c r="B20" s="946" t="s">
        <v>683</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80"/>
      <c r="Q20" s="661" t="str">
        <f>B20</f>
        <v>自然及人文环境</v>
      </c>
      <c r="R20" s="1080" t="s">
        <v>951</v>
      </c>
      <c r="S20" s="1081">
        <f>F20</f>
        <v>100</v>
      </c>
      <c r="T20" s="1080" t="s">
        <v>951</v>
      </c>
      <c r="U20" s="1081">
        <f>H20</f>
        <v>100</v>
      </c>
      <c r="V20" s="1080" t="s">
        <v>951</v>
      </c>
      <c r="W20" s="1081">
        <f>J20</f>
        <v>100</v>
      </c>
      <c r="X20" s="1074"/>
      <c r="Y20" s="3180"/>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80"/>
      <c r="Q21" s="661"/>
      <c r="R21" s="1080"/>
      <c r="S21" s="1081"/>
      <c r="T21" s="1080"/>
      <c r="U21" s="1081"/>
      <c r="V21" s="1080"/>
      <c r="W21" s="1081"/>
      <c r="X21" s="1074"/>
      <c r="Y21" s="3180"/>
      <c r="Z21" s="1073"/>
      <c r="AA21" s="1092">
        <v>1</v>
      </c>
      <c r="AB21" s="1092">
        <v>1</v>
      </c>
      <c r="AC21" s="1092">
        <v>1</v>
      </c>
    </row>
    <row r="22" spans="1:29" ht="15">
      <c r="A22" s="922"/>
      <c r="B22" s="946" t="s">
        <v>1500</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80"/>
      <c r="Q22" s="661" t="str">
        <f>B22</f>
        <v>楼层</v>
      </c>
      <c r="R22" s="1080" t="s">
        <v>951</v>
      </c>
      <c r="S22" s="1081">
        <f>F22</f>
        <v>100</v>
      </c>
      <c r="T22" s="1080" t="s">
        <v>951</v>
      </c>
      <c r="U22" s="1081">
        <f>H22</f>
        <v>100</v>
      </c>
      <c r="V22" s="1080" t="s">
        <v>951</v>
      </c>
      <c r="W22" s="1081">
        <f>J22</f>
        <v>100</v>
      </c>
      <c r="X22" s="1074"/>
      <c r="Y22" s="3180"/>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80"/>
      <c r="Q23" s="661">
        <f>B23</f>
        <v>111</v>
      </c>
      <c r="R23" s="1080" t="s">
        <v>951</v>
      </c>
      <c r="S23" s="1081">
        <f>F23</f>
        <v>100</v>
      </c>
      <c r="T23" s="1080" t="s">
        <v>951</v>
      </c>
      <c r="U23" s="1081">
        <f>H23</f>
        <v>100</v>
      </c>
      <c r="V23" s="1080" t="s">
        <v>951</v>
      </c>
      <c r="W23" s="1081">
        <f>J23</f>
        <v>100</v>
      </c>
      <c r="X23" s="1074"/>
      <c r="Y23" s="3180"/>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80"/>
      <c r="Q24" s="661">
        <f t="shared" ref="Q24:Q34" si="11">B24</f>
        <v>111</v>
      </c>
      <c r="R24" s="1080" t="s">
        <v>951</v>
      </c>
      <c r="S24" s="1081">
        <f>F24</f>
        <v>100</v>
      </c>
      <c r="T24" s="1080" t="s">
        <v>951</v>
      </c>
      <c r="U24" s="1081">
        <f>H24</f>
        <v>100</v>
      </c>
      <c r="V24" s="1080" t="s">
        <v>951</v>
      </c>
      <c r="W24" s="1081">
        <f>J24</f>
        <v>100</v>
      </c>
      <c r="X24" s="1074"/>
      <c r="Y24" s="3180"/>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80"/>
      <c r="Q25" s="1079">
        <f t="shared" si="11"/>
        <v>111</v>
      </c>
      <c r="R25" s="1075" t="s">
        <v>951</v>
      </c>
      <c r="S25" s="1076">
        <f>F25</f>
        <v>100</v>
      </c>
      <c r="T25" s="1075" t="s">
        <v>951</v>
      </c>
      <c r="U25" s="1076">
        <f>H25</f>
        <v>100</v>
      </c>
      <c r="V25" s="1075" t="s">
        <v>951</v>
      </c>
      <c r="W25" s="1076">
        <f>J25</f>
        <v>100</v>
      </c>
      <c r="X25" s="1077"/>
      <c r="Y25" s="3180"/>
      <c r="Z25" s="1091">
        <f>Q25</f>
        <v>111</v>
      </c>
      <c r="AA25" s="1092">
        <f t="shared" si="3"/>
        <v>1</v>
      </c>
      <c r="AB25" s="1092">
        <f t="shared" si="4"/>
        <v>1</v>
      </c>
      <c r="AC25" s="1092">
        <f t="shared" si="5"/>
        <v>1</v>
      </c>
    </row>
    <row r="26" spans="1:29" ht="28.5">
      <c r="A26" s="1255" t="s">
        <v>963</v>
      </c>
      <c r="B26" s="913" t="s">
        <v>1462</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1" t="s">
        <v>962</v>
      </c>
      <c r="Q26" s="661" t="str">
        <f t="shared" si="11"/>
        <v>公共部分装修</v>
      </c>
      <c r="R26" s="1080" t="s">
        <v>951</v>
      </c>
      <c r="S26" s="1081">
        <f t="shared" ref="S26:S34" si="12">F26</f>
        <v>100</v>
      </c>
      <c r="T26" s="1080" t="s">
        <v>951</v>
      </c>
      <c r="U26" s="1081">
        <f t="shared" ref="U26:U34" si="13">H26</f>
        <v>100</v>
      </c>
      <c r="V26" s="1080" t="s">
        <v>951</v>
      </c>
      <c r="W26" s="1081">
        <f t="shared" ref="W26:W34" si="14">J26</f>
        <v>100</v>
      </c>
      <c r="X26" s="1074"/>
      <c r="Y26" s="3182" t="s">
        <v>962</v>
      </c>
      <c r="Z26" s="1073" t="str">
        <f t="shared" ref="Z26:Z34" si="15">Q26</f>
        <v>公共部分装修</v>
      </c>
      <c r="AA26" s="1092">
        <f t="shared" si="3"/>
        <v>1</v>
      </c>
      <c r="AB26" s="1092">
        <f t="shared" si="4"/>
        <v>1</v>
      </c>
      <c r="AC26" s="1092">
        <f t="shared" si="5"/>
        <v>1</v>
      </c>
    </row>
    <row r="27" spans="1:29" s="880" customFormat="1" ht="15">
      <c r="A27" s="979"/>
      <c r="B27" s="917" t="s">
        <v>1518</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2"/>
      <c r="Q27" s="1294" t="str">
        <f t="shared" si="11"/>
        <v>成新率</v>
      </c>
      <c r="R27" s="1082" t="s">
        <v>951</v>
      </c>
      <c r="S27" s="1083" t="e">
        <f t="shared" si="12"/>
        <v>#N/A</v>
      </c>
      <c r="T27" s="1082" t="s">
        <v>951</v>
      </c>
      <c r="U27" s="1083" t="e">
        <f t="shared" si="13"/>
        <v>#N/A</v>
      </c>
      <c r="V27" s="1082" t="s">
        <v>951</v>
      </c>
      <c r="W27" s="1083" t="e">
        <f t="shared" si="14"/>
        <v>#N/A</v>
      </c>
      <c r="X27" s="1084"/>
      <c r="Y27" s="3182"/>
      <c r="Z27" s="1093" t="str">
        <f t="shared" si="15"/>
        <v>成新率</v>
      </c>
      <c r="AA27" s="1092" t="e">
        <f t="shared" si="3"/>
        <v>#N/A</v>
      </c>
      <c r="AB27" s="1092" t="e">
        <f t="shared" si="4"/>
        <v>#N/A</v>
      </c>
      <c r="AC27" s="1092" t="e">
        <f t="shared" si="5"/>
        <v>#N/A</v>
      </c>
    </row>
    <row r="28" spans="1:29" ht="15">
      <c r="A28" s="973"/>
      <c r="B28" s="917" t="s">
        <v>1519</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2"/>
      <c r="Q28" s="661" t="str">
        <f t="shared" si="11"/>
        <v>物业等级</v>
      </c>
      <c r="R28" s="1080" t="s">
        <v>951</v>
      </c>
      <c r="S28" s="1081">
        <f t="shared" si="12"/>
        <v>100</v>
      </c>
      <c r="T28" s="1080" t="s">
        <v>951</v>
      </c>
      <c r="U28" s="1081">
        <f t="shared" si="13"/>
        <v>100</v>
      </c>
      <c r="V28" s="1080" t="s">
        <v>951</v>
      </c>
      <c r="W28" s="1081">
        <f t="shared" si="14"/>
        <v>100</v>
      </c>
      <c r="X28" s="1074"/>
      <c r="Y28" s="3182"/>
      <c r="Z28" s="1073" t="str">
        <f t="shared" si="15"/>
        <v>物业等级</v>
      </c>
      <c r="AA28" s="1092">
        <f t="shared" si="3"/>
        <v>1</v>
      </c>
      <c r="AB28" s="1092">
        <f t="shared" si="4"/>
        <v>1</v>
      </c>
      <c r="AC28" s="1092">
        <f t="shared" si="5"/>
        <v>1</v>
      </c>
    </row>
    <row r="29" spans="1:29" ht="15">
      <c r="A29" s="973"/>
      <c r="B29" s="917" t="s">
        <v>1526</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2"/>
      <c r="Q29" s="661" t="str">
        <f t="shared" si="11"/>
        <v>有无电梯</v>
      </c>
      <c r="R29" s="1080" t="s">
        <v>951</v>
      </c>
      <c r="S29" s="1081">
        <f t="shared" si="12"/>
        <v>100</v>
      </c>
      <c r="T29" s="1080" t="s">
        <v>951</v>
      </c>
      <c r="U29" s="1081">
        <f t="shared" si="13"/>
        <v>100</v>
      </c>
      <c r="V29" s="1080" t="s">
        <v>951</v>
      </c>
      <c r="W29" s="1081">
        <f t="shared" si="14"/>
        <v>100</v>
      </c>
      <c r="X29" s="1074"/>
      <c r="Y29" s="3182"/>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2"/>
      <c r="Q30" s="661" t="str">
        <f t="shared" si="11"/>
        <v>建筑面积</v>
      </c>
      <c r="R30" s="1080" t="s">
        <v>951</v>
      </c>
      <c r="S30" s="1081" t="e">
        <f t="shared" si="12"/>
        <v>#N/A</v>
      </c>
      <c r="T30" s="1080" t="s">
        <v>951</v>
      </c>
      <c r="U30" s="1081" t="e">
        <f t="shared" si="13"/>
        <v>#N/A</v>
      </c>
      <c r="V30" s="1080" t="s">
        <v>951</v>
      </c>
      <c r="W30" s="1081" t="e">
        <f t="shared" si="14"/>
        <v>#N/A</v>
      </c>
      <c r="X30" s="1074"/>
      <c r="Y30" s="3182"/>
      <c r="Z30" s="1073" t="str">
        <f t="shared" si="15"/>
        <v>建筑面积</v>
      </c>
      <c r="AA30" s="1092" t="e">
        <f t="shared" si="3"/>
        <v>#N/A</v>
      </c>
      <c r="AB30" s="1092" t="e">
        <f t="shared" si="4"/>
        <v>#N/A</v>
      </c>
      <c r="AC30" s="1092" t="e">
        <f t="shared" si="5"/>
        <v>#N/A</v>
      </c>
    </row>
    <row r="31" spans="1:29" s="878" customFormat="1" ht="15">
      <c r="A31" s="977"/>
      <c r="B31" s="917" t="s">
        <v>1527</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2"/>
      <c r="Q31" s="1079" t="str">
        <f t="shared" si="11"/>
        <v>是否封闭</v>
      </c>
      <c r="R31" s="1075" t="s">
        <v>951</v>
      </c>
      <c r="S31" s="1076">
        <f t="shared" si="12"/>
        <v>100</v>
      </c>
      <c r="T31" s="1075" t="s">
        <v>951</v>
      </c>
      <c r="U31" s="1076">
        <f t="shared" si="13"/>
        <v>100</v>
      </c>
      <c r="V31" s="1075" t="s">
        <v>951</v>
      </c>
      <c r="W31" s="1076">
        <f t="shared" si="14"/>
        <v>100</v>
      </c>
      <c r="X31" s="1077"/>
      <c r="Y31" s="3182"/>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2" t="s">
        <v>962</v>
      </c>
      <c r="Q32" s="661">
        <f t="shared" si="11"/>
        <v>111</v>
      </c>
      <c r="R32" s="1080" t="s">
        <v>951</v>
      </c>
      <c r="S32" s="1081">
        <f t="shared" si="12"/>
        <v>100</v>
      </c>
      <c r="T32" s="1080" t="s">
        <v>951</v>
      </c>
      <c r="U32" s="1081">
        <f t="shared" si="13"/>
        <v>100</v>
      </c>
      <c r="V32" s="1080" t="s">
        <v>951</v>
      </c>
      <c r="W32" s="1081">
        <f t="shared" si="14"/>
        <v>100</v>
      </c>
      <c r="X32" s="1074"/>
      <c r="Y32" s="3182" t="s">
        <v>962</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2"/>
      <c r="Q33" s="661">
        <f t="shared" si="11"/>
        <v>111</v>
      </c>
      <c r="R33" s="1080" t="s">
        <v>951</v>
      </c>
      <c r="S33" s="1081">
        <f t="shared" si="12"/>
        <v>100</v>
      </c>
      <c r="T33" s="1080" t="s">
        <v>951</v>
      </c>
      <c r="U33" s="1081">
        <f t="shared" si="13"/>
        <v>100</v>
      </c>
      <c r="V33" s="1080" t="s">
        <v>951</v>
      </c>
      <c r="W33" s="1081">
        <f t="shared" si="14"/>
        <v>100</v>
      </c>
      <c r="X33" s="1074"/>
      <c r="Y33" s="3182"/>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2"/>
      <c r="Q34" s="661">
        <f t="shared" si="11"/>
        <v>111</v>
      </c>
      <c r="R34" s="1080" t="s">
        <v>951</v>
      </c>
      <c r="S34" s="1081">
        <f t="shared" si="12"/>
        <v>100</v>
      </c>
      <c r="T34" s="1080" t="s">
        <v>951</v>
      </c>
      <c r="U34" s="1081">
        <f t="shared" si="13"/>
        <v>100</v>
      </c>
      <c r="V34" s="1080" t="s">
        <v>951</v>
      </c>
      <c r="W34" s="1081">
        <f t="shared" si="14"/>
        <v>100</v>
      </c>
      <c r="X34" s="1074"/>
      <c r="Y34" s="3182"/>
      <c r="Z34" s="1073">
        <f t="shared" si="15"/>
        <v>111</v>
      </c>
      <c r="AA34" s="1092">
        <f t="shared" si="3"/>
        <v>1</v>
      </c>
      <c r="AB34" s="1092">
        <f t="shared" si="4"/>
        <v>1</v>
      </c>
      <c r="AC34" s="1092">
        <f t="shared" si="5"/>
        <v>1</v>
      </c>
    </row>
    <row r="35" spans="1:29" ht="15">
      <c r="A35" s="982" t="s">
        <v>1469</v>
      </c>
      <c r="B35" s="1265"/>
      <c r="C35" s="1266" t="s">
        <v>124</v>
      </c>
      <c r="D35" s="1267"/>
      <c r="E35" s="1268"/>
      <c r="F35" s="1269"/>
      <c r="G35" s="1270"/>
      <c r="H35" s="1271"/>
      <c r="I35" s="1268"/>
      <c r="J35" s="1271"/>
      <c r="K35" s="1057"/>
      <c r="L35" s="1058"/>
      <c r="M35" s="999"/>
      <c r="N35" s="1034"/>
      <c r="O35" s="999"/>
      <c r="P35" s="3178" t="str">
        <f>A35</f>
        <v>成交单价（元/平方米）</v>
      </c>
      <c r="Q35" s="3178"/>
      <c r="R35" s="3235">
        <f>E35</f>
        <v>0</v>
      </c>
      <c r="S35" s="3235"/>
      <c r="T35" s="3235">
        <f>G35</f>
        <v>0</v>
      </c>
      <c r="U35" s="3235"/>
      <c r="V35" s="3235">
        <f>I35</f>
        <v>0</v>
      </c>
      <c r="W35" s="3235"/>
      <c r="X35" s="1085"/>
      <c r="Y35" s="1094"/>
      <c r="Z35" s="1085"/>
      <c r="AA35" s="1085"/>
      <c r="AB35" s="1085"/>
      <c r="AC35" s="1085"/>
    </row>
    <row r="36" spans="1:29" ht="15">
      <c r="A36" s="990" t="s">
        <v>971</v>
      </c>
      <c r="B36" s="1272"/>
      <c r="C36" s="1273" t="e">
        <f>R37</f>
        <v>#DIV/0!</v>
      </c>
      <c r="D36" s="1274"/>
      <c r="E36" s="1275" t="e">
        <f>R36</f>
        <v>#DIV/0!</v>
      </c>
      <c r="F36" s="1275"/>
      <c r="G36" s="1273" t="e">
        <f>T36</f>
        <v>#DIV/0!</v>
      </c>
      <c r="H36" s="1274"/>
      <c r="I36" s="1275" t="e">
        <f>V36</f>
        <v>#DIV/0!</v>
      </c>
      <c r="J36" s="1274"/>
      <c r="K36" s="1059"/>
      <c r="L36" s="1058"/>
      <c r="M36" s="999"/>
      <c r="N36" s="1034"/>
      <c r="O36" s="999"/>
      <c r="P36" s="3178" t="str">
        <f>A36</f>
        <v>比较价值（元/平方米）</v>
      </c>
      <c r="Q36" s="3178"/>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1085"/>
      <c r="Y36" s="1085"/>
      <c r="Z36" s="1085"/>
      <c r="AA36" s="1085"/>
      <c r="AB36" s="1085"/>
      <c r="AC36" s="1085"/>
    </row>
    <row r="37" spans="1:29" ht="15">
      <c r="A37" s="996" t="s">
        <v>972</v>
      </c>
      <c r="B37" s="997"/>
      <c r="C37" s="1276" t="e">
        <f>R37</f>
        <v>#DIV/0!</v>
      </c>
      <c r="D37" s="1276"/>
      <c r="E37" s="1276"/>
      <c r="F37" s="1276"/>
      <c r="G37" s="1276"/>
      <c r="H37" s="1276"/>
      <c r="I37" s="1276"/>
      <c r="J37" s="1276"/>
      <c r="K37" s="1060"/>
      <c r="L37" s="1058"/>
      <c r="M37" s="999"/>
      <c r="N37" s="999"/>
      <c r="O37" s="999"/>
      <c r="P37" s="3187" t="str">
        <f>A37</f>
        <v>估价对象XX用房的比较价值（楼面单价，元/平方米）</v>
      </c>
      <c r="Q37" s="3188"/>
      <c r="R37" s="3236" t="e">
        <f>IF(F1="售价",ROUND(AVERAGE(R36:V36),0),ROUND(AVERAGE(R36:V36),1))</f>
        <v>#DIV/0!</v>
      </c>
      <c r="S37" s="3236"/>
      <c r="T37" s="3236"/>
      <c r="U37" s="3236"/>
      <c r="V37" s="3236"/>
      <c r="W37" s="3236"/>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973</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974</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975</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1001</v>
      </c>
      <c r="B45" s="1085"/>
      <c r="C45" s="1103"/>
      <c r="D45" s="1103"/>
      <c r="E45" s="1103"/>
      <c r="F45" s="1104"/>
      <c r="G45" s="1104"/>
      <c r="H45" s="1103"/>
      <c r="I45" s="1103"/>
      <c r="J45" s="1103"/>
      <c r="K45" s="1290"/>
      <c r="L45" s="1291"/>
      <c r="M45" s="1103"/>
      <c r="N45" s="1103"/>
      <c r="O45" s="1103"/>
      <c r="P45" s="1164"/>
      <c r="Q45" s="1168"/>
    </row>
    <row r="46" spans="1:29" s="883" customFormat="1" ht="15">
      <c r="A46" s="1278" t="s">
        <v>949</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1003</v>
      </c>
      <c r="B48" s="1112"/>
      <c r="C48" s="1113"/>
      <c r="D48" s="1114"/>
      <c r="E48" s="1114"/>
      <c r="F48" s="1114"/>
      <c r="G48" s="1114"/>
      <c r="H48" s="1114"/>
      <c r="I48" s="1114"/>
      <c r="J48" s="1114"/>
      <c r="K48" s="1114"/>
      <c r="L48" s="1114"/>
      <c r="M48" s="1169"/>
      <c r="N48" s="1114"/>
      <c r="O48" s="1293"/>
      <c r="P48" s="1168"/>
      <c r="Q48" s="1168"/>
    </row>
    <row r="49" spans="1:17" s="878" customFormat="1" ht="15">
      <c r="A49" s="1115" t="s">
        <v>952</v>
      </c>
      <c r="B49" s="1116"/>
      <c r="C49" s="1117" t="s">
        <v>953</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1004</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958</v>
      </c>
      <c r="C53" s="1127" t="s">
        <v>1470</v>
      </c>
      <c r="D53" s="1127" t="s">
        <v>1471</v>
      </c>
      <c r="E53" s="1127" t="s">
        <v>1472</v>
      </c>
      <c r="F53" s="1127" t="s">
        <v>1473</v>
      </c>
      <c r="G53" s="1127" t="s">
        <v>1474</v>
      </c>
      <c r="H53" s="1127" t="s">
        <v>1475</v>
      </c>
      <c r="I53" s="1127" t="s">
        <v>1476</v>
      </c>
      <c r="J53" s="1127"/>
      <c r="K53" s="1183"/>
      <c r="L53" s="1184"/>
      <c r="M53" s="1185"/>
      <c r="N53" s="1179"/>
      <c r="O53" s="1179"/>
      <c r="P53" s="1180"/>
      <c r="Q53" s="1168"/>
    </row>
    <row r="54" spans="1:17" ht="15">
      <c r="A54" s="1123"/>
      <c r="B54" s="1128"/>
      <c r="C54" s="1129" t="s">
        <v>1000</v>
      </c>
      <c r="D54" s="1129" t="s">
        <v>1000</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960</v>
      </c>
      <c r="B61" s="1122" t="s">
        <v>673</v>
      </c>
      <c r="C61" s="1143" t="s">
        <v>1005</v>
      </c>
      <c r="D61" s="1143" t="s">
        <v>1006</v>
      </c>
      <c r="E61" s="1143" t="s">
        <v>1007</v>
      </c>
      <c r="F61" s="1143" t="s">
        <v>1008</v>
      </c>
      <c r="G61" s="1143" t="s">
        <v>1009</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1528</v>
      </c>
      <c r="C63" s="1145" t="s">
        <v>1005</v>
      </c>
      <c r="D63" s="1145" t="s">
        <v>1006</v>
      </c>
      <c r="E63" s="1145" t="s">
        <v>1007</v>
      </c>
      <c r="F63" s="1145" t="s">
        <v>1008</v>
      </c>
      <c r="G63" s="1145" t="s">
        <v>1009</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679</v>
      </c>
      <c r="C65" s="1150" t="s">
        <v>1010</v>
      </c>
      <c r="D65" s="1150" t="s">
        <v>1011</v>
      </c>
      <c r="E65" s="1150" t="s">
        <v>1012</v>
      </c>
      <c r="F65" s="1150" t="s">
        <v>1013</v>
      </c>
      <c r="G65" s="1150" t="s">
        <v>1014</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683</v>
      </c>
      <c r="C67" s="1145" t="s">
        <v>1005</v>
      </c>
      <c r="D67" s="1145" t="s">
        <v>1006</v>
      </c>
      <c r="E67" s="1145" t="s">
        <v>1007</v>
      </c>
      <c r="F67" s="1145" t="s">
        <v>1008</v>
      </c>
      <c r="G67" s="1145" t="s">
        <v>1009</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1500</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963</v>
      </c>
      <c r="B77" s="1122" t="s">
        <v>1462</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1518</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1519</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1526</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1527</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932</v>
      </c>
      <c r="B1" s="888"/>
      <c r="C1" s="889" t="s">
        <v>1529</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935</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936</v>
      </c>
      <c r="B3" s="896" t="e">
        <f>ROUND(IF(D3="",B2*10000/'数据-汇总表'!E3,B2*10000/D3),0)</f>
        <v>#DIV/0!</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938</v>
      </c>
      <c r="B4" s="899"/>
      <c r="C4" s="3183" t="s">
        <v>939</v>
      </c>
      <c r="D4" s="3198"/>
      <c r="E4" s="3199" t="s">
        <v>940</v>
      </c>
      <c r="F4" s="3200"/>
      <c r="G4" s="3183" t="s">
        <v>941</v>
      </c>
      <c r="H4" s="3198"/>
      <c r="I4" s="3183" t="s">
        <v>942</v>
      </c>
      <c r="J4" s="3198"/>
      <c r="K4" s="1032" t="s">
        <v>943</v>
      </c>
      <c r="L4" s="1033"/>
      <c r="M4" s="1034"/>
      <c r="N4" s="1034"/>
      <c r="O4" s="1034"/>
      <c r="P4" s="3164" t="s">
        <v>944</v>
      </c>
      <c r="Q4" s="3165"/>
      <c r="R4" s="3170" t="s">
        <v>940</v>
      </c>
      <c r="S4" s="3171"/>
      <c r="T4" s="3170" t="s">
        <v>941</v>
      </c>
      <c r="U4" s="3171"/>
      <c r="V4" s="3176" t="s">
        <v>942</v>
      </c>
      <c r="W4" s="3176"/>
      <c r="X4" s="1074"/>
      <c r="Y4" s="3170" t="s">
        <v>944</v>
      </c>
      <c r="Z4" s="3171"/>
      <c r="AA4" s="3161" t="s">
        <v>940</v>
      </c>
      <c r="AB4" s="3162" t="s">
        <v>941</v>
      </c>
      <c r="AC4" s="3161" t="s">
        <v>942</v>
      </c>
    </row>
    <row r="5" spans="1:30" ht="15">
      <c r="A5" s="900"/>
      <c r="B5" s="901"/>
      <c r="C5" s="3201" t="s">
        <v>945</v>
      </c>
      <c r="D5" s="3202"/>
      <c r="E5" s="3203" t="s">
        <v>1452</v>
      </c>
      <c r="F5" s="3204"/>
      <c r="G5" s="3201" t="s">
        <v>1453</v>
      </c>
      <c r="H5" s="3202"/>
      <c r="I5" s="3201" t="s">
        <v>1454</v>
      </c>
      <c r="J5" s="3202"/>
      <c r="K5" s="1032"/>
      <c r="L5" s="1033"/>
      <c r="M5" s="1034"/>
      <c r="N5" s="1034"/>
      <c r="O5" s="1034"/>
      <c r="P5" s="3166"/>
      <c r="Q5" s="3167"/>
      <c r="R5" s="3172"/>
      <c r="S5" s="3173"/>
      <c r="T5" s="3172"/>
      <c r="U5" s="3173"/>
      <c r="V5" s="3176"/>
      <c r="W5" s="3176"/>
      <c r="X5" s="1074"/>
      <c r="Y5" s="3172"/>
      <c r="Z5" s="3173"/>
      <c r="AA5" s="3162"/>
      <c r="AB5" s="3162"/>
      <c r="AC5" s="3162"/>
    </row>
    <row r="6" spans="1:30" ht="15">
      <c r="A6" s="902"/>
      <c r="B6" s="903"/>
      <c r="C6" s="3243" t="s">
        <v>1455</v>
      </c>
      <c r="D6" s="3244"/>
      <c r="E6" s="3245" t="s">
        <v>1455</v>
      </c>
      <c r="F6" s="3246"/>
      <c r="G6" s="3243" t="s">
        <v>1455</v>
      </c>
      <c r="H6" s="3244"/>
      <c r="I6" s="3243" t="s">
        <v>1455</v>
      </c>
      <c r="J6" s="3244"/>
      <c r="K6" s="1032" t="s">
        <v>948</v>
      </c>
      <c r="L6" s="1033"/>
      <c r="M6" s="1034"/>
      <c r="N6" s="1034"/>
      <c r="O6" s="1034"/>
      <c r="P6" s="3168"/>
      <c r="Q6" s="3169"/>
      <c r="R6" s="3172"/>
      <c r="S6" s="3173"/>
      <c r="T6" s="3174"/>
      <c r="U6" s="3175"/>
      <c r="V6" s="3176"/>
      <c r="W6" s="3176"/>
      <c r="X6" s="1074"/>
      <c r="Y6" s="3174"/>
      <c r="Z6" s="3175"/>
      <c r="AA6" s="3163"/>
      <c r="AB6" s="3163"/>
      <c r="AC6" s="3163"/>
    </row>
    <row r="7" spans="1:30" s="878" customFormat="1" ht="15">
      <c r="A7" s="904" t="s">
        <v>949</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90" t="s">
        <v>950</v>
      </c>
      <c r="Q7" s="3197"/>
      <c r="R7" s="1075" t="s">
        <v>951</v>
      </c>
      <c r="S7" s="1076">
        <f t="shared" ref="S7:S15" si="0">F7</f>
        <v>0</v>
      </c>
      <c r="T7" s="1075" t="s">
        <v>951</v>
      </c>
      <c r="U7" s="1076">
        <f t="shared" ref="U7:U15" si="1">H7</f>
        <v>0</v>
      </c>
      <c r="V7" s="1075" t="s">
        <v>951</v>
      </c>
      <c r="W7" s="1076">
        <f t="shared" ref="W7:W15" si="2">J7</f>
        <v>0</v>
      </c>
      <c r="X7" s="1077"/>
      <c r="Y7" s="3190" t="s">
        <v>950</v>
      </c>
      <c r="Z7" s="3191"/>
      <c r="AA7" s="1090" t="e">
        <f>D7/F7</f>
        <v>#DIV/0!</v>
      </c>
      <c r="AB7" s="1090" t="e">
        <f>D7/H7</f>
        <v>#DIV/0!</v>
      </c>
      <c r="AC7" s="1090" t="e">
        <f>D7/J7</f>
        <v>#DIV/0!</v>
      </c>
    </row>
    <row r="8" spans="1:30" s="878" customFormat="1" ht="15">
      <c r="A8" s="904" t="s">
        <v>952</v>
      </c>
      <c r="B8" s="905"/>
      <c r="C8" s="911" t="s">
        <v>953</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90" t="s">
        <v>954</v>
      </c>
      <c r="Q8" s="3191"/>
      <c r="R8" s="1075" t="s">
        <v>951</v>
      </c>
      <c r="S8" s="1076">
        <f t="shared" si="0"/>
        <v>0</v>
      </c>
      <c r="T8" s="1075" t="s">
        <v>951</v>
      </c>
      <c r="U8" s="1076">
        <f t="shared" si="1"/>
        <v>0</v>
      </c>
      <c r="V8" s="1075" t="s">
        <v>951</v>
      </c>
      <c r="W8" s="1076">
        <f t="shared" si="2"/>
        <v>0</v>
      </c>
      <c r="X8" s="1077"/>
      <c r="Y8" s="3190" t="s">
        <v>954</v>
      </c>
      <c r="Z8" s="3191"/>
      <c r="AA8" s="1090" t="e">
        <f t="shared" ref="AA8:AA45" si="3">D8/F8</f>
        <v>#DIV/0!</v>
      </c>
      <c r="AB8" s="1090" t="e">
        <f t="shared" ref="AB8:AB45" si="4">D8/H8</f>
        <v>#DIV/0!</v>
      </c>
      <c r="AC8" s="1090" t="e">
        <f t="shared" ref="AC8:AC45" si="5">D8/J8</f>
        <v>#DIV/0!</v>
      </c>
    </row>
    <row r="9" spans="1:30" s="878" customFormat="1">
      <c r="A9" s="912" t="s">
        <v>955</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78" t="s">
        <v>956</v>
      </c>
      <c r="Q9" s="1079" t="str">
        <f t="shared" ref="Q9:Q15" si="6">B9</f>
        <v>用途</v>
      </c>
      <c r="R9" s="1075" t="s">
        <v>951</v>
      </c>
      <c r="S9" s="1076">
        <f t="shared" si="0"/>
        <v>100</v>
      </c>
      <c r="T9" s="1075" t="s">
        <v>951</v>
      </c>
      <c r="U9" s="1076">
        <f t="shared" si="1"/>
        <v>100</v>
      </c>
      <c r="V9" s="1075" t="s">
        <v>951</v>
      </c>
      <c r="W9" s="1076">
        <f t="shared" si="2"/>
        <v>100</v>
      </c>
      <c r="X9" s="1077"/>
      <c r="Y9" s="3020" t="s">
        <v>957</v>
      </c>
      <c r="Z9" s="1091" t="str">
        <f t="shared" ref="Z9:Z15" si="7">Q9</f>
        <v>用途</v>
      </c>
      <c r="AA9" s="1090">
        <f t="shared" si="3"/>
        <v>1</v>
      </c>
      <c r="AB9" s="1090">
        <f t="shared" si="4"/>
        <v>1</v>
      </c>
      <c r="AC9" s="1090">
        <f t="shared" si="5"/>
        <v>1</v>
      </c>
    </row>
    <row r="10" spans="1:30" s="879" customFormat="1" ht="27">
      <c r="A10" s="916"/>
      <c r="B10" s="917" t="s">
        <v>958</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78"/>
      <c r="Q10" s="1079" t="str">
        <f t="shared" si="6"/>
        <v>土地使用年限（年）</v>
      </c>
      <c r="R10" s="1075" t="s">
        <v>951</v>
      </c>
      <c r="S10" s="1076">
        <f t="shared" si="0"/>
        <v>102</v>
      </c>
      <c r="T10" s="1075" t="s">
        <v>951</v>
      </c>
      <c r="U10" s="1076">
        <f t="shared" si="1"/>
        <v>102</v>
      </c>
      <c r="V10" s="1075" t="s">
        <v>951</v>
      </c>
      <c r="W10" s="1076">
        <f t="shared" si="2"/>
        <v>102</v>
      </c>
      <c r="X10" s="1077"/>
      <c r="Y10" s="3020"/>
      <c r="Z10" s="1091" t="str">
        <f t="shared" si="7"/>
        <v>土地使用年限（年）</v>
      </c>
      <c r="AA10" s="1090">
        <f t="shared" si="3"/>
        <v>0.98039215686274506</v>
      </c>
      <c r="AB10" s="1090">
        <f t="shared" si="4"/>
        <v>0.98039215686274506</v>
      </c>
      <c r="AC10" s="1090">
        <f t="shared" si="5"/>
        <v>0.98039215686274506</v>
      </c>
    </row>
    <row r="11" spans="1:30" ht="15">
      <c r="A11" s="922"/>
      <c r="B11" s="917" t="s">
        <v>959</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78"/>
      <c r="Q11" s="1079" t="str">
        <f t="shared" si="6"/>
        <v>容积率</v>
      </c>
      <c r="R11" s="1075" t="s">
        <v>951</v>
      </c>
      <c r="S11" s="1076" t="e">
        <f t="shared" si="0"/>
        <v>#N/A</v>
      </c>
      <c r="T11" s="1075" t="s">
        <v>951</v>
      </c>
      <c r="U11" s="1076" t="e">
        <f t="shared" si="1"/>
        <v>#N/A</v>
      </c>
      <c r="V11" s="1075" t="s">
        <v>951</v>
      </c>
      <c r="W11" s="1076" t="e">
        <f t="shared" si="2"/>
        <v>#N/A</v>
      </c>
      <c r="X11" s="1077"/>
      <c r="Y11" s="3020"/>
      <c r="Z11" s="1091" t="str">
        <f t="shared" si="7"/>
        <v>容积率</v>
      </c>
      <c r="AA11" s="1090" t="e">
        <f t="shared" si="3"/>
        <v>#N/A</v>
      </c>
      <c r="AB11" s="1090" t="e">
        <f t="shared" si="4"/>
        <v>#N/A</v>
      </c>
      <c r="AC11" s="1090" t="e">
        <f t="shared" si="5"/>
        <v>#N/A</v>
      </c>
    </row>
    <row r="12" spans="1:30" s="878" customFormat="1" ht="15">
      <c r="A12" s="925"/>
      <c r="B12" s="926" t="s">
        <v>1530</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78"/>
      <c r="Q12" s="1079" t="str">
        <f t="shared" si="6"/>
        <v>配建</v>
      </c>
      <c r="R12" s="1075" t="s">
        <v>951</v>
      </c>
      <c r="S12" s="1076">
        <f t="shared" si="0"/>
        <v>100</v>
      </c>
      <c r="T12" s="1075" t="s">
        <v>951</v>
      </c>
      <c r="U12" s="1076">
        <f t="shared" si="1"/>
        <v>100</v>
      </c>
      <c r="V12" s="1075" t="s">
        <v>951</v>
      </c>
      <c r="W12" s="1076">
        <f t="shared" si="2"/>
        <v>100</v>
      </c>
      <c r="X12" s="1077"/>
      <c r="Y12" s="3020"/>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78"/>
      <c r="Q13" s="1079">
        <f t="shared" si="6"/>
        <v>111</v>
      </c>
      <c r="R13" s="1075" t="s">
        <v>951</v>
      </c>
      <c r="S13" s="1076">
        <f t="shared" si="0"/>
        <v>100</v>
      </c>
      <c r="T13" s="1075" t="s">
        <v>951</v>
      </c>
      <c r="U13" s="1076">
        <f t="shared" si="1"/>
        <v>100</v>
      </c>
      <c r="V13" s="1075" t="s">
        <v>951</v>
      </c>
      <c r="W13" s="1076">
        <f t="shared" si="2"/>
        <v>100</v>
      </c>
      <c r="X13" s="1077"/>
      <c r="Y13" s="3020"/>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78"/>
      <c r="Q14" s="1079">
        <f t="shared" si="6"/>
        <v>111</v>
      </c>
      <c r="R14" s="1075" t="s">
        <v>951</v>
      </c>
      <c r="S14" s="1076">
        <f t="shared" si="0"/>
        <v>100</v>
      </c>
      <c r="T14" s="1075" t="s">
        <v>951</v>
      </c>
      <c r="U14" s="1076">
        <f t="shared" si="1"/>
        <v>100</v>
      </c>
      <c r="V14" s="1075" t="s">
        <v>951</v>
      </c>
      <c r="W14" s="1076">
        <f t="shared" si="2"/>
        <v>100</v>
      </c>
      <c r="X14" s="1077"/>
      <c r="Y14" s="3020"/>
      <c r="Z14" s="1091">
        <f t="shared" si="7"/>
        <v>111</v>
      </c>
      <c r="AA14" s="1090">
        <f t="shared" si="3"/>
        <v>1</v>
      </c>
      <c r="AB14" s="1090">
        <f t="shared" si="4"/>
        <v>1</v>
      </c>
      <c r="AC14" s="1090">
        <f t="shared" si="5"/>
        <v>1</v>
      </c>
    </row>
    <row r="15" spans="1:30" ht="99.75">
      <c r="A15" s="936" t="s">
        <v>960</v>
      </c>
      <c r="B15" s="937" t="s">
        <v>667</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79" t="s">
        <v>961</v>
      </c>
      <c r="Q15" s="661" t="str">
        <f t="shared" si="6"/>
        <v>居住社区成熟度</v>
      </c>
      <c r="R15" s="1080" t="s">
        <v>951</v>
      </c>
      <c r="S15" s="1081">
        <f t="shared" si="0"/>
        <v>100</v>
      </c>
      <c r="T15" s="1080" t="s">
        <v>951</v>
      </c>
      <c r="U15" s="1081">
        <f t="shared" si="1"/>
        <v>100</v>
      </c>
      <c r="V15" s="1080" t="s">
        <v>951</v>
      </c>
      <c r="W15" s="1081">
        <f t="shared" si="2"/>
        <v>100</v>
      </c>
      <c r="X15" s="1074"/>
      <c r="Y15" s="3179" t="s">
        <v>961</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80"/>
      <c r="Q16" s="661"/>
      <c r="R16" s="1080"/>
      <c r="S16" s="1081"/>
      <c r="T16" s="1080"/>
      <c r="U16" s="1081"/>
      <c r="V16" s="1080"/>
      <c r="W16" s="1081"/>
      <c r="X16" s="1074"/>
      <c r="Y16" s="3180"/>
      <c r="Z16" s="1073"/>
      <c r="AA16" s="1092">
        <v>1</v>
      </c>
      <c r="AB16" s="1092">
        <v>1</v>
      </c>
      <c r="AC16" s="1092">
        <v>1</v>
      </c>
    </row>
    <row r="17" spans="1:29" ht="71.25">
      <c r="A17" s="922"/>
      <c r="B17" s="946" t="s">
        <v>671</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80"/>
      <c r="Q17" s="661" t="str">
        <f>B17</f>
        <v>商业繁华度</v>
      </c>
      <c r="R17" s="1080" t="s">
        <v>951</v>
      </c>
      <c r="S17" s="1081">
        <f>F17</f>
        <v>100</v>
      </c>
      <c r="T17" s="1080" t="s">
        <v>951</v>
      </c>
      <c r="U17" s="1081">
        <f>H17</f>
        <v>100</v>
      </c>
      <c r="V17" s="1080" t="s">
        <v>951</v>
      </c>
      <c r="W17" s="1081">
        <f>J17</f>
        <v>100</v>
      </c>
      <c r="X17" s="1074"/>
      <c r="Y17" s="3180"/>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80"/>
      <c r="Q18" s="661"/>
      <c r="R18" s="1080"/>
      <c r="S18" s="1081"/>
      <c r="T18" s="1080"/>
      <c r="U18" s="1081"/>
      <c r="V18" s="1080"/>
      <c r="W18" s="1081"/>
      <c r="X18" s="1074"/>
      <c r="Y18" s="3180"/>
      <c r="Z18" s="1073"/>
      <c r="AA18" s="1092">
        <v>1</v>
      </c>
      <c r="AB18" s="1092">
        <v>1</v>
      </c>
      <c r="AC18" s="1092">
        <v>1</v>
      </c>
    </row>
    <row r="19" spans="1:29" ht="71.25">
      <c r="A19" s="922"/>
      <c r="B19" s="946" t="s">
        <v>675</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80"/>
      <c r="Q19" s="661" t="str">
        <f>B19</f>
        <v>办公集聚程度</v>
      </c>
      <c r="R19" s="1080" t="s">
        <v>951</v>
      </c>
      <c r="S19" s="1081">
        <f>F19</f>
        <v>100</v>
      </c>
      <c r="T19" s="1080" t="s">
        <v>951</v>
      </c>
      <c r="U19" s="1081">
        <f>H19</f>
        <v>100</v>
      </c>
      <c r="V19" s="1080" t="s">
        <v>951</v>
      </c>
      <c r="W19" s="1081">
        <f>J19</f>
        <v>100</v>
      </c>
      <c r="X19" s="1074"/>
      <c r="Y19" s="3180"/>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80"/>
      <c r="Q20" s="661"/>
      <c r="R20" s="1080"/>
      <c r="S20" s="1081"/>
      <c r="T20" s="1080"/>
      <c r="U20" s="1081"/>
      <c r="V20" s="1080"/>
      <c r="W20" s="1081"/>
      <c r="X20" s="1074"/>
      <c r="Y20" s="3180"/>
      <c r="Z20" s="1073"/>
      <c r="AA20" s="1092">
        <v>1</v>
      </c>
      <c r="AB20" s="1092">
        <v>1</v>
      </c>
      <c r="AC20" s="1092">
        <v>1</v>
      </c>
    </row>
    <row r="21" spans="1:29" ht="85.5">
      <c r="A21" s="922"/>
      <c r="B21" s="946" t="s">
        <v>673</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80"/>
      <c r="Q21" s="661" t="str">
        <f>B21</f>
        <v>交通便捷度</v>
      </c>
      <c r="R21" s="1080" t="s">
        <v>951</v>
      </c>
      <c r="S21" s="1081">
        <f>F21</f>
        <v>100</v>
      </c>
      <c r="T21" s="1080" t="s">
        <v>951</v>
      </c>
      <c r="U21" s="1081">
        <f>H21</f>
        <v>100</v>
      </c>
      <c r="V21" s="1080" t="s">
        <v>951</v>
      </c>
      <c r="W21" s="1081">
        <f>J21</f>
        <v>100</v>
      </c>
      <c r="X21" s="1074"/>
      <c r="Y21" s="3180"/>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80"/>
      <c r="Q22" s="661"/>
      <c r="R22" s="1080"/>
      <c r="S22" s="1081"/>
      <c r="T22" s="1080"/>
      <c r="U22" s="1081"/>
      <c r="V22" s="1080"/>
      <c r="W22" s="1081"/>
      <c r="X22" s="1074"/>
      <c r="Y22" s="3180"/>
      <c r="Z22" s="1073"/>
      <c r="AA22" s="1092">
        <v>1</v>
      </c>
      <c r="AB22" s="1092">
        <v>1</v>
      </c>
      <c r="AC22" s="1092">
        <v>1</v>
      </c>
    </row>
    <row r="23" spans="1:29" ht="15">
      <c r="A23" s="900"/>
      <c r="B23" s="946" t="s">
        <v>687</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80"/>
      <c r="Q23" s="661" t="str">
        <f t="shared" ref="Q23:Q38" si="8">B23</f>
        <v>区域土地利用方向</v>
      </c>
      <c r="R23" s="1080" t="s">
        <v>951</v>
      </c>
      <c r="S23" s="1081">
        <f>F23</f>
        <v>100</v>
      </c>
      <c r="T23" s="1080" t="s">
        <v>951</v>
      </c>
      <c r="U23" s="1081">
        <f>H23</f>
        <v>100</v>
      </c>
      <c r="V23" s="1080" t="s">
        <v>951</v>
      </c>
      <c r="W23" s="1081">
        <f>J23</f>
        <v>100</v>
      </c>
      <c r="X23" s="1074"/>
      <c r="Y23" s="3180"/>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80"/>
      <c r="Q24" s="661"/>
      <c r="R24" s="1080"/>
      <c r="S24" s="1081"/>
      <c r="T24" s="1080"/>
      <c r="U24" s="1081"/>
      <c r="V24" s="1080"/>
      <c r="W24" s="1081"/>
      <c r="X24" s="1074"/>
      <c r="Y24" s="3180"/>
      <c r="Z24" s="1073"/>
      <c r="AA24" s="1092"/>
      <c r="AB24" s="1092"/>
      <c r="AC24" s="1092"/>
    </row>
    <row r="25" spans="1:29" ht="57">
      <c r="A25" s="900"/>
      <c r="B25" s="954" t="s">
        <v>688</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80"/>
      <c r="Q25" s="661" t="str">
        <f t="shared" si="8"/>
        <v>自然及人文环境状况</v>
      </c>
      <c r="R25" s="1080" t="s">
        <v>951</v>
      </c>
      <c r="S25" s="1081">
        <f>F25</f>
        <v>100</v>
      </c>
      <c r="T25" s="1080" t="s">
        <v>951</v>
      </c>
      <c r="U25" s="1081">
        <f>H25</f>
        <v>100</v>
      </c>
      <c r="V25" s="1080" t="s">
        <v>951</v>
      </c>
      <c r="W25" s="1081">
        <f>J25</f>
        <v>100</v>
      </c>
      <c r="X25" s="1074"/>
      <c r="Y25" s="3180"/>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80"/>
      <c r="Q26" s="661"/>
      <c r="R26" s="1080"/>
      <c r="S26" s="1081"/>
      <c r="T26" s="1080"/>
      <c r="U26" s="1081"/>
      <c r="V26" s="1080"/>
      <c r="W26" s="1081"/>
      <c r="X26" s="1074"/>
      <c r="Y26" s="3180"/>
      <c r="Z26" s="1073"/>
      <c r="AA26" s="1092">
        <v>1</v>
      </c>
      <c r="AB26" s="1092">
        <v>1</v>
      </c>
      <c r="AC26" s="1092">
        <v>1</v>
      </c>
    </row>
    <row r="27" spans="1:29" s="878" customFormat="1" ht="42.75">
      <c r="A27" s="960"/>
      <c r="B27" s="954" t="s">
        <v>677</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80"/>
      <c r="Q27" s="1079" t="str">
        <f t="shared" si="8"/>
        <v>公共配套设施</v>
      </c>
      <c r="R27" s="1075" t="s">
        <v>951</v>
      </c>
      <c r="S27" s="1076">
        <f>F27</f>
        <v>100</v>
      </c>
      <c r="T27" s="1075" t="s">
        <v>951</v>
      </c>
      <c r="U27" s="1076">
        <f>H27</f>
        <v>100</v>
      </c>
      <c r="V27" s="1075" t="s">
        <v>951</v>
      </c>
      <c r="W27" s="1076">
        <f>J27</f>
        <v>100</v>
      </c>
      <c r="X27" s="1077"/>
      <c r="Y27" s="3180"/>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80"/>
      <c r="Q28" s="1079"/>
      <c r="R28" s="1075"/>
      <c r="S28" s="1076"/>
      <c r="T28" s="1075"/>
      <c r="U28" s="1076"/>
      <c r="V28" s="1075"/>
      <c r="W28" s="1076"/>
      <c r="X28" s="1077"/>
      <c r="Y28" s="3180"/>
      <c r="Z28" s="1091"/>
      <c r="AA28" s="1092">
        <v>1</v>
      </c>
      <c r="AB28" s="1092">
        <v>1</v>
      </c>
      <c r="AC28" s="1092">
        <v>1</v>
      </c>
    </row>
    <row r="29" spans="1:29" s="878" customFormat="1" ht="28.5">
      <c r="A29" s="960"/>
      <c r="B29" s="954" t="s">
        <v>679</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80"/>
      <c r="Q29" s="1079" t="str">
        <f t="shared" ref="Q29" si="9">B29</f>
        <v>基础设施水平</v>
      </c>
      <c r="R29" s="1075" t="s">
        <v>951</v>
      </c>
      <c r="S29" s="1076">
        <f>F29</f>
        <v>100</v>
      </c>
      <c r="T29" s="1075" t="s">
        <v>951</v>
      </c>
      <c r="U29" s="1076">
        <f>H29</f>
        <v>100</v>
      </c>
      <c r="V29" s="1075" t="s">
        <v>951</v>
      </c>
      <c r="W29" s="1076">
        <f>J29</f>
        <v>100</v>
      </c>
      <c r="X29" s="1077"/>
      <c r="Y29" s="3180"/>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80"/>
      <c r="Q30" s="1079"/>
      <c r="R30" s="1075"/>
      <c r="S30" s="1076"/>
      <c r="T30" s="1075"/>
      <c r="U30" s="1076"/>
      <c r="V30" s="1075"/>
      <c r="W30" s="1076"/>
      <c r="X30" s="1077"/>
      <c r="Y30" s="3180"/>
      <c r="Z30" s="1091"/>
      <c r="AA30" s="1092">
        <v>1</v>
      </c>
      <c r="AB30" s="1092">
        <v>1</v>
      </c>
      <c r="AC30" s="1092">
        <v>1</v>
      </c>
    </row>
    <row r="31" spans="1:29" ht="15">
      <c r="A31" s="922"/>
      <c r="B31" s="949" t="s">
        <v>689</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80"/>
      <c r="Q31" s="661" t="str">
        <f t="shared" si="8"/>
        <v>临街状况</v>
      </c>
      <c r="R31" s="1080" t="s">
        <v>951</v>
      </c>
      <c r="S31" s="1081">
        <f t="shared" ref="S31:S45" si="10">F31</f>
        <v>100</v>
      </c>
      <c r="T31" s="1080" t="s">
        <v>951</v>
      </c>
      <c r="U31" s="1081">
        <f t="shared" ref="U31:U45" si="11">H31</f>
        <v>100</v>
      </c>
      <c r="V31" s="1080" t="s">
        <v>951</v>
      </c>
      <c r="W31" s="1081">
        <f t="shared" ref="W31:W45" si="12">J31</f>
        <v>100</v>
      </c>
      <c r="X31" s="1074"/>
      <c r="Y31" s="3180"/>
      <c r="Z31" s="1073" t="str">
        <f t="shared" ref="Z31:Z45" si="13">Q31</f>
        <v>临街状况</v>
      </c>
      <c r="AA31" s="1092">
        <f t="shared" si="3"/>
        <v>1</v>
      </c>
      <c r="AB31" s="1092">
        <f t="shared" si="4"/>
        <v>1</v>
      </c>
      <c r="AC31" s="1092">
        <f t="shared" si="5"/>
        <v>1</v>
      </c>
    </row>
    <row r="32" spans="1:29" ht="27">
      <c r="A32" s="922"/>
      <c r="B32" s="954" t="s">
        <v>685</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80"/>
      <c r="Q32" s="661" t="str">
        <f t="shared" si="8"/>
        <v>毗邻道路的类型与等级</v>
      </c>
      <c r="R32" s="1080" t="s">
        <v>951</v>
      </c>
      <c r="S32" s="1081">
        <f t="shared" si="10"/>
        <v>100</v>
      </c>
      <c r="T32" s="1080" t="s">
        <v>951</v>
      </c>
      <c r="U32" s="1081">
        <f t="shared" si="11"/>
        <v>100</v>
      </c>
      <c r="V32" s="1080" t="s">
        <v>951</v>
      </c>
      <c r="W32" s="1081">
        <f t="shared" si="12"/>
        <v>100</v>
      </c>
      <c r="X32" s="1074"/>
      <c r="Y32" s="3180"/>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80"/>
      <c r="Q33" s="661"/>
      <c r="R33" s="1080"/>
      <c r="S33" s="1081"/>
      <c r="T33" s="1080"/>
      <c r="U33" s="1081"/>
      <c r="V33" s="1080"/>
      <c r="W33" s="1081"/>
      <c r="X33" s="1074"/>
      <c r="Y33" s="3180"/>
      <c r="Z33" s="1073"/>
      <c r="AA33" s="1092">
        <v>1</v>
      </c>
      <c r="AB33" s="1092">
        <v>1</v>
      </c>
      <c r="AC33" s="1092">
        <v>1</v>
      </c>
    </row>
    <row r="34" spans="1:29" ht="15">
      <c r="A34" s="922"/>
      <c r="B34" s="917" t="s">
        <v>690</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80"/>
      <c r="Q34" s="661" t="str">
        <f t="shared" si="8"/>
        <v>土地级别</v>
      </c>
      <c r="R34" s="1080" t="s">
        <v>951</v>
      </c>
      <c r="S34" s="1081">
        <f t="shared" si="10"/>
        <v>100</v>
      </c>
      <c r="T34" s="1080" t="s">
        <v>951</v>
      </c>
      <c r="U34" s="1081">
        <f t="shared" si="11"/>
        <v>100</v>
      </c>
      <c r="V34" s="1080" t="s">
        <v>951</v>
      </c>
      <c r="W34" s="1081">
        <f t="shared" si="12"/>
        <v>100</v>
      </c>
      <c r="X34" s="1074"/>
      <c r="Y34" s="3180"/>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80"/>
      <c r="Q35" s="661">
        <f t="shared" si="8"/>
        <v>111</v>
      </c>
      <c r="R35" s="1080" t="s">
        <v>951</v>
      </c>
      <c r="S35" s="1081">
        <f t="shared" si="10"/>
        <v>100</v>
      </c>
      <c r="T35" s="1080" t="s">
        <v>951</v>
      </c>
      <c r="U35" s="1081">
        <f t="shared" si="11"/>
        <v>100</v>
      </c>
      <c r="V35" s="1080" t="s">
        <v>951</v>
      </c>
      <c r="W35" s="1081">
        <f t="shared" si="12"/>
        <v>100</v>
      </c>
      <c r="X35" s="1074"/>
      <c r="Y35" s="3180"/>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1" t="s">
        <v>962</v>
      </c>
      <c r="Q36" s="661">
        <f t="shared" si="8"/>
        <v>111</v>
      </c>
      <c r="R36" s="1080" t="s">
        <v>951</v>
      </c>
      <c r="S36" s="1081">
        <f t="shared" si="10"/>
        <v>100</v>
      </c>
      <c r="T36" s="1080" t="s">
        <v>951</v>
      </c>
      <c r="U36" s="1081">
        <f t="shared" si="11"/>
        <v>100</v>
      </c>
      <c r="V36" s="1080" t="s">
        <v>951</v>
      </c>
      <c r="W36" s="1081">
        <f t="shared" si="12"/>
        <v>100</v>
      </c>
      <c r="X36" s="1074"/>
      <c r="Y36" s="3182" t="s">
        <v>962</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2"/>
      <c r="Q37" s="661">
        <f t="shared" si="8"/>
        <v>111</v>
      </c>
      <c r="R37" s="1082" t="s">
        <v>951</v>
      </c>
      <c r="S37" s="1083">
        <f t="shared" si="10"/>
        <v>100</v>
      </c>
      <c r="T37" s="1082" t="s">
        <v>951</v>
      </c>
      <c r="U37" s="1083">
        <f t="shared" si="11"/>
        <v>100</v>
      </c>
      <c r="V37" s="1082" t="s">
        <v>951</v>
      </c>
      <c r="W37" s="1083">
        <f t="shared" si="12"/>
        <v>100</v>
      </c>
      <c r="X37" s="1084"/>
      <c r="Y37" s="3182"/>
      <c r="Z37" s="1093">
        <f t="shared" si="13"/>
        <v>111</v>
      </c>
      <c r="AA37" s="1092">
        <f t="shared" si="3"/>
        <v>1</v>
      </c>
      <c r="AB37" s="1092">
        <f t="shared" si="4"/>
        <v>1</v>
      </c>
      <c r="AC37" s="1092">
        <f t="shared" si="5"/>
        <v>1</v>
      </c>
    </row>
    <row r="38" spans="1:29" ht="15">
      <c r="A38" s="973" t="s">
        <v>963</v>
      </c>
      <c r="B38" s="949" t="s">
        <v>964</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2"/>
      <c r="Q38" s="661" t="str">
        <f t="shared" si="8"/>
        <v>宗地面积</v>
      </c>
      <c r="R38" s="1080" t="s">
        <v>951</v>
      </c>
      <c r="S38" s="1081" t="e">
        <f t="shared" si="10"/>
        <v>#N/A</v>
      </c>
      <c r="T38" s="1080" t="s">
        <v>951</v>
      </c>
      <c r="U38" s="1081" t="e">
        <f t="shared" si="11"/>
        <v>#N/A</v>
      </c>
      <c r="V38" s="1080" t="s">
        <v>951</v>
      </c>
      <c r="W38" s="1081" t="e">
        <f t="shared" si="12"/>
        <v>#N/A</v>
      </c>
      <c r="X38" s="1074"/>
      <c r="Y38" s="3182"/>
      <c r="Z38" s="1073" t="str">
        <f t="shared" si="13"/>
        <v>宗地面积</v>
      </c>
      <c r="AA38" s="1092" t="e">
        <f t="shared" si="3"/>
        <v>#N/A</v>
      </c>
      <c r="AB38" s="1092" t="e">
        <f t="shared" si="4"/>
        <v>#N/A</v>
      </c>
      <c r="AC38" s="1092" t="e">
        <f t="shared" si="5"/>
        <v>#N/A</v>
      </c>
    </row>
    <row r="39" spans="1:29" ht="15">
      <c r="A39" s="973"/>
      <c r="B39" s="917" t="s">
        <v>965</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2"/>
      <c r="Q39" s="661" t="str">
        <f t="shared" ref="Q39:Q45" si="14">B39</f>
        <v>宗地形状</v>
      </c>
      <c r="R39" s="1080" t="s">
        <v>951</v>
      </c>
      <c r="S39" s="1081">
        <f t="shared" si="10"/>
        <v>100</v>
      </c>
      <c r="T39" s="1080" t="s">
        <v>951</v>
      </c>
      <c r="U39" s="1081">
        <f t="shared" si="11"/>
        <v>100</v>
      </c>
      <c r="V39" s="1080" t="s">
        <v>951</v>
      </c>
      <c r="W39" s="1081">
        <f t="shared" si="12"/>
        <v>100</v>
      </c>
      <c r="X39" s="1074"/>
      <c r="Y39" s="3182"/>
      <c r="Z39" s="1073" t="str">
        <f t="shared" si="13"/>
        <v>宗地形状</v>
      </c>
      <c r="AA39" s="1092">
        <f t="shared" si="3"/>
        <v>1</v>
      </c>
      <c r="AB39" s="1092">
        <f t="shared" si="4"/>
        <v>1</v>
      </c>
      <c r="AC39" s="1092">
        <f t="shared" si="5"/>
        <v>1</v>
      </c>
    </row>
    <row r="40" spans="1:29" ht="15">
      <c r="A40" s="973"/>
      <c r="B40" s="917" t="s">
        <v>1531</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2"/>
      <c r="Q40" s="661" t="str">
        <f t="shared" si="14"/>
        <v>临街宽度及深度</v>
      </c>
      <c r="R40" s="1080" t="s">
        <v>951</v>
      </c>
      <c r="S40" s="1081">
        <f t="shared" si="10"/>
        <v>100</v>
      </c>
      <c r="T40" s="1080" t="s">
        <v>951</v>
      </c>
      <c r="U40" s="1081">
        <f t="shared" si="11"/>
        <v>100</v>
      </c>
      <c r="V40" s="1080" t="s">
        <v>951</v>
      </c>
      <c r="W40" s="1081">
        <f t="shared" si="12"/>
        <v>100</v>
      </c>
      <c r="X40" s="1074"/>
      <c r="Y40" s="3182"/>
      <c r="Z40" s="1073" t="str">
        <f t="shared" si="13"/>
        <v>临街宽度及深度</v>
      </c>
      <c r="AA40" s="1092">
        <f t="shared" si="3"/>
        <v>1</v>
      </c>
      <c r="AB40" s="1092">
        <f t="shared" si="4"/>
        <v>1</v>
      </c>
      <c r="AC40" s="1092">
        <f t="shared" si="5"/>
        <v>1</v>
      </c>
    </row>
    <row r="41" spans="1:29" s="878" customFormat="1" ht="15">
      <c r="A41" s="977"/>
      <c r="B41" s="917" t="s">
        <v>967</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2"/>
      <c r="Q41" s="661" t="str">
        <f t="shared" si="14"/>
        <v>宗地开发程度</v>
      </c>
      <c r="R41" s="1075" t="s">
        <v>951</v>
      </c>
      <c r="S41" s="1076">
        <f t="shared" si="10"/>
        <v>100</v>
      </c>
      <c r="T41" s="1075" t="s">
        <v>951</v>
      </c>
      <c r="U41" s="1076">
        <f t="shared" si="11"/>
        <v>100</v>
      </c>
      <c r="V41" s="1075" t="s">
        <v>951</v>
      </c>
      <c r="W41" s="1076">
        <f t="shared" si="12"/>
        <v>100</v>
      </c>
      <c r="X41" s="1077"/>
      <c r="Y41" s="3182"/>
      <c r="Z41" s="1091" t="str">
        <f t="shared" si="13"/>
        <v>宗地开发程度</v>
      </c>
      <c r="AA41" s="1090">
        <f t="shared" si="3"/>
        <v>1</v>
      </c>
      <c r="AB41" s="1090">
        <f t="shared" si="4"/>
        <v>1</v>
      </c>
      <c r="AC41" s="1090">
        <f t="shared" si="5"/>
        <v>1</v>
      </c>
    </row>
    <row r="42" spans="1:29" ht="15">
      <c r="A42" s="973"/>
      <c r="B42" s="917" t="s">
        <v>968</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2" t="s">
        <v>962</v>
      </c>
      <c r="Q42" s="661" t="str">
        <f t="shared" si="14"/>
        <v>工程地质条件</v>
      </c>
      <c r="R42" s="1080" t="s">
        <v>951</v>
      </c>
      <c r="S42" s="1081">
        <f t="shared" si="10"/>
        <v>100</v>
      </c>
      <c r="T42" s="1080" t="s">
        <v>951</v>
      </c>
      <c r="U42" s="1081">
        <f t="shared" si="11"/>
        <v>100</v>
      </c>
      <c r="V42" s="1080" t="s">
        <v>951</v>
      </c>
      <c r="W42" s="1081">
        <f t="shared" si="12"/>
        <v>100</v>
      </c>
      <c r="X42" s="1074"/>
      <c r="Y42" s="3182" t="s">
        <v>962</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2"/>
      <c r="Q43" s="661">
        <f t="shared" si="14"/>
        <v>111</v>
      </c>
      <c r="R43" s="1080" t="s">
        <v>951</v>
      </c>
      <c r="S43" s="1081">
        <f t="shared" si="10"/>
        <v>100</v>
      </c>
      <c r="T43" s="1080" t="s">
        <v>951</v>
      </c>
      <c r="U43" s="1081">
        <f t="shared" si="11"/>
        <v>100</v>
      </c>
      <c r="V43" s="1080" t="s">
        <v>951</v>
      </c>
      <c r="W43" s="1081">
        <f t="shared" si="12"/>
        <v>100</v>
      </c>
      <c r="X43" s="1074"/>
      <c r="Y43" s="3182"/>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2"/>
      <c r="Q44" s="661">
        <f t="shared" si="14"/>
        <v>111</v>
      </c>
      <c r="R44" s="1080" t="s">
        <v>951</v>
      </c>
      <c r="S44" s="1081">
        <f t="shared" si="10"/>
        <v>100</v>
      </c>
      <c r="T44" s="1080" t="s">
        <v>951</v>
      </c>
      <c r="U44" s="1081">
        <f t="shared" si="11"/>
        <v>100</v>
      </c>
      <c r="V44" s="1080" t="s">
        <v>951</v>
      </c>
      <c r="W44" s="1081">
        <f t="shared" si="12"/>
        <v>100</v>
      </c>
      <c r="X44" s="1074"/>
      <c r="Y44" s="3182"/>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2"/>
      <c r="Q45" s="661">
        <f t="shared" si="14"/>
        <v>111</v>
      </c>
      <c r="R45" s="1082" t="s">
        <v>951</v>
      </c>
      <c r="S45" s="1083">
        <f t="shared" si="10"/>
        <v>100</v>
      </c>
      <c r="T45" s="1082" t="s">
        <v>951</v>
      </c>
      <c r="U45" s="1083">
        <f t="shared" si="11"/>
        <v>100</v>
      </c>
      <c r="V45" s="1082" t="s">
        <v>951</v>
      </c>
      <c r="W45" s="1083">
        <f t="shared" si="12"/>
        <v>100</v>
      </c>
      <c r="X45" s="1084"/>
      <c r="Y45" s="3182"/>
      <c r="Z45" s="1093">
        <f t="shared" si="13"/>
        <v>111</v>
      </c>
      <c r="AA45" s="1092">
        <f t="shared" si="3"/>
        <v>1</v>
      </c>
      <c r="AB45" s="1092">
        <f t="shared" si="4"/>
        <v>1</v>
      </c>
      <c r="AC45" s="1092">
        <f t="shared" si="5"/>
        <v>1</v>
      </c>
    </row>
    <row r="46" spans="1:29" ht="15">
      <c r="A46" s="982" t="s">
        <v>969</v>
      </c>
      <c r="B46" s="983" t="s">
        <v>1532</v>
      </c>
      <c r="C46" s="984" t="s">
        <v>124</v>
      </c>
      <c r="D46" s="985"/>
      <c r="E46" s="986"/>
      <c r="F46" s="987"/>
      <c r="G46" s="988"/>
      <c r="H46" s="989"/>
      <c r="I46" s="986"/>
      <c r="J46" s="989"/>
      <c r="K46" s="1057"/>
      <c r="L46" s="1058"/>
      <c r="M46" s="999"/>
      <c r="N46" s="1034"/>
      <c r="O46" s="999"/>
      <c r="P46" s="3178" t="str">
        <f>A46</f>
        <v>成交单价</v>
      </c>
      <c r="Q46" s="3178"/>
      <c r="R46" s="3176">
        <f>E46</f>
        <v>0</v>
      </c>
      <c r="S46" s="3176"/>
      <c r="T46" s="3176">
        <f>G46</f>
        <v>0</v>
      </c>
      <c r="U46" s="3176"/>
      <c r="V46" s="3176">
        <f>I46</f>
        <v>0</v>
      </c>
      <c r="W46" s="3176"/>
      <c r="X46" s="1085"/>
      <c r="Y46" s="1094"/>
      <c r="Z46" s="1085"/>
      <c r="AA46" s="1085"/>
      <c r="AB46" s="1085"/>
      <c r="AC46" s="1085"/>
    </row>
    <row r="47" spans="1:29" ht="15">
      <c r="A47" s="990" t="s">
        <v>971</v>
      </c>
      <c r="B47" s="991"/>
      <c r="C47" s="992" t="e">
        <f>R48</f>
        <v>#DIV/0!</v>
      </c>
      <c r="D47" s="993"/>
      <c r="E47" s="992" t="e">
        <f>R47</f>
        <v>#DIV/0!</v>
      </c>
      <c r="F47" s="994"/>
      <c r="G47" s="995" t="e">
        <f>T47</f>
        <v>#DIV/0!</v>
      </c>
      <c r="H47" s="993"/>
      <c r="I47" s="992" t="e">
        <f>V47</f>
        <v>#DIV/0!</v>
      </c>
      <c r="J47" s="993"/>
      <c r="K47" s="1059"/>
      <c r="L47" s="1058"/>
      <c r="M47" s="999"/>
      <c r="N47" s="999"/>
      <c r="O47" s="999"/>
      <c r="P47" s="3178" t="str">
        <f>A47</f>
        <v>比较价值（元/平方米）</v>
      </c>
      <c r="Q47" s="3178"/>
      <c r="R47" s="3186" t="e">
        <f>ROUND(PRODUCT(R46,AA7:AA45),0)</f>
        <v>#DIV/0!</v>
      </c>
      <c r="S47" s="3186"/>
      <c r="T47" s="3186" t="e">
        <f>ROUND(PRODUCT(T46,AB7:AB45),0)</f>
        <v>#DIV/0!</v>
      </c>
      <c r="U47" s="3186"/>
      <c r="V47" s="3186" t="e">
        <f>ROUND(PRODUCT(V46,AC7:AC45),0)</f>
        <v>#DIV/0!</v>
      </c>
      <c r="W47" s="3186"/>
      <c r="X47" s="1085"/>
      <c r="Y47" s="1085"/>
      <c r="Z47" s="1085"/>
      <c r="AA47" s="1085"/>
      <c r="AB47" s="1085"/>
      <c r="AC47" s="1085"/>
    </row>
    <row r="48" spans="1:29" ht="15">
      <c r="A48" s="996" t="s">
        <v>1533</v>
      </c>
      <c r="B48" s="997"/>
      <c r="C48" s="998" t="e">
        <f>R48</f>
        <v>#DIV/0!</v>
      </c>
      <c r="D48" s="998"/>
      <c r="E48" s="998"/>
      <c r="F48" s="998"/>
      <c r="G48" s="998"/>
      <c r="H48" s="998"/>
      <c r="I48" s="998"/>
      <c r="J48" s="998"/>
      <c r="K48" s="1060"/>
      <c r="L48" s="1058"/>
      <c r="M48" s="999"/>
      <c r="N48" s="999"/>
      <c r="O48" s="999"/>
      <c r="P48" s="3187" t="str">
        <f>A48</f>
        <v>估价对象XX用房的比较价值（楼面单价，元/平方米）</v>
      </c>
      <c r="Q48" s="3188"/>
      <c r="R48" s="3189" t="e">
        <f>ROUND(AVERAGE(R47:V47),0)</f>
        <v>#DIV/0!</v>
      </c>
      <c r="S48" s="3189"/>
      <c r="T48" s="3189"/>
      <c r="U48" s="3189"/>
      <c r="V48" s="3189"/>
      <c r="W48" s="3189"/>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973</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974</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975</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976</v>
      </c>
      <c r="B55" s="1009" t="s">
        <v>977</v>
      </c>
      <c r="C55" s="1010" t="s">
        <v>978</v>
      </c>
      <c r="D55" s="1011" t="s">
        <v>979</v>
      </c>
      <c r="E55" s="1012" t="s">
        <v>980</v>
      </c>
      <c r="F55" s="1013" t="s">
        <v>981</v>
      </c>
      <c r="G55" s="3183" t="s">
        <v>982</v>
      </c>
      <c r="H55" s="3184"/>
      <c r="I55" s="1066" t="s">
        <v>1534</v>
      </c>
      <c r="J55" s="1067" t="str">
        <f>项目基本情况!F35</f>
        <v>河北省保定市</v>
      </c>
      <c r="K55" s="1068" t="s">
        <v>984</v>
      </c>
      <c r="L55" s="1063"/>
      <c r="M55" s="999"/>
      <c r="N55" s="999"/>
      <c r="O55" s="999"/>
    </row>
    <row r="56" spans="1:15" s="882" customFormat="1">
      <c r="A56" s="1014" t="s">
        <v>985</v>
      </c>
      <c r="B56" s="1015" t="e">
        <f>C48</f>
        <v>#DIV/0!</v>
      </c>
      <c r="C56" s="1016">
        <v>1</v>
      </c>
      <c r="D56" s="1017">
        <v>1</v>
      </c>
      <c r="E56" s="1016">
        <f>'数据-汇总表'!E8+'数据-汇总表'!E9</f>
        <v>17987.810000000001</v>
      </c>
      <c r="F56" s="1018" t="e">
        <f t="shared" ref="F56:F65" si="15">ROUND(B56*E56/10000,0)</f>
        <v>#DIV/0!</v>
      </c>
      <c r="G56" s="3185"/>
      <c r="H56" s="3178"/>
      <c r="I56" s="1069">
        <v>1</v>
      </c>
      <c r="J56" s="1070">
        <v>1</v>
      </c>
      <c r="K56" s="1004"/>
      <c r="L56" s="1071"/>
      <c r="M56" s="1071"/>
      <c r="N56" s="1071"/>
      <c r="O56" s="1071"/>
    </row>
    <row r="57" spans="1:15" s="882" customFormat="1">
      <c r="A57" s="1019" t="s">
        <v>986</v>
      </c>
      <c r="B57" s="165" t="e">
        <f>ROUND($C$48*C57*D57,0)</f>
        <v>#DIV/0!</v>
      </c>
      <c r="C57" s="606">
        <f t="shared" ref="C57:C65" si="16">IF($C$55="北京市系数",I57,J57)</f>
        <v>0</v>
      </c>
      <c r="D57" s="1020">
        <v>0.25</v>
      </c>
      <c r="E57" s="1021"/>
      <c r="F57" s="1018" t="e">
        <f t="shared" si="15"/>
        <v>#DIV/0!</v>
      </c>
      <c r="G57" s="3177" t="s">
        <v>987</v>
      </c>
      <c r="H57" s="1023">
        <f>项目基本情况!B37</f>
        <v>0</v>
      </c>
      <c r="I57" s="1069">
        <f>SUMIF(修正!A45:A56,H57,修正!B45:B56)</f>
        <v>0</v>
      </c>
      <c r="J57" s="1072"/>
      <c r="K57" s="999"/>
      <c r="L57" s="1071"/>
      <c r="M57" s="1071"/>
      <c r="N57" s="1071"/>
      <c r="O57" s="1071"/>
    </row>
    <row r="58" spans="1:15" s="882" customFormat="1">
      <c r="A58" s="1019" t="s">
        <v>988</v>
      </c>
      <c r="B58" s="165" t="e">
        <f t="shared" ref="B58:B65" si="17">ROUND($C$48*C58*D58,0)</f>
        <v>#DIV/0!</v>
      </c>
      <c r="C58" s="606">
        <f t="shared" si="16"/>
        <v>0</v>
      </c>
      <c r="D58" s="1020">
        <v>0.25</v>
      </c>
      <c r="E58" s="1021"/>
      <c r="F58" s="1018" t="e">
        <f t="shared" si="15"/>
        <v>#DIV/0!</v>
      </c>
      <c r="G58" s="3177"/>
      <c r="H58" s="1023">
        <f>项目基本情况!B37</f>
        <v>0</v>
      </c>
      <c r="I58" s="1069">
        <f>SUMIF(修正!A45:A56,H58,修正!C45:C56)</f>
        <v>0</v>
      </c>
      <c r="J58" s="1072"/>
      <c r="K58" s="1004"/>
      <c r="L58" s="1071"/>
      <c r="M58" s="1071"/>
      <c r="N58" s="1071"/>
      <c r="O58" s="1071"/>
    </row>
    <row r="59" spans="1:15" s="882" customFormat="1">
      <c r="A59" s="1019" t="s">
        <v>989</v>
      </c>
      <c r="B59" s="165" t="e">
        <f t="shared" si="17"/>
        <v>#DIV/0!</v>
      </c>
      <c r="C59" s="606">
        <f t="shared" si="16"/>
        <v>0</v>
      </c>
      <c r="D59" s="1020">
        <v>0.25</v>
      </c>
      <c r="E59" s="1021"/>
      <c r="F59" s="1018" t="e">
        <f t="shared" si="15"/>
        <v>#DIV/0!</v>
      </c>
      <c r="G59" s="3177"/>
      <c r="H59" s="1023">
        <f>项目基本情况!B37</f>
        <v>0</v>
      </c>
      <c r="I59" s="1069">
        <f>SUMIF(修正!A45:A56,H59,修正!D45:D56)</f>
        <v>0</v>
      </c>
      <c r="J59" s="1072"/>
      <c r="K59" s="999"/>
      <c r="L59" s="1071"/>
      <c r="M59" s="1071"/>
      <c r="N59" s="1071"/>
      <c r="O59" s="1071"/>
    </row>
    <row r="60" spans="1:15" s="882" customFormat="1">
      <c r="A60" s="1019" t="s">
        <v>990</v>
      </c>
      <c r="B60" s="165" t="e">
        <f t="shared" si="17"/>
        <v>#DIV/0!</v>
      </c>
      <c r="C60" s="606">
        <f t="shared" si="16"/>
        <v>0</v>
      </c>
      <c r="D60" s="1020">
        <v>0.25</v>
      </c>
      <c r="E60" s="1021"/>
      <c r="F60" s="1018" t="e">
        <f t="shared" si="15"/>
        <v>#DIV/0!</v>
      </c>
      <c r="G60" s="3177"/>
      <c r="H60" s="1023">
        <f>项目基本情况!B37</f>
        <v>0</v>
      </c>
      <c r="I60" s="1069">
        <f>SUMIF(修正!A45:A56,H60,修正!E45:E56)</f>
        <v>0</v>
      </c>
      <c r="J60" s="1072"/>
      <c r="K60" s="1004"/>
      <c r="L60" s="1071"/>
      <c r="M60" s="1071"/>
      <c r="N60" s="1071"/>
      <c r="O60" s="1071"/>
    </row>
    <row r="61" spans="1:15" s="882" customFormat="1">
      <c r="A61" s="1019" t="s">
        <v>991</v>
      </c>
      <c r="B61" s="165" t="e">
        <f t="shared" si="17"/>
        <v>#DIV/0!</v>
      </c>
      <c r="C61" s="606">
        <f t="shared" si="16"/>
        <v>0</v>
      </c>
      <c r="D61" s="1020">
        <v>0.25</v>
      </c>
      <c r="E61" s="164">
        <f>'数据-汇总表'!E11</f>
        <v>0</v>
      </c>
      <c r="F61" s="1018" t="e">
        <f t="shared" si="15"/>
        <v>#DIV/0!</v>
      </c>
      <c r="G61" s="1022" t="s">
        <v>992</v>
      </c>
      <c r="H61" s="1023">
        <f>项目基本情况!C37</f>
        <v>0</v>
      </c>
      <c r="I61" s="1069">
        <f>SUMIF(修正!A45:A56,H61,修正!F45:F56)</f>
        <v>0</v>
      </c>
      <c r="J61" s="1072"/>
      <c r="K61" s="999"/>
      <c r="L61" s="1071"/>
      <c r="M61" s="1071"/>
      <c r="N61" s="1071"/>
      <c r="O61" s="1071"/>
    </row>
    <row r="62" spans="1:15" s="882" customFormat="1">
      <c r="A62" s="1019" t="s">
        <v>993</v>
      </c>
      <c r="B62" s="165" t="e">
        <f t="shared" si="17"/>
        <v>#DIV/0!</v>
      </c>
      <c r="C62" s="606">
        <f t="shared" si="16"/>
        <v>0</v>
      </c>
      <c r="D62" s="1020">
        <v>0.25</v>
      </c>
      <c r="E62" s="164">
        <f>'数据-汇总表'!E12</f>
        <v>0</v>
      </c>
      <c r="F62" s="1018" t="e">
        <f t="shared" si="15"/>
        <v>#DIV/0!</v>
      </c>
      <c r="G62" s="1024" t="s">
        <v>994</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995</v>
      </c>
      <c r="B63" s="165" t="e">
        <f t="shared" si="17"/>
        <v>#DIV/0!</v>
      </c>
      <c r="C63" s="606">
        <f t="shared" si="16"/>
        <v>0</v>
      </c>
      <c r="D63" s="1020">
        <v>0.25</v>
      </c>
      <c r="E63" s="164">
        <f>'数据-汇总表'!E13</f>
        <v>0</v>
      </c>
      <c r="F63" s="1018" t="e">
        <f t="shared" si="15"/>
        <v>#DIV/0!</v>
      </c>
      <c r="G63" s="1024" t="s">
        <v>996</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997</v>
      </c>
      <c r="B64" s="165" t="e">
        <f t="shared" si="17"/>
        <v>#DIV/0!</v>
      </c>
      <c r="C64" s="606">
        <f t="shared" si="16"/>
        <v>0</v>
      </c>
      <c r="D64" s="1020">
        <v>0.25</v>
      </c>
      <c r="E64" s="164">
        <f>'数据-汇总表'!E14</f>
        <v>0</v>
      </c>
      <c r="F64" s="1018" t="e">
        <f t="shared" si="15"/>
        <v>#DIV/0!</v>
      </c>
      <c r="G64" s="1022" t="s">
        <v>987</v>
      </c>
      <c r="H64" s="1023">
        <f>项目基本情况!B37</f>
        <v>0</v>
      </c>
      <c r="I64" s="1069">
        <f>SUMIF(修正!A45:A56,H64,修正!H45:H56)</f>
        <v>0</v>
      </c>
      <c r="J64" s="1072"/>
      <c r="K64" s="1004"/>
      <c r="L64" s="1071"/>
      <c r="M64" s="1071"/>
      <c r="N64" s="1071"/>
      <c r="O64" s="1071"/>
    </row>
    <row r="65" spans="1:17" s="882" customFormat="1">
      <c r="A65" s="1019" t="s">
        <v>998</v>
      </c>
      <c r="B65" s="165" t="e">
        <f t="shared" si="17"/>
        <v>#DIV/0!</v>
      </c>
      <c r="C65" s="606">
        <f t="shared" si="16"/>
        <v>0</v>
      </c>
      <c r="D65" s="1020">
        <v>0.25</v>
      </c>
      <c r="E65" s="164">
        <f>'数据-汇总表'!E15</f>
        <v>0</v>
      </c>
      <c r="F65" s="1018" t="e">
        <f t="shared" si="15"/>
        <v>#DIV/0!</v>
      </c>
      <c r="G65" s="1095" t="s">
        <v>992</v>
      </c>
      <c r="H65" s="1096">
        <f>项目基本情况!C37</f>
        <v>0</v>
      </c>
      <c r="I65" s="1158">
        <f>SUMIF(修正!A45:A56,H65,修正!H45:H56)</f>
        <v>0</v>
      </c>
      <c r="J65" s="1159"/>
      <c r="K65" s="999"/>
      <c r="L65" s="1071"/>
      <c r="M65" s="1071"/>
      <c r="N65" s="1071"/>
      <c r="O65" s="1071"/>
    </row>
    <row r="66" spans="1:17" s="882" customFormat="1" ht="12.75">
      <c r="A66" s="1097" t="s">
        <v>999</v>
      </c>
      <c r="B66" s="1098" t="s">
        <v>1000</v>
      </c>
      <c r="C66" s="1098" t="s">
        <v>1000</v>
      </c>
      <c r="D66" s="1098" t="s">
        <v>1000</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1001</v>
      </c>
      <c r="B69" s="1085"/>
      <c r="C69" s="1103"/>
      <c r="D69" s="1103"/>
      <c r="E69" s="1103"/>
      <c r="F69" s="1104"/>
      <c r="G69" s="1104"/>
      <c r="H69" s="1103"/>
      <c r="I69" s="1103"/>
      <c r="J69" s="1161"/>
      <c r="K69" s="1162"/>
      <c r="L69" s="1163"/>
      <c r="M69" s="1161"/>
      <c r="N69" s="1161"/>
      <c r="O69" s="1161"/>
      <c r="P69" s="1164"/>
      <c r="Q69" s="1168"/>
    </row>
    <row r="70" spans="1:17" s="883" customFormat="1" ht="15">
      <c r="A70" s="1105" t="s">
        <v>1002</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1535</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1003</v>
      </c>
      <c r="B72" s="1112"/>
      <c r="C72" s="1113"/>
      <c r="D72" s="1114"/>
      <c r="E72" s="1114"/>
      <c r="F72" s="1114"/>
      <c r="G72" s="1114"/>
      <c r="H72" s="1114"/>
      <c r="I72" s="1114"/>
      <c r="J72" s="1114"/>
      <c r="K72" s="1114"/>
      <c r="L72" s="1114"/>
      <c r="M72" s="1169"/>
      <c r="N72" s="1114"/>
      <c r="O72" s="1170"/>
      <c r="P72" s="1168"/>
      <c r="Q72" s="1168"/>
    </row>
    <row r="73" spans="1:17" s="878" customFormat="1" ht="15">
      <c r="A73" s="1115" t="s">
        <v>952</v>
      </c>
      <c r="B73" s="1116"/>
      <c r="C73" s="1117" t="s">
        <v>953</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1004</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958</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960</v>
      </c>
      <c r="B88" s="1122" t="s">
        <v>667</v>
      </c>
      <c r="C88" s="1143" t="s">
        <v>1005</v>
      </c>
      <c r="D88" s="1143" t="s">
        <v>1006</v>
      </c>
      <c r="E88" s="1143" t="s">
        <v>1007</v>
      </c>
      <c r="F88" s="1143" t="s">
        <v>1008</v>
      </c>
      <c r="G88" s="1143" t="s">
        <v>1009</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671</v>
      </c>
      <c r="C90" s="1145" t="s">
        <v>1005</v>
      </c>
      <c r="D90" s="1145" t="s">
        <v>1006</v>
      </c>
      <c r="E90" s="1145" t="s">
        <v>1007</v>
      </c>
      <c r="F90" s="1145" t="s">
        <v>1008</v>
      </c>
      <c r="G90" s="1145" t="s">
        <v>1009</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675</v>
      </c>
      <c r="C92" s="1145" t="s">
        <v>1005</v>
      </c>
      <c r="D92" s="1145" t="s">
        <v>1006</v>
      </c>
      <c r="E92" s="1145" t="s">
        <v>1007</v>
      </c>
      <c r="F92" s="1145" t="s">
        <v>1008</v>
      </c>
      <c r="G92" s="1145" t="s">
        <v>1009</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673</v>
      </c>
      <c r="C94" s="1145" t="s">
        <v>1005</v>
      </c>
      <c r="D94" s="1145" t="s">
        <v>1006</v>
      </c>
      <c r="E94" s="1145" t="s">
        <v>1007</v>
      </c>
      <c r="F94" s="1145" t="s">
        <v>1008</v>
      </c>
      <c r="G94" s="1145" t="s">
        <v>1009</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687</v>
      </c>
      <c r="C96" s="1145" t="s">
        <v>1005</v>
      </c>
      <c r="D96" s="1145" t="s">
        <v>1006</v>
      </c>
      <c r="E96" s="1145" t="s">
        <v>1007</v>
      </c>
      <c r="F96" s="1145" t="s">
        <v>1008</v>
      </c>
      <c r="G96" s="1145" t="s">
        <v>1009</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688</v>
      </c>
      <c r="C98" s="1143" t="s">
        <v>1005</v>
      </c>
      <c r="D98" s="1143" t="s">
        <v>1006</v>
      </c>
      <c r="E98" s="1143" t="s">
        <v>1007</v>
      </c>
      <c r="F98" s="1143" t="s">
        <v>1008</v>
      </c>
      <c r="G98" s="1143" t="s">
        <v>1009</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677</v>
      </c>
      <c r="C100" s="1143" t="s">
        <v>1005</v>
      </c>
      <c r="D100" s="1143" t="s">
        <v>1006</v>
      </c>
      <c r="E100" s="1143" t="s">
        <v>1007</v>
      </c>
      <c r="F100" s="1143" t="s">
        <v>1008</v>
      </c>
      <c r="G100" s="1143" t="s">
        <v>1009</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679</v>
      </c>
      <c r="C102" s="1150" t="s">
        <v>1010</v>
      </c>
      <c r="D102" s="1150" t="s">
        <v>1011</v>
      </c>
      <c r="E102" s="1150" t="s">
        <v>1012</v>
      </c>
      <c r="F102" s="1150" t="s">
        <v>1013</v>
      </c>
      <c r="G102" s="1150" t="s">
        <v>1014</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1015</v>
      </c>
      <c r="D104" s="1127" t="s">
        <v>1016</v>
      </c>
      <c r="E104" s="1127" t="s">
        <v>1017</v>
      </c>
      <c r="F104" s="1127" t="s">
        <v>1018</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685</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690</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963</v>
      </c>
      <c r="B116" s="1122" t="s">
        <v>964</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965</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1531</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967</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968</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1536</v>
      </c>
      <c r="B1" s="145"/>
      <c r="C1" s="148" t="s">
        <v>937</v>
      </c>
      <c r="D1" s="572">
        <f>SUM(D29:D30,D33:D39)</f>
        <v>0</v>
      </c>
      <c r="E1" s="573"/>
      <c r="F1" s="573"/>
      <c r="G1" s="573"/>
      <c r="H1" s="573"/>
      <c r="I1" s="573"/>
      <c r="J1" s="573"/>
      <c r="K1" s="565"/>
      <c r="L1" s="741" t="s">
        <v>1537</v>
      </c>
      <c r="M1" s="742">
        <f>SUMPRODUCT((区片价!B5:B9=I2)*(区片价!C3:F3=E2)*(区片价!C5:F9))</f>
        <v>0</v>
      </c>
      <c r="N1" s="743">
        <f>SUMPRODUCT((因素修正幅度!B5:B9=I2)*(因素修正幅度!C3:F3=E2)*(因素修正幅度!C5:F9))</f>
        <v>0</v>
      </c>
      <c r="O1" s="566"/>
      <c r="P1" s="566"/>
      <c r="Q1" s="565"/>
      <c r="R1" s="817" t="s">
        <v>1538</v>
      </c>
      <c r="S1" s="817" t="s">
        <v>1539</v>
      </c>
      <c r="T1" s="817" t="s">
        <v>1540</v>
      </c>
      <c r="U1" s="817" t="s">
        <v>1541</v>
      </c>
      <c r="V1" s="817" t="s">
        <v>1542</v>
      </c>
      <c r="W1" s="818"/>
      <c r="X1" s="818"/>
      <c r="Y1" s="818"/>
      <c r="Z1" s="818"/>
      <c r="AA1" s="818"/>
      <c r="AB1" s="818"/>
      <c r="AC1" s="826"/>
      <c r="AD1" s="827"/>
      <c r="AE1" s="827"/>
      <c r="AF1" s="827"/>
      <c r="AG1" s="827"/>
      <c r="AH1" s="827"/>
      <c r="AI1" s="827"/>
      <c r="AJ1" s="838"/>
    </row>
    <row r="2" spans="1:36" ht="15.75">
      <c r="A2" s="148" t="s">
        <v>935</v>
      </c>
      <c r="B2" s="152" t="e">
        <f>C26</f>
        <v>#DIV/0!</v>
      </c>
      <c r="C2" s="574" t="s">
        <v>1022</v>
      </c>
      <c r="D2" s="575" t="s">
        <v>1543</v>
      </c>
      <c r="E2" s="576"/>
      <c r="F2" s="575" t="s">
        <v>1544</v>
      </c>
      <c r="G2" s="577">
        <f>IF(E2="商业",项目基本情况!B37,IF(E2="办公",项目基本情况!C37,IF(E2="住宅",项目基本情况!D37,项目基本情况!E37)))</f>
        <v>0</v>
      </c>
      <c r="H2" s="575" t="s">
        <v>1545</v>
      </c>
      <c r="I2" s="577">
        <f>IF(E2="商业",项目基本情况!B38,IF(E2="办公",项目基本情况!C38,IF(E2="住宅",项目基本情况!D38,项目基本情况!E38)))</f>
        <v>0</v>
      </c>
      <c r="J2" s="744"/>
      <c r="K2" s="565"/>
      <c r="L2" s="745" t="s">
        <v>1546</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936</v>
      </c>
      <c r="B3" s="152" t="e">
        <f>ROUND(B2*10000/D1,0)</f>
        <v>#DIV/0!</v>
      </c>
      <c r="C3" s="574" t="s">
        <v>1023</v>
      </c>
      <c r="D3" s="575" t="s">
        <v>1547</v>
      </c>
      <c r="E3" s="578"/>
      <c r="F3" s="579" t="s">
        <v>1548</v>
      </c>
      <c r="G3" s="580">
        <f>IF(F3="宗地容积率",'数据-汇总表'!I4,IF(F3="估价对象容积率",'数据-汇总表'!I6,'数据-汇总表'!I7))</f>
        <v>0.97</v>
      </c>
      <c r="H3" s="581" t="s">
        <v>1549</v>
      </c>
      <c r="I3" s="747"/>
      <c r="J3" s="744" t="s">
        <v>1550</v>
      </c>
      <c r="K3" s="565"/>
      <c r="L3" s="745" t="s">
        <v>1551</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2"/>
      <c r="B4" s="3263"/>
      <c r="C4" s="3263"/>
      <c r="D4" s="3264"/>
      <c r="E4" s="3264"/>
      <c r="F4" s="3264"/>
      <c r="G4" s="3264"/>
      <c r="H4" s="3264"/>
      <c r="I4" s="3264"/>
      <c r="J4" s="3265"/>
      <c r="K4" s="565"/>
      <c r="L4" s="745" t="s">
        <v>1552</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840</v>
      </c>
      <c r="B5" s="583" t="s">
        <v>1553</v>
      </c>
      <c r="C5" s="584" t="e">
        <f>ROUND(IF(E2="商业",IF(F16="增加",C6*C7+C16,C6*C7-C16),IF(E2="住宅",IF(F16="增加",C6*C12+C16,C6*C12-C16),IF(F16="增加",C6+C16,C6-C16))),0)</f>
        <v>#DIV/0!</v>
      </c>
      <c r="D5" s="585" t="e">
        <f>ROUND(IF(F16="增加",C6+C16,C6-C16),0)</f>
        <v>#DIV/0!</v>
      </c>
      <c r="E5" s="585"/>
      <c r="F5" s="586"/>
      <c r="G5" s="587"/>
      <c r="H5" s="587"/>
      <c r="I5" s="587"/>
      <c r="J5" s="748"/>
      <c r="K5" s="749"/>
      <c r="L5" s="745" t="s">
        <v>1554</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1025</v>
      </c>
      <c r="B6" s="589" t="s">
        <v>1555</v>
      </c>
      <c r="C6" s="590">
        <f>SUMIF(L1:L12,G2,M1:M12)</f>
        <v>0</v>
      </c>
      <c r="D6" s="591" t="s">
        <v>1556</v>
      </c>
      <c r="E6" s="592"/>
      <c r="F6" s="592"/>
      <c r="G6" s="593"/>
      <c r="H6" s="593"/>
      <c r="I6" s="593"/>
      <c r="J6" s="750"/>
      <c r="K6" s="751"/>
      <c r="L6" s="745" t="s">
        <v>1557</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0" t="str">
        <f>IF(E2="商业",IF(C8="不临58条商业街","",2),"")</f>
        <v/>
      </c>
      <c r="B7" s="594" t="s">
        <v>1558</v>
      </c>
      <c r="C7" s="595" t="e">
        <f>IF(C8="不临58条商业街",1,ROUND(1+(1.6*E8+1.2*E9+0.8*E10+0.4*E11)*C9,4))</f>
        <v>#DIV/0!</v>
      </c>
      <c r="D7" s="596" t="s">
        <v>1559</v>
      </c>
      <c r="E7" s="597"/>
      <c r="F7" s="598"/>
      <c r="G7" s="599"/>
      <c r="H7" s="599"/>
      <c r="I7" s="599"/>
      <c r="J7" s="752"/>
      <c r="K7" s="751"/>
      <c r="L7" s="745" t="s">
        <v>1560</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1561</v>
      </c>
      <c r="X7" s="821">
        <f>G2</f>
        <v>0</v>
      </c>
      <c r="Y7" s="821" t="s">
        <v>1562</v>
      </c>
      <c r="Z7" s="830">
        <f>G3</f>
        <v>0.97</v>
      </c>
      <c r="AA7" s="818"/>
      <c r="AB7" s="818"/>
      <c r="AC7" s="826"/>
      <c r="AD7" s="827"/>
      <c r="AE7" s="827"/>
      <c r="AF7" s="827"/>
      <c r="AG7" s="827"/>
      <c r="AH7" s="827"/>
      <c r="AI7" s="827"/>
      <c r="AJ7" s="838"/>
    </row>
    <row r="8" spans="1:36" ht="15">
      <c r="A8" s="3271"/>
      <c r="B8" s="581" t="s">
        <v>1563</v>
      </c>
      <c r="C8" s="600"/>
      <c r="D8" s="601" t="s">
        <v>1564</v>
      </c>
      <c r="E8" s="602" t="e">
        <f>ROUND(C11/E7,4)</f>
        <v>#DIV/0!</v>
      </c>
      <c r="F8" s="603" t="s">
        <v>1565</v>
      </c>
      <c r="G8" s="604"/>
      <c r="H8" s="604"/>
      <c r="I8" s="604"/>
      <c r="J8" s="753"/>
      <c r="K8" s="565"/>
      <c r="L8" s="745" t="s">
        <v>1566</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6" t="s">
        <v>1567</v>
      </c>
      <c r="X8" s="3267"/>
      <c r="Y8" s="831" t="s">
        <v>1568</v>
      </c>
      <c r="Z8" s="831" t="s">
        <v>1569</v>
      </c>
      <c r="AA8" s="831" t="s">
        <v>1570</v>
      </c>
      <c r="AB8" s="831" t="s">
        <v>1571</v>
      </c>
      <c r="AC8" s="831" t="s">
        <v>1572</v>
      </c>
      <c r="AD8" s="831" t="s">
        <v>1573</v>
      </c>
      <c r="AE8" s="831" t="s">
        <v>1574</v>
      </c>
      <c r="AF8" s="831" t="s">
        <v>1575</v>
      </c>
      <c r="AG8" s="831" t="s">
        <v>1576</v>
      </c>
      <c r="AH8" s="831" t="s">
        <v>1577</v>
      </c>
      <c r="AI8" s="831" t="s">
        <v>1578</v>
      </c>
      <c r="AJ8" s="831" t="s">
        <v>1579</v>
      </c>
    </row>
    <row r="9" spans="1:36" ht="15">
      <c r="A9" s="3271"/>
      <c r="B9" s="581" t="s">
        <v>1580</v>
      </c>
      <c r="C9" s="605">
        <f>SUMIF(修正!C59:C119,C8,修正!E59:E119)</f>
        <v>0</v>
      </c>
      <c r="D9" s="606" t="s">
        <v>1581</v>
      </c>
      <c r="E9" s="606" t="e">
        <f>ROUND(C11/E7,4)</f>
        <v>#DIV/0!</v>
      </c>
      <c r="F9" s="603" t="s">
        <v>1582</v>
      </c>
      <c r="G9" s="604"/>
      <c r="H9" s="604"/>
      <c r="I9" s="604"/>
      <c r="J9" s="753"/>
      <c r="K9" s="565"/>
      <c r="L9" s="745" t="s">
        <v>1583</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81" t="s">
        <v>1584</v>
      </c>
      <c r="X9" s="822" t="s">
        <v>1585</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1"/>
      <c r="B10" s="581" t="s">
        <v>1586</v>
      </c>
      <c r="C10" s="606">
        <f>SUMIF(修正!C59:C119,C8,修正!F59:F119)</f>
        <v>0</v>
      </c>
      <c r="D10" s="606" t="s">
        <v>1587</v>
      </c>
      <c r="E10" s="606" t="e">
        <f>ROUND(C11/E7,4)</f>
        <v>#DIV/0!</v>
      </c>
      <c r="F10" s="603" t="s">
        <v>1588</v>
      </c>
      <c r="G10" s="604"/>
      <c r="H10" s="604"/>
      <c r="I10" s="604"/>
      <c r="J10" s="753"/>
      <c r="K10" s="565"/>
      <c r="L10" s="745" t="s">
        <v>1589</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81"/>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1"/>
      <c r="B11" s="607" t="s">
        <v>1590</v>
      </c>
      <c r="C11" s="608">
        <f>C10/4</f>
        <v>0</v>
      </c>
      <c r="D11" s="608" t="s">
        <v>1591</v>
      </c>
      <c r="E11" s="608" t="e">
        <f>ROUND(C11/E7,4)</f>
        <v>#DIV/0!</v>
      </c>
      <c r="F11" s="609" t="s">
        <v>1592</v>
      </c>
      <c r="G11" s="610"/>
      <c r="H11" s="610"/>
      <c r="I11" s="610"/>
      <c r="J11" s="754"/>
      <c r="K11" s="565"/>
      <c r="L11" s="745" t="s">
        <v>1593</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81" t="s">
        <v>1594</v>
      </c>
      <c r="X11" s="823" t="s">
        <v>1562</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70" t="s">
        <v>1595</v>
      </c>
      <c r="B12" s="611" t="s">
        <v>1596</v>
      </c>
      <c r="C12" s="595">
        <f>ROUND(C15*D15*E15*F15*G15*H15*I15*J15,4)</f>
        <v>1</v>
      </c>
      <c r="D12" s="612" t="s">
        <v>1597</v>
      </c>
      <c r="E12" s="613"/>
      <c r="F12" s="613"/>
      <c r="G12" s="614"/>
      <c r="H12" s="614"/>
      <c r="I12" s="614"/>
      <c r="J12" s="755"/>
      <c r="K12" s="565"/>
      <c r="L12" s="756" t="s">
        <v>1598</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81"/>
      <c r="X12" s="824" t="s">
        <v>1599</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2"/>
      <c r="B13" s="615" t="s">
        <v>1600</v>
      </c>
      <c r="C13" s="616" t="s">
        <v>1601</v>
      </c>
      <c r="D13" s="617" t="s">
        <v>1602</v>
      </c>
      <c r="E13" s="617" t="s">
        <v>1603</v>
      </c>
      <c r="F13" s="618" t="s">
        <v>1604</v>
      </c>
      <c r="G13" s="619" t="s">
        <v>1605</v>
      </c>
      <c r="H13" s="619" t="s">
        <v>1605</v>
      </c>
      <c r="I13" s="619" t="s">
        <v>1605</v>
      </c>
      <c r="J13" s="758" t="s">
        <v>1605</v>
      </c>
      <c r="K13" s="565"/>
      <c r="L13" s="565"/>
      <c r="M13" s="565"/>
      <c r="N13" s="565"/>
      <c r="O13" s="565"/>
      <c r="P13" s="565"/>
      <c r="Q13" s="565"/>
      <c r="R13" s="817">
        <v>12</v>
      </c>
      <c r="S13" s="819"/>
      <c r="T13" s="817" t="e">
        <f t="shared" si="0"/>
        <v>#DIV/0!</v>
      </c>
      <c r="U13" s="819"/>
      <c r="V13" s="817" t="e">
        <f t="shared" si="1"/>
        <v>#DIV/0!</v>
      </c>
      <c r="W13" s="3281"/>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2"/>
      <c r="B14" s="620"/>
      <c r="C14" s="621"/>
      <c r="D14" s="622"/>
      <c r="E14" s="622"/>
      <c r="F14" s="623"/>
      <c r="G14" s="624" t="s">
        <v>1606</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3"/>
      <c r="B15" s="626" t="s">
        <v>1607</v>
      </c>
      <c r="C15" s="627">
        <f>IF(C14="有",1.1,1)</f>
        <v>1</v>
      </c>
      <c r="D15" s="627">
        <f>IF(D14="有",1.1,1)</f>
        <v>1</v>
      </c>
      <c r="E15" s="627">
        <f>IF(E14="有",1.1,1)</f>
        <v>1</v>
      </c>
      <c r="F15" s="627">
        <f>IF(F14="500米范围内",1.2,IF(F14="500-1000米",1.1,1))</f>
        <v>1</v>
      </c>
      <c r="G15" s="628">
        <v>1</v>
      </c>
      <c r="H15" s="628">
        <v>1</v>
      </c>
      <c r="I15" s="628">
        <v>1</v>
      </c>
      <c r="J15" s="761">
        <v>1</v>
      </c>
      <c r="K15" s="565"/>
      <c r="L15" s="762" t="s">
        <v>1543</v>
      </c>
      <c r="M15" s="601" t="s">
        <v>1608</v>
      </c>
      <c r="N15" s="601" t="s">
        <v>1609</v>
      </c>
      <c r="O15" s="601" t="s">
        <v>1610</v>
      </c>
      <c r="P15" s="763" t="s">
        <v>1611</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70" t="s">
        <v>1612</v>
      </c>
      <c r="B16" s="594" t="s">
        <v>1613</v>
      </c>
      <c r="C16" s="629" t="e">
        <f>ROUND(SUM(G17:J17)/C17,0)</f>
        <v>#DIV/0!</v>
      </c>
      <c r="D16" s="630" t="s">
        <v>1614</v>
      </c>
      <c r="E16" s="631"/>
      <c r="F16" s="632"/>
      <c r="G16" s="633"/>
      <c r="H16" s="633"/>
      <c r="I16" s="633"/>
      <c r="J16" s="764"/>
      <c r="K16" s="565"/>
      <c r="L16" s="765" t="s">
        <v>1615</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1"/>
      <c r="B17" s="634" t="s">
        <v>1616</v>
      </c>
      <c r="C17" s="635">
        <f>SUMPRODUCT((修正!A2:A5=E2)*(修正!B1:M1=G2)*(修正!B2:M5))</f>
        <v>0</v>
      </c>
      <c r="D17" s="636" t="s">
        <v>1617</v>
      </c>
      <c r="E17" s="608" t="str">
        <f>IF(OR(G2="八级",G2="九级",G2="十级",G2="十一级",G2="十二级"),"五通一平","七通一平")</f>
        <v>七通一平</v>
      </c>
      <c r="F17" s="635" t="s">
        <v>1618</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1619</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851</v>
      </c>
      <c r="B18" s="638" t="s">
        <v>1620</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856</v>
      </c>
      <c r="B19" s="638" t="s">
        <v>1621</v>
      </c>
      <c r="C19" s="644" t="e">
        <f>ROUND(IF(H19="按公示增长率计算",SUMPRODUCT((地价!A3:A24=YEAR(G19)&amp;"-"&amp;ROUNDUP(MONTH(G19)/3,0))*(地价!X2:AB2=E2)*(地价!X3:AB24)),IF(H19="地价指数",M20/M19,(1+I19)^O19)),4)</f>
        <v>#DIV/0!</v>
      </c>
      <c r="D19" s="645" t="s">
        <v>1622</v>
      </c>
      <c r="E19" s="646">
        <v>41640</v>
      </c>
      <c r="F19" s="645" t="s">
        <v>1623</v>
      </c>
      <c r="G19" s="647">
        <f>'数据-取费表'!B2</f>
        <v>43531</v>
      </c>
      <c r="H19" s="648" t="s">
        <v>1624</v>
      </c>
      <c r="I19" s="774" t="str">
        <f>IF(H19="季度增幅（自定义）",SUMIF(N21:N24,E2,O21:O24),"")</f>
        <v/>
      </c>
      <c r="J19" s="771"/>
      <c r="K19" s="772"/>
      <c r="L19" s="775" t="s">
        <v>1625</v>
      </c>
      <c r="M19" s="776">
        <f>ROUND(SUMIF(地价!B2:F2,E2,地价!B24:F24),0)</f>
        <v>0</v>
      </c>
      <c r="N19" s="777" t="s">
        <v>1626</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859</v>
      </c>
      <c r="B20" s="650" t="s">
        <v>1627</v>
      </c>
      <c r="C20" s="651" t="e">
        <f>ROUND(POWER(1+G20,J20-I20)*(POWER(1+G20,I20)-1)/(POWER(1+G20,J20)-1),4)</f>
        <v>#DIV/0!</v>
      </c>
      <c r="D20" s="652" t="s">
        <v>1628</v>
      </c>
      <c r="E20" s="653">
        <f ca="1">存贷款利率!D4/100</f>
        <v>4.3499999999999997E-2</v>
      </c>
      <c r="F20" s="652" t="s">
        <v>1619</v>
      </c>
      <c r="G20" s="654">
        <f>SUMIF(M15:P15,E2,M17:P17)</f>
        <v>0</v>
      </c>
      <c r="H20" s="652" t="s">
        <v>1629</v>
      </c>
      <c r="I20" s="780" t="e">
        <f>SUMIF('数据-取费表'!C6:C15,E2,'数据-取费表'!F6:F15)/COUNTIF('数据-取费表'!C6:C15,E2)</f>
        <v>#DIV/0!</v>
      </c>
      <c r="J20" s="781">
        <f>IF(E2="住宅",70,IF(E2="商业",40,50))</f>
        <v>50</v>
      </c>
      <c r="K20" s="772"/>
      <c r="L20" s="782" t="s">
        <v>1630</v>
      </c>
      <c r="M20" s="783">
        <f>ROUND(SUMPRODUCT((地价!A4:A24=YEAR(G19)&amp;"-"&amp;ROUNDUP(MONTH(G19)/3,0))*(地价!B2:F2=E2)*(地价!B4:F24)),0)</f>
        <v>0</v>
      </c>
      <c r="N20" s="784" t="s">
        <v>1631</v>
      </c>
      <c r="O20" s="785" t="s">
        <v>1632</v>
      </c>
      <c r="P20" s="786" t="s">
        <v>1633</v>
      </c>
      <c r="R20" s="825"/>
      <c r="S20" s="825"/>
      <c r="T20" s="707"/>
      <c r="U20" s="707"/>
      <c r="V20" s="707"/>
      <c r="W20" s="565"/>
      <c r="X20" s="565"/>
      <c r="Y20" s="565"/>
      <c r="Z20" s="772"/>
      <c r="AA20" s="836"/>
      <c r="AB20" s="836"/>
      <c r="AC20" s="836"/>
      <c r="AD20" s="836"/>
      <c r="AE20" s="836"/>
      <c r="AF20" s="836"/>
    </row>
    <row r="21" spans="1:37" s="564" customFormat="1" ht="15">
      <c r="A21" s="655" t="s">
        <v>883</v>
      </c>
      <c r="B21" s="656" t="s">
        <v>1634</v>
      </c>
      <c r="C21" s="657">
        <f>IF(B21="容积率修正",IF(G3&lt;=10,D22,J22),C23)</f>
        <v>0</v>
      </c>
      <c r="D21" s="658"/>
      <c r="E21" s="658"/>
      <c r="F21" s="658"/>
      <c r="G21" s="658"/>
      <c r="H21" s="658"/>
      <c r="I21" s="658"/>
      <c r="J21" s="787"/>
      <c r="K21" s="772"/>
      <c r="N21" s="788" t="s">
        <v>1635</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1636</v>
      </c>
      <c r="B22" s="660" t="s">
        <v>1637</v>
      </c>
      <c r="C22" s="661" t="s">
        <v>1638</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1639</v>
      </c>
      <c r="J22" s="791" t="str">
        <f>IF(G3&gt;10,D113,"——")</f>
        <v>——</v>
      </c>
      <c r="K22" s="772"/>
      <c r="N22" s="788" t="s">
        <v>1640</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1641</v>
      </c>
      <c r="B23" s="662" t="s">
        <v>1642</v>
      </c>
      <c r="C23" s="663">
        <f>ROUND(IF(G3&gt;1,IF(I3&lt;7,SUMPRODUCT((B93:B98=I3)*(C92:N92=G2)*(C93:N98)),SUMIF(C92:N92,G2,C100:N100)),IF(I3&lt;7,SUMPRODUCT((B102:B107=I3)*(C92:N92=G2)*(C102:N107)),SUMIF(C92:N92,G2,C109:N109))),4)</f>
        <v>0</v>
      </c>
      <c r="D23" s="625"/>
      <c r="E23" s="625"/>
      <c r="F23" s="664"/>
      <c r="G23" s="665"/>
      <c r="H23" s="666"/>
      <c r="I23" s="792"/>
      <c r="J23" s="793"/>
      <c r="K23" s="565"/>
      <c r="N23" s="788" t="s">
        <v>1643</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1644</v>
      </c>
      <c r="B24" s="638" t="s">
        <v>1645</v>
      </c>
      <c r="C24" s="644">
        <f>SUMIF(A45:A88,E2,B45:B88)</f>
        <v>0</v>
      </c>
      <c r="D24" s="642"/>
      <c r="E24" s="667"/>
      <c r="F24" s="667"/>
      <c r="G24" s="667"/>
      <c r="H24" s="667"/>
      <c r="I24" s="667"/>
      <c r="J24" s="794"/>
      <c r="K24" s="772"/>
      <c r="N24" s="795" t="s">
        <v>1646</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1647</v>
      </c>
      <c r="B25" s="668" t="s">
        <v>1648</v>
      </c>
      <c r="C25" s="669"/>
      <c r="D25" s="599"/>
      <c r="E25" s="599"/>
      <c r="F25" s="670"/>
      <c r="G25" s="599"/>
      <c r="H25" s="599"/>
      <c r="I25" s="599"/>
      <c r="J25" s="752"/>
      <c r="K25" s="565"/>
      <c r="N25" s="798" t="s">
        <v>1649</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1650</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1651</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1652</v>
      </c>
      <c r="C28" s="682" t="s">
        <v>1653</v>
      </c>
      <c r="D28" s="682" t="s">
        <v>503</v>
      </c>
      <c r="E28" s="683" t="s">
        <v>1654</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1655</v>
      </c>
      <c r="C29" s="672" t="e">
        <f>ROUND(C5*C18*C19*C20*C21*C24,0)</f>
        <v>#DIV/0!</v>
      </c>
      <c r="D29" s="687"/>
      <c r="E29" s="688" t="e">
        <f>ROUND(C29*D29/10000,0)</f>
        <v>#DIV/0!</v>
      </c>
      <c r="F29" s="689" t="s">
        <v>1656</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1657</v>
      </c>
      <c r="C30" s="627" t="e">
        <f>ROUND(IF(E2="工业",C29*M39,C29*M38),0)</f>
        <v>#DIV/0!</v>
      </c>
      <c r="D30" s="693"/>
      <c r="E30" s="688" t="e">
        <f>ROUND(C30*D30/10000,0)</f>
        <v>#DIV/0!</v>
      </c>
      <c r="F30" s="694" t="s">
        <v>1658</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1659</v>
      </c>
      <c r="C31" s="698" t="s">
        <v>1660</v>
      </c>
      <c r="D31" s="614"/>
      <c r="E31" s="698"/>
      <c r="F31" s="698"/>
      <c r="G31" s="612" t="s">
        <v>1658</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1653</v>
      </c>
      <c r="D32" s="701" t="s">
        <v>503</v>
      </c>
      <c r="E32" s="701" t="s">
        <v>1654</v>
      </c>
      <c r="F32" s="572" t="s">
        <v>1661</v>
      </c>
      <c r="G32" s="702" t="s">
        <v>1653</v>
      </c>
      <c r="H32" s="702" t="s">
        <v>503</v>
      </c>
      <c r="I32" s="702" t="s">
        <v>1654</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4" t="s">
        <v>1662</v>
      </c>
      <c r="B33" s="703" t="s">
        <v>1663</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5"/>
      <c r="B34" s="616" t="s">
        <v>1664</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5"/>
      <c r="B35" s="616" t="s">
        <v>1665</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6"/>
      <c r="B36" s="616" t="s">
        <v>1666</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1667</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1668</v>
      </c>
      <c r="M37" s="807"/>
      <c r="N37" s="565"/>
      <c r="O37" s="565"/>
      <c r="P37" s="565"/>
      <c r="Q37" s="565"/>
      <c r="R37" s="565"/>
      <c r="S37" s="565"/>
      <c r="T37" s="565"/>
      <c r="U37" s="565"/>
      <c r="V37" s="565"/>
      <c r="W37" s="565"/>
      <c r="X37" s="565"/>
      <c r="Y37" s="565"/>
      <c r="Z37" s="707"/>
    </row>
    <row r="38" spans="1:37">
      <c r="A38" s="704"/>
      <c r="B38" s="616" t="s">
        <v>1669</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1670</v>
      </c>
      <c r="M38" s="809">
        <v>0.25</v>
      </c>
      <c r="N38" s="565"/>
      <c r="O38" s="565"/>
      <c r="P38" s="565"/>
      <c r="Q38" s="565"/>
      <c r="R38" s="565"/>
      <c r="S38" s="565"/>
      <c r="T38" s="565"/>
      <c r="U38" s="565"/>
      <c r="V38" s="565"/>
      <c r="W38" s="565"/>
      <c r="X38" s="565"/>
      <c r="Y38" s="565"/>
      <c r="Z38" s="707"/>
    </row>
    <row r="39" spans="1:37">
      <c r="A39" s="691"/>
      <c r="B39" s="705" t="s">
        <v>1671</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1611</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1672</v>
      </c>
      <c r="C41" s="572" t="e">
        <f>ROUND(POWER(1+E41,H41-G41)*(POWER(1+E41,G41)-1)/(POWER(1+E41,H41)-1),4)</f>
        <v>#DIV/0!</v>
      </c>
      <c r="D41" s="606" t="s">
        <v>1619</v>
      </c>
      <c r="E41" s="709">
        <f>G20</f>
        <v>0</v>
      </c>
      <c r="F41" s="606" t="s">
        <v>1629</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1673</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1674</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1675</v>
      </c>
      <c r="B47" s="723" t="s">
        <v>1676</v>
      </c>
      <c r="C47" s="723" t="s">
        <v>1677</v>
      </c>
      <c r="D47" s="723" t="s">
        <v>1678</v>
      </c>
      <c r="E47" s="724" t="s">
        <v>1679</v>
      </c>
      <c r="F47" s="725" t="s">
        <v>1680</v>
      </c>
      <c r="G47" s="723" t="s">
        <v>1607</v>
      </c>
      <c r="H47" s="726" t="s">
        <v>1681</v>
      </c>
      <c r="I47" s="723" t="s">
        <v>1682</v>
      </c>
      <c r="J47" s="813" t="s">
        <v>1005</v>
      </c>
      <c r="K47" s="813" t="s">
        <v>1006</v>
      </c>
      <c r="L47" s="813" t="s">
        <v>1007</v>
      </c>
      <c r="M47" s="813" t="s">
        <v>1008</v>
      </c>
      <c r="N47" s="813" t="s">
        <v>1009</v>
      </c>
      <c r="AA47" s="707"/>
      <c r="AB47" s="707"/>
      <c r="AC47" s="707"/>
      <c r="AD47" s="707"/>
      <c r="AE47" s="707"/>
      <c r="AF47" s="707"/>
      <c r="AG47" s="707"/>
      <c r="AH47" s="707"/>
      <c r="AI47" s="707"/>
      <c r="AJ47" s="707"/>
      <c r="AK47" s="707"/>
    </row>
    <row r="48" spans="1:37" s="565" customFormat="1" ht="38.25">
      <c r="A48" s="722" t="s">
        <v>1683</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1684</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1685</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1686</v>
      </c>
      <c r="B51" s="735" t="s">
        <v>1687</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1688</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1689</v>
      </c>
      <c r="B53" s="736" t="s">
        <v>1690</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1691</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1692</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1693</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1694</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1675</v>
      </c>
      <c r="B58" s="723"/>
      <c r="C58" s="723" t="s">
        <v>1677</v>
      </c>
      <c r="D58" s="723" t="s">
        <v>1678</v>
      </c>
      <c r="E58" s="724" t="s">
        <v>1679</v>
      </c>
      <c r="F58" s="725" t="s">
        <v>1695</v>
      </c>
      <c r="G58" s="723" t="s">
        <v>1607</v>
      </c>
      <c r="H58" s="726" t="s">
        <v>1681</v>
      </c>
      <c r="I58" s="723" t="s">
        <v>1682</v>
      </c>
      <c r="J58" s="813" t="s">
        <v>1005</v>
      </c>
      <c r="K58" s="813" t="s">
        <v>1006</v>
      </c>
      <c r="L58" s="813" t="s">
        <v>1007</v>
      </c>
      <c r="M58" s="813" t="s">
        <v>1008</v>
      </c>
      <c r="N58" s="813" t="s">
        <v>1009</v>
      </c>
      <c r="AA58" s="707"/>
      <c r="AB58" s="707"/>
      <c r="AC58" s="707"/>
      <c r="AD58" s="707"/>
      <c r="AE58" s="707"/>
      <c r="AF58" s="707"/>
      <c r="AG58" s="707"/>
      <c r="AH58" s="707"/>
      <c r="AI58" s="707"/>
      <c r="AJ58" s="707"/>
      <c r="AK58" s="707"/>
    </row>
    <row r="59" spans="1:37" s="565" customFormat="1" ht="38.25">
      <c r="A59" s="722" t="s">
        <v>1696</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1684</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1685</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1686</v>
      </c>
      <c r="B62" s="735" t="s">
        <v>1687</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1688</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1689</v>
      </c>
      <c r="B64" s="736" t="s">
        <v>1690</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1691</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1692</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1693</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1697</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1675</v>
      </c>
      <c r="B69" s="723"/>
      <c r="C69" s="723" t="s">
        <v>1677</v>
      </c>
      <c r="D69" s="723" t="s">
        <v>1678</v>
      </c>
      <c r="E69" s="724" t="s">
        <v>1679</v>
      </c>
      <c r="F69" s="725" t="s">
        <v>1695</v>
      </c>
      <c r="G69" s="723" t="s">
        <v>1607</v>
      </c>
      <c r="H69" s="726" t="s">
        <v>1681</v>
      </c>
      <c r="I69" s="723" t="s">
        <v>1682</v>
      </c>
      <c r="J69" s="813" t="s">
        <v>1005</v>
      </c>
      <c r="K69" s="813" t="s">
        <v>1006</v>
      </c>
      <c r="L69" s="813" t="s">
        <v>1007</v>
      </c>
      <c r="M69" s="813" t="s">
        <v>1008</v>
      </c>
      <c r="N69" s="813" t="s">
        <v>1009</v>
      </c>
      <c r="AA69" s="707"/>
      <c r="AB69" s="707"/>
      <c r="AC69" s="707"/>
      <c r="AD69" s="707"/>
      <c r="AE69" s="707"/>
      <c r="AF69" s="707"/>
      <c r="AG69" s="707"/>
      <c r="AH69" s="707"/>
      <c r="AI69" s="707"/>
      <c r="AJ69" s="707"/>
      <c r="AK69" s="707"/>
    </row>
    <row r="70" spans="1:37" s="565" customFormat="1" ht="51">
      <c r="A70" s="722" t="s">
        <v>1698</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1684</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1685</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1699</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1691</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1692</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1689</v>
      </c>
      <c r="B76" s="736" t="s">
        <v>1690</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1693</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1700</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1701</v>
      </c>
      <c r="B79" s="717">
        <f>1+E81</f>
        <v>1</v>
      </c>
      <c r="C79" s="719"/>
      <c r="D79" s="719"/>
      <c r="E79" s="720"/>
      <c r="F79" s="721"/>
      <c r="G79" s="715"/>
      <c r="H79" s="715"/>
      <c r="I79" s="715"/>
      <c r="J79" s="714"/>
      <c r="K79" s="714"/>
      <c r="L79" s="714"/>
      <c r="M79" s="714"/>
      <c r="N79" s="714"/>
      <c r="Z79" s="569"/>
      <c r="AA79" s="567"/>
      <c r="AG79" s="571"/>
      <c r="AK79" s="567"/>
    </row>
    <row r="80" spans="1:37" ht="24.75">
      <c r="A80" s="722" t="s">
        <v>1675</v>
      </c>
      <c r="B80" s="723"/>
      <c r="C80" s="723" t="s">
        <v>1677</v>
      </c>
      <c r="D80" s="723" t="s">
        <v>1678</v>
      </c>
      <c r="E80" s="724" t="s">
        <v>1679</v>
      </c>
      <c r="F80" s="725" t="s">
        <v>1695</v>
      </c>
      <c r="G80" s="723" t="s">
        <v>1607</v>
      </c>
      <c r="H80" s="726" t="s">
        <v>1681</v>
      </c>
      <c r="I80" s="723" t="s">
        <v>1682</v>
      </c>
      <c r="J80" s="813" t="s">
        <v>1005</v>
      </c>
      <c r="K80" s="813" t="s">
        <v>1006</v>
      </c>
      <c r="L80" s="813" t="s">
        <v>1007</v>
      </c>
      <c r="M80" s="813" t="s">
        <v>1008</v>
      </c>
      <c r="N80" s="813" t="s">
        <v>1009</v>
      </c>
      <c r="Z80" s="569"/>
      <c r="AA80" s="567"/>
      <c r="AG80" s="571"/>
      <c r="AK80" s="567"/>
    </row>
    <row r="81" spans="1:37" ht="24">
      <c r="A81" s="722" t="s">
        <v>1702</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1684</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1685</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1699</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1691</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1692</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1689</v>
      </c>
      <c r="B87" s="736" t="s">
        <v>1703</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1704</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8" t="s">
        <v>1705</v>
      </c>
      <c r="B90" s="3268"/>
      <c r="C90" s="3268"/>
      <c r="D90" s="3268"/>
      <c r="E90" s="3268"/>
      <c r="F90" s="3268"/>
      <c r="G90" s="3268"/>
      <c r="H90" s="3268"/>
      <c r="I90" s="3268"/>
      <c r="J90" s="3268"/>
      <c r="K90" s="847"/>
      <c r="L90" s="847"/>
      <c r="M90" s="847"/>
      <c r="N90" s="847"/>
    </row>
    <row r="91" spans="1:37">
      <c r="A91" s="3277" t="s">
        <v>1706</v>
      </c>
      <c r="B91" s="3277" t="s">
        <v>1707</v>
      </c>
      <c r="C91" s="689" t="s">
        <v>1708</v>
      </c>
      <c r="D91" s="690"/>
      <c r="E91" s="690"/>
      <c r="F91" s="690"/>
      <c r="G91" s="690"/>
      <c r="H91" s="690"/>
      <c r="I91" s="690"/>
      <c r="J91" s="869"/>
      <c r="K91" s="870"/>
      <c r="L91" s="870"/>
      <c r="M91" s="870"/>
      <c r="N91" s="870"/>
    </row>
    <row r="92" spans="1:37">
      <c r="A92" s="3277"/>
      <c r="B92" s="3277"/>
      <c r="C92" s="688" t="s">
        <v>1568</v>
      </c>
      <c r="D92" s="688" t="s">
        <v>1569</v>
      </c>
      <c r="E92" s="688" t="s">
        <v>1570</v>
      </c>
      <c r="F92" s="688" t="s">
        <v>1571</v>
      </c>
      <c r="G92" s="688" t="s">
        <v>1572</v>
      </c>
      <c r="H92" s="688" t="s">
        <v>1573</v>
      </c>
      <c r="I92" s="688" t="s">
        <v>1574</v>
      </c>
      <c r="J92" s="688" t="s">
        <v>1575</v>
      </c>
      <c r="K92" s="688" t="s">
        <v>1576</v>
      </c>
      <c r="L92" s="688" t="s">
        <v>1577</v>
      </c>
      <c r="M92" s="688" t="s">
        <v>1578</v>
      </c>
      <c r="N92" s="688" t="s">
        <v>1579</v>
      </c>
    </row>
    <row r="93" spans="1:37">
      <c r="A93" s="3278" t="s">
        <v>1709</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9"/>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9"/>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9"/>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9"/>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9"/>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9"/>
      <c r="B99" s="848" t="s">
        <v>1585</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80"/>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8" t="s">
        <v>1710</v>
      </c>
      <c r="B101" s="852" t="s">
        <v>1711</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9"/>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9"/>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9"/>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9"/>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9"/>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9"/>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9"/>
      <c r="B108" s="3133" t="s">
        <v>1599</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80"/>
      <c r="B109" s="3134"/>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9" t="s">
        <v>1712</v>
      </c>
      <c r="B110" s="3269"/>
      <c r="C110" s="3269"/>
      <c r="D110" s="3269"/>
      <c r="E110" s="3269"/>
      <c r="F110" s="3269"/>
      <c r="G110" s="3269"/>
      <c r="H110" s="3269"/>
      <c r="I110" s="3269"/>
      <c r="J110" s="3269"/>
      <c r="K110" s="855"/>
      <c r="L110" s="855"/>
      <c r="M110" s="855"/>
      <c r="N110" s="855"/>
    </row>
    <row r="113" spans="1:13" ht="24.75">
      <c r="A113" s="856" t="s">
        <v>1713</v>
      </c>
      <c r="B113" s="857">
        <f>G3</f>
        <v>0.97</v>
      </c>
      <c r="C113" s="858" t="s">
        <v>1714</v>
      </c>
      <c r="D113" s="859">
        <f>SUMPRODUCT((A115:A118=F113)*(B114:M114=H113)*B115:M118)</f>
        <v>0</v>
      </c>
      <c r="E113" s="577" t="s">
        <v>1543</v>
      </c>
      <c r="F113" s="860">
        <f>E2</f>
        <v>0</v>
      </c>
      <c r="G113" s="577" t="s">
        <v>1544</v>
      </c>
      <c r="H113" s="860">
        <f>G2</f>
        <v>0</v>
      </c>
      <c r="I113" s="577"/>
      <c r="J113" s="871"/>
      <c r="K113" s="871"/>
      <c r="L113" s="871"/>
      <c r="M113" s="871"/>
    </row>
    <row r="114" spans="1:13">
      <c r="A114" s="861"/>
      <c r="B114" s="862" t="s">
        <v>1715</v>
      </c>
      <c r="C114" s="862" t="s">
        <v>1716</v>
      </c>
      <c r="D114" s="862" t="s">
        <v>1717</v>
      </c>
      <c r="E114" s="863" t="s">
        <v>1718</v>
      </c>
      <c r="F114" s="863" t="s">
        <v>1719</v>
      </c>
      <c r="G114" s="863" t="s">
        <v>1720</v>
      </c>
      <c r="H114" s="864" t="s">
        <v>1721</v>
      </c>
      <c r="I114" s="864" t="s">
        <v>1722</v>
      </c>
      <c r="J114" s="872" t="s">
        <v>1723</v>
      </c>
      <c r="K114" s="872" t="s">
        <v>1724</v>
      </c>
      <c r="L114" s="872" t="s">
        <v>1725</v>
      </c>
      <c r="M114" s="873" t="s">
        <v>1726</v>
      </c>
    </row>
    <row r="115" spans="1:13">
      <c r="A115" s="865" t="s">
        <v>1608</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1609</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1610</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1611</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1727</v>
      </c>
      <c r="B2" s="525">
        <v>3.5</v>
      </c>
      <c r="C2" s="525">
        <v>3.5</v>
      </c>
      <c r="D2" s="526">
        <v>2.5</v>
      </c>
      <c r="E2" s="526">
        <v>2.5</v>
      </c>
      <c r="F2" s="526">
        <v>2.5</v>
      </c>
      <c r="G2" s="526">
        <v>2.5</v>
      </c>
      <c r="H2" s="526">
        <v>2.5</v>
      </c>
      <c r="I2" s="525">
        <v>2</v>
      </c>
      <c r="J2" s="525">
        <v>2</v>
      </c>
      <c r="K2" s="525">
        <v>2</v>
      </c>
      <c r="L2" s="525">
        <v>2</v>
      </c>
      <c r="M2" s="558">
        <v>2</v>
      </c>
    </row>
    <row r="3" spans="1:13" ht="19.5" customHeight="1">
      <c r="A3" s="527" t="s">
        <v>1728</v>
      </c>
      <c r="B3" s="528">
        <v>3.5</v>
      </c>
      <c r="C3" s="528">
        <v>3.5</v>
      </c>
      <c r="D3" s="529">
        <v>2.5</v>
      </c>
      <c r="E3" s="529">
        <v>2.5</v>
      </c>
      <c r="F3" s="529">
        <v>2.5</v>
      </c>
      <c r="G3" s="529">
        <v>2.5</v>
      </c>
      <c r="H3" s="529">
        <v>2.5</v>
      </c>
      <c r="I3" s="528">
        <v>2</v>
      </c>
      <c r="J3" s="528">
        <v>2</v>
      </c>
      <c r="K3" s="528">
        <v>2</v>
      </c>
      <c r="L3" s="528">
        <v>2</v>
      </c>
      <c r="M3" s="559">
        <v>2</v>
      </c>
    </row>
    <row r="4" spans="1:13" ht="19.5" customHeight="1">
      <c r="A4" s="527" t="s">
        <v>1729</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1730</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1731</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1732</v>
      </c>
      <c r="B16" s="540"/>
      <c r="C16" s="541"/>
      <c r="D16" s="541"/>
      <c r="E16" s="540"/>
      <c r="F16" s="541"/>
      <c r="G16" s="541"/>
    </row>
    <row r="17" spans="1:9" ht="19.5" customHeight="1">
      <c r="A17" s="536" t="s">
        <v>1733</v>
      </c>
      <c r="B17" s="542" t="s">
        <v>1734</v>
      </c>
      <c r="C17" s="542" t="s">
        <v>1735</v>
      </c>
      <c r="D17" s="543"/>
      <c r="E17" s="536" t="s">
        <v>1736</v>
      </c>
      <c r="F17" s="544"/>
      <c r="G17" s="544"/>
    </row>
    <row r="18" spans="1:9" s="520" customFormat="1" ht="19.5" customHeight="1">
      <c r="A18" s="3282" t="s">
        <v>1727</v>
      </c>
      <c r="B18" s="545" t="s">
        <v>1737</v>
      </c>
      <c r="C18" s="546" t="s">
        <v>1738</v>
      </c>
      <c r="D18" s="547"/>
      <c r="E18" s="545">
        <v>1</v>
      </c>
      <c r="F18" s="548" t="s">
        <v>1739</v>
      </c>
      <c r="G18" s="549"/>
      <c r="H18" s="521"/>
      <c r="I18" s="521"/>
    </row>
    <row r="19" spans="1:9" s="520" customFormat="1" ht="19.5" customHeight="1">
      <c r="A19" s="3282"/>
      <c r="B19" s="3282" t="s">
        <v>1740</v>
      </c>
      <c r="C19" s="546" t="s">
        <v>1741</v>
      </c>
      <c r="D19" s="547"/>
      <c r="E19" s="545">
        <v>0.9</v>
      </c>
      <c r="F19" s="548" t="s">
        <v>1742</v>
      </c>
      <c r="G19" s="549"/>
      <c r="H19" s="521"/>
      <c r="I19" s="521"/>
    </row>
    <row r="20" spans="1:9" s="520" customFormat="1" ht="19.5" customHeight="1">
      <c r="A20" s="3282"/>
      <c r="B20" s="3282"/>
      <c r="C20" s="546" t="s">
        <v>1743</v>
      </c>
      <c r="D20" s="547"/>
      <c r="E20" s="545">
        <v>1.1000000000000001</v>
      </c>
      <c r="F20" s="548" t="s">
        <v>1744</v>
      </c>
      <c r="G20" s="549"/>
      <c r="H20" s="521"/>
      <c r="I20" s="521"/>
    </row>
    <row r="21" spans="1:9" s="520" customFormat="1" ht="19.5" customHeight="1">
      <c r="A21" s="3282"/>
      <c r="B21" s="3282"/>
      <c r="C21" s="546" t="s">
        <v>1745</v>
      </c>
      <c r="D21" s="547"/>
      <c r="E21" s="545">
        <v>0.8</v>
      </c>
      <c r="F21" s="548" t="s">
        <v>1746</v>
      </c>
      <c r="G21" s="549"/>
      <c r="H21" s="521"/>
      <c r="I21" s="521"/>
    </row>
    <row r="22" spans="1:9" s="520" customFormat="1" ht="19.5" customHeight="1">
      <c r="A22" s="3282"/>
      <c r="B22" s="3282"/>
      <c r="C22" s="546" t="s">
        <v>1747</v>
      </c>
      <c r="D22" s="547"/>
      <c r="E22" s="545">
        <v>0.5</v>
      </c>
      <c r="F22" s="548"/>
      <c r="G22" s="549"/>
      <c r="H22" s="521"/>
      <c r="I22" s="521"/>
    </row>
    <row r="23" spans="1:9" s="520" customFormat="1" ht="19.5" customHeight="1">
      <c r="A23" s="3282" t="s">
        <v>1728</v>
      </c>
      <c r="B23" s="545" t="s">
        <v>1737</v>
      </c>
      <c r="C23" s="546" t="s">
        <v>1748</v>
      </c>
      <c r="D23" s="547"/>
      <c r="E23" s="545">
        <v>1</v>
      </c>
      <c r="F23" s="548" t="s">
        <v>1749</v>
      </c>
      <c r="G23" s="549"/>
      <c r="H23" s="521"/>
      <c r="I23" s="521"/>
    </row>
    <row r="24" spans="1:9" s="520" customFormat="1" ht="19.5" customHeight="1">
      <c r="A24" s="3282"/>
      <c r="B24" s="3282" t="s">
        <v>1740</v>
      </c>
      <c r="C24" s="546" t="s">
        <v>1750</v>
      </c>
      <c r="D24" s="547"/>
      <c r="E24" s="545">
        <v>0.5</v>
      </c>
      <c r="F24" s="548"/>
      <c r="G24" s="549"/>
      <c r="H24" s="521"/>
      <c r="I24" s="521"/>
    </row>
    <row r="25" spans="1:9" s="520" customFormat="1" ht="19.5" customHeight="1">
      <c r="A25" s="3282"/>
      <c r="B25" s="3282"/>
      <c r="C25" s="546" t="s">
        <v>1751</v>
      </c>
      <c r="D25" s="547"/>
      <c r="E25" s="545">
        <v>1.1000000000000001</v>
      </c>
      <c r="F25" s="548"/>
      <c r="G25" s="549"/>
      <c r="H25" s="521"/>
      <c r="I25" s="521"/>
    </row>
    <row r="26" spans="1:9" s="520" customFormat="1" ht="19.5" customHeight="1">
      <c r="A26" s="3282"/>
      <c r="B26" s="3282"/>
      <c r="C26" s="546" t="s">
        <v>1752</v>
      </c>
      <c r="D26" s="547"/>
      <c r="E26" s="545">
        <v>1.1000000000000001</v>
      </c>
      <c r="F26" s="548"/>
      <c r="G26" s="549"/>
      <c r="H26" s="521"/>
      <c r="I26" s="521"/>
    </row>
    <row r="27" spans="1:9" s="520" customFormat="1" ht="19.5" customHeight="1">
      <c r="A27" s="3282"/>
      <c r="B27" s="3282"/>
      <c r="C27" s="546" t="s">
        <v>1753</v>
      </c>
      <c r="D27" s="547"/>
      <c r="E27" s="545">
        <v>0.9</v>
      </c>
      <c r="F27" s="548" t="s">
        <v>1754</v>
      </c>
      <c r="G27" s="549"/>
      <c r="H27" s="521"/>
      <c r="I27" s="521"/>
    </row>
    <row r="28" spans="1:9" s="520" customFormat="1" ht="19.5" customHeight="1">
      <c r="A28" s="3282"/>
      <c r="B28" s="3282"/>
      <c r="C28" s="546" t="s">
        <v>1755</v>
      </c>
      <c r="D28" s="547"/>
      <c r="E28" s="545">
        <v>0.9</v>
      </c>
      <c r="F28" s="548" t="s">
        <v>1756</v>
      </c>
      <c r="G28" s="549"/>
      <c r="H28" s="521"/>
      <c r="I28" s="521"/>
    </row>
    <row r="29" spans="1:9" s="520" customFormat="1" ht="19.5" customHeight="1">
      <c r="A29" s="3282"/>
      <c r="B29" s="3282"/>
      <c r="C29" s="546" t="s">
        <v>1757</v>
      </c>
      <c r="D29" s="547"/>
      <c r="E29" s="545">
        <v>0.9</v>
      </c>
      <c r="F29" s="548" t="s">
        <v>1758</v>
      </c>
      <c r="G29" s="549"/>
      <c r="H29" s="521"/>
      <c r="I29" s="521"/>
    </row>
    <row r="30" spans="1:9" s="520" customFormat="1" ht="19.5" customHeight="1">
      <c r="A30" s="3282"/>
      <c r="B30" s="3282"/>
      <c r="C30" s="546" t="s">
        <v>1759</v>
      </c>
      <c r="D30" s="547"/>
      <c r="E30" s="545">
        <v>0.9</v>
      </c>
      <c r="F30" s="548" t="s">
        <v>1760</v>
      </c>
      <c r="G30" s="549"/>
      <c r="H30" s="521"/>
      <c r="I30" s="521"/>
    </row>
    <row r="31" spans="1:9" s="520" customFormat="1" ht="19.5" customHeight="1">
      <c r="A31" s="3282"/>
      <c r="B31" s="3282"/>
      <c r="C31" s="546" t="s">
        <v>1761</v>
      </c>
      <c r="D31" s="547"/>
      <c r="E31" s="545">
        <v>0.8</v>
      </c>
      <c r="F31" s="548" t="s">
        <v>1762</v>
      </c>
      <c r="G31" s="549"/>
      <c r="H31" s="521"/>
      <c r="I31" s="521"/>
    </row>
    <row r="32" spans="1:9" s="520" customFormat="1" ht="19.5" customHeight="1">
      <c r="A32" s="3282"/>
      <c r="B32" s="3282"/>
      <c r="C32" s="546" t="s">
        <v>1763</v>
      </c>
      <c r="D32" s="547"/>
      <c r="E32" s="545">
        <v>0.8</v>
      </c>
      <c r="F32" s="548" t="s">
        <v>1764</v>
      </c>
      <c r="G32" s="549"/>
      <c r="H32" s="521"/>
      <c r="I32" s="521"/>
    </row>
    <row r="33" spans="1:9" s="520" customFormat="1" ht="19.5" customHeight="1">
      <c r="A33" s="3282" t="s">
        <v>1765</v>
      </c>
      <c r="B33" s="545" t="s">
        <v>1737</v>
      </c>
      <c r="C33" s="546" t="s">
        <v>1766</v>
      </c>
      <c r="D33" s="547"/>
      <c r="E33" s="545">
        <v>1</v>
      </c>
      <c r="F33" s="548" t="s">
        <v>1767</v>
      </c>
      <c r="G33" s="549"/>
      <c r="H33" s="521"/>
      <c r="I33" s="521"/>
    </row>
    <row r="34" spans="1:9" s="520" customFormat="1" ht="19.5" customHeight="1">
      <c r="A34" s="3282"/>
      <c r="B34" s="545" t="s">
        <v>1740</v>
      </c>
      <c r="C34" s="546" t="s">
        <v>1768</v>
      </c>
      <c r="D34" s="547"/>
      <c r="E34" s="545">
        <v>1.5</v>
      </c>
      <c r="F34" s="548" t="s">
        <v>1769</v>
      </c>
      <c r="G34" s="549"/>
      <c r="H34" s="521"/>
      <c r="I34" s="521"/>
    </row>
    <row r="35" spans="1:9" s="520" customFormat="1" ht="19.5" customHeight="1">
      <c r="A35" s="3282" t="s">
        <v>468</v>
      </c>
      <c r="B35" s="545" t="s">
        <v>1737</v>
      </c>
      <c r="C35" s="546" t="s">
        <v>1770</v>
      </c>
      <c r="D35" s="547"/>
      <c r="E35" s="545">
        <v>1</v>
      </c>
      <c r="F35" s="548" t="s">
        <v>1771</v>
      </c>
      <c r="G35" s="549"/>
      <c r="H35" s="521"/>
      <c r="I35" s="521"/>
    </row>
    <row r="36" spans="1:9" s="520" customFormat="1" ht="19.5" customHeight="1">
      <c r="A36" s="3282"/>
      <c r="B36" s="3282" t="s">
        <v>1740</v>
      </c>
      <c r="C36" s="546" t="s">
        <v>1772</v>
      </c>
      <c r="D36" s="547"/>
      <c r="E36" s="545">
        <v>1</v>
      </c>
      <c r="F36" s="548" t="s">
        <v>1773</v>
      </c>
      <c r="G36" s="549"/>
      <c r="H36" s="521"/>
      <c r="I36" s="521"/>
    </row>
    <row r="37" spans="1:9" s="520" customFormat="1" ht="19.5" customHeight="1">
      <c r="A37" s="3282"/>
      <c r="B37" s="3282"/>
      <c r="C37" s="546" t="s">
        <v>1774</v>
      </c>
      <c r="D37" s="547"/>
      <c r="E37" s="545">
        <v>1.5</v>
      </c>
      <c r="F37" s="548" t="s">
        <v>1775</v>
      </c>
      <c r="G37" s="549"/>
      <c r="H37" s="521"/>
      <c r="I37" s="521"/>
    </row>
    <row r="38" spans="1:9" s="520" customFormat="1" ht="19.5" customHeight="1">
      <c r="A38" s="3282"/>
      <c r="B38" s="3282"/>
      <c r="C38" s="546" t="s">
        <v>1776</v>
      </c>
      <c r="D38" s="547"/>
      <c r="E38" s="545">
        <v>1</v>
      </c>
      <c r="F38" s="548" t="s">
        <v>1777</v>
      </c>
      <c r="G38" s="549"/>
      <c r="H38" s="521"/>
      <c r="I38" s="521"/>
    </row>
    <row r="39" spans="1:9" s="520" customFormat="1" ht="19.5" customHeight="1">
      <c r="A39" s="3282"/>
      <c r="B39" s="3282"/>
      <c r="C39" s="546" t="s">
        <v>1778</v>
      </c>
      <c r="D39" s="547"/>
      <c r="E39" s="545">
        <v>1</v>
      </c>
      <c r="F39" s="548" t="s">
        <v>1779</v>
      </c>
      <c r="G39" s="549"/>
      <c r="H39" s="521"/>
      <c r="I39" s="521"/>
    </row>
    <row r="40" spans="1:9" s="520" customFormat="1" ht="19.5" customHeight="1">
      <c r="A40" s="550" t="s">
        <v>1780</v>
      </c>
      <c r="B40" s="550"/>
      <c r="C40" s="550"/>
      <c r="D40" s="550"/>
      <c r="E40" s="550"/>
      <c r="F40" s="551"/>
      <c r="G40" s="551"/>
      <c r="H40" s="521"/>
      <c r="I40" s="521"/>
    </row>
    <row r="42" spans="1:9" ht="19.5" customHeight="1">
      <c r="A42" s="552"/>
      <c r="B42" s="536" t="s">
        <v>1781</v>
      </c>
      <c r="C42" s="536" t="s">
        <v>1781</v>
      </c>
      <c r="D42" s="536" t="s">
        <v>1781</v>
      </c>
      <c r="E42" s="538" t="s">
        <v>1781</v>
      </c>
      <c r="F42" s="538" t="s">
        <v>1781</v>
      </c>
      <c r="G42" s="538" t="s">
        <v>1782</v>
      </c>
      <c r="H42" s="538" t="s">
        <v>1781</v>
      </c>
    </row>
    <row r="43" spans="1:9" ht="19.5" customHeight="1">
      <c r="A43" s="553"/>
      <c r="B43" s="538" t="s">
        <v>1727</v>
      </c>
      <c r="C43" s="538" t="s">
        <v>1727</v>
      </c>
      <c r="D43" s="538" t="s">
        <v>1727</v>
      </c>
      <c r="E43" s="538" t="s">
        <v>1727</v>
      </c>
      <c r="F43" s="536" t="s">
        <v>1728</v>
      </c>
      <c r="G43" s="536" t="s">
        <v>468</v>
      </c>
      <c r="H43" s="536" t="s">
        <v>1783</v>
      </c>
    </row>
    <row r="44" spans="1:9" ht="19.5" customHeight="1">
      <c r="A44" s="554"/>
      <c r="B44" s="536">
        <v>1</v>
      </c>
      <c r="C44" s="536">
        <v>2</v>
      </c>
      <c r="D44" s="536">
        <v>3</v>
      </c>
      <c r="E44" s="538">
        <v>4</v>
      </c>
      <c r="F44" s="543" t="s">
        <v>1784</v>
      </c>
      <c r="G44" s="543" t="s">
        <v>1784</v>
      </c>
      <c r="H44" s="543" t="s">
        <v>1784</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1785</v>
      </c>
      <c r="E58" s="540"/>
      <c r="F58" s="540"/>
    </row>
    <row r="59" spans="1:8" s="521" customFormat="1" ht="19.5" customHeight="1">
      <c r="A59" s="545" t="s">
        <v>1786</v>
      </c>
      <c r="B59" s="545" t="s">
        <v>1787</v>
      </c>
      <c r="C59" s="545" t="s">
        <v>1788</v>
      </c>
      <c r="D59" s="545" t="s">
        <v>1789</v>
      </c>
      <c r="E59" s="545" t="s">
        <v>1790</v>
      </c>
      <c r="F59" s="545" t="s">
        <v>1791</v>
      </c>
    </row>
    <row r="60" spans="1:8" ht="13.5">
      <c r="A60" s="545"/>
      <c r="B60" s="545"/>
      <c r="C60" s="545" t="s">
        <v>1792</v>
      </c>
      <c r="D60" s="545"/>
      <c r="E60" s="557" t="s">
        <v>124</v>
      </c>
      <c r="F60" s="545" t="s">
        <v>124</v>
      </c>
    </row>
    <row r="61" spans="1:8" s="521" customFormat="1" ht="24">
      <c r="A61" s="545">
        <v>1</v>
      </c>
      <c r="B61" s="3282" t="s">
        <v>1793</v>
      </c>
      <c r="C61" s="536" t="s">
        <v>1794</v>
      </c>
      <c r="D61" s="536" t="s">
        <v>1795</v>
      </c>
      <c r="E61" s="557">
        <v>0.5</v>
      </c>
      <c r="F61" s="545">
        <v>80</v>
      </c>
    </row>
    <row r="62" spans="1:8" s="521" customFormat="1" ht="24">
      <c r="A62" s="545">
        <v>2</v>
      </c>
      <c r="B62" s="3282"/>
      <c r="C62" s="536" t="s">
        <v>1796</v>
      </c>
      <c r="D62" s="536" t="s">
        <v>1797</v>
      </c>
      <c r="E62" s="557">
        <v>0.5</v>
      </c>
      <c r="F62" s="545">
        <v>80</v>
      </c>
    </row>
    <row r="63" spans="1:8" s="521" customFormat="1" ht="36">
      <c r="A63" s="545">
        <v>3</v>
      </c>
      <c r="B63" s="3282"/>
      <c r="C63" s="536" t="s">
        <v>1798</v>
      </c>
      <c r="D63" s="536" t="s">
        <v>1799</v>
      </c>
      <c r="E63" s="557">
        <v>0.5</v>
      </c>
      <c r="F63" s="545">
        <v>80</v>
      </c>
    </row>
    <row r="64" spans="1:8" s="521" customFormat="1" ht="36">
      <c r="A64" s="545">
        <v>4</v>
      </c>
      <c r="B64" s="3282"/>
      <c r="C64" s="536" t="s">
        <v>1800</v>
      </c>
      <c r="D64" s="536" t="s">
        <v>1801</v>
      </c>
      <c r="E64" s="557">
        <v>0.4</v>
      </c>
      <c r="F64" s="545">
        <v>60</v>
      </c>
    </row>
    <row r="65" spans="1:6" s="521" customFormat="1" ht="36">
      <c r="A65" s="545">
        <v>5</v>
      </c>
      <c r="B65" s="3282"/>
      <c r="C65" s="536" t="s">
        <v>1802</v>
      </c>
      <c r="D65" s="536" t="s">
        <v>1803</v>
      </c>
      <c r="E65" s="557">
        <v>0.2</v>
      </c>
      <c r="F65" s="545">
        <v>30</v>
      </c>
    </row>
    <row r="66" spans="1:6" s="521" customFormat="1" ht="36">
      <c r="A66" s="545">
        <v>6</v>
      </c>
      <c r="B66" s="3282"/>
      <c r="C66" s="536" t="s">
        <v>1804</v>
      </c>
      <c r="D66" s="536" t="s">
        <v>1805</v>
      </c>
      <c r="E66" s="557">
        <v>0.3</v>
      </c>
      <c r="F66" s="545">
        <v>50</v>
      </c>
    </row>
    <row r="67" spans="1:6" s="521" customFormat="1" ht="36">
      <c r="A67" s="545">
        <v>7</v>
      </c>
      <c r="B67" s="3282"/>
      <c r="C67" s="536" t="s">
        <v>1806</v>
      </c>
      <c r="D67" s="536" t="s">
        <v>1807</v>
      </c>
      <c r="E67" s="557">
        <v>0.2</v>
      </c>
      <c r="F67" s="545">
        <v>30</v>
      </c>
    </row>
    <row r="68" spans="1:6" s="521" customFormat="1" ht="36">
      <c r="A68" s="545">
        <v>8</v>
      </c>
      <c r="B68" s="3282"/>
      <c r="C68" s="536" t="s">
        <v>1808</v>
      </c>
      <c r="D68" s="536" t="s">
        <v>1809</v>
      </c>
      <c r="E68" s="557">
        <v>0.2</v>
      </c>
      <c r="F68" s="545">
        <v>30</v>
      </c>
    </row>
    <row r="69" spans="1:6" s="521" customFormat="1" ht="36">
      <c r="A69" s="545">
        <v>9</v>
      </c>
      <c r="B69" s="3282"/>
      <c r="C69" s="536" t="s">
        <v>1810</v>
      </c>
      <c r="D69" s="536" t="s">
        <v>1811</v>
      </c>
      <c r="E69" s="557">
        <v>0.2</v>
      </c>
      <c r="F69" s="545">
        <v>30</v>
      </c>
    </row>
    <row r="70" spans="1:6" s="521" customFormat="1" ht="48">
      <c r="A70" s="545">
        <v>10</v>
      </c>
      <c r="B70" s="3282"/>
      <c r="C70" s="536" t="s">
        <v>1812</v>
      </c>
      <c r="D70" s="536" t="s">
        <v>1813</v>
      </c>
      <c r="E70" s="557">
        <v>0.2</v>
      </c>
      <c r="F70" s="545">
        <v>30</v>
      </c>
    </row>
    <row r="71" spans="1:6" s="521" customFormat="1" ht="48">
      <c r="A71" s="545">
        <v>11</v>
      </c>
      <c r="B71" s="3282"/>
      <c r="C71" s="536" t="s">
        <v>1814</v>
      </c>
      <c r="D71" s="536" t="s">
        <v>1815</v>
      </c>
      <c r="E71" s="557">
        <v>0.2</v>
      </c>
      <c r="F71" s="545">
        <v>30</v>
      </c>
    </row>
    <row r="72" spans="1:6" s="521" customFormat="1" ht="36">
      <c r="A72" s="545">
        <v>12</v>
      </c>
      <c r="B72" s="3282"/>
      <c r="C72" s="536" t="s">
        <v>1816</v>
      </c>
      <c r="D72" s="536" t="s">
        <v>1817</v>
      </c>
      <c r="E72" s="557">
        <v>0.5</v>
      </c>
      <c r="F72" s="545">
        <v>80</v>
      </c>
    </row>
    <row r="73" spans="1:6" s="521" customFormat="1" ht="24">
      <c r="A73" s="545">
        <v>13</v>
      </c>
      <c r="B73" s="3282"/>
      <c r="C73" s="536" t="s">
        <v>1818</v>
      </c>
      <c r="D73" s="536" t="s">
        <v>1819</v>
      </c>
      <c r="E73" s="557">
        <v>0.4</v>
      </c>
      <c r="F73" s="545">
        <v>60</v>
      </c>
    </row>
    <row r="74" spans="1:6" s="521" customFormat="1" ht="24">
      <c r="A74" s="545">
        <v>14</v>
      </c>
      <c r="B74" s="3282"/>
      <c r="C74" s="536" t="s">
        <v>1820</v>
      </c>
      <c r="D74" s="536" t="s">
        <v>1821</v>
      </c>
      <c r="E74" s="557">
        <v>0.2</v>
      </c>
      <c r="F74" s="545">
        <v>30</v>
      </c>
    </row>
    <row r="75" spans="1:6" s="521" customFormat="1" ht="24">
      <c r="A75" s="545">
        <v>15</v>
      </c>
      <c r="B75" s="3282"/>
      <c r="C75" s="536" t="s">
        <v>1822</v>
      </c>
      <c r="D75" s="536" t="s">
        <v>1823</v>
      </c>
      <c r="E75" s="557">
        <v>0.2</v>
      </c>
      <c r="F75" s="545">
        <v>30</v>
      </c>
    </row>
    <row r="76" spans="1:6" s="521" customFormat="1" ht="24">
      <c r="A76" s="545">
        <v>16</v>
      </c>
      <c r="B76" s="3282" t="s">
        <v>1824</v>
      </c>
      <c r="C76" s="536" t="s">
        <v>1825</v>
      </c>
      <c r="D76" s="536" t="s">
        <v>1826</v>
      </c>
      <c r="E76" s="557">
        <v>0.5</v>
      </c>
      <c r="F76" s="545">
        <v>80</v>
      </c>
    </row>
    <row r="77" spans="1:6" s="521" customFormat="1" ht="24">
      <c r="A77" s="545">
        <v>17</v>
      </c>
      <c r="B77" s="3282"/>
      <c r="C77" s="536" t="s">
        <v>1827</v>
      </c>
      <c r="D77" s="536" t="s">
        <v>1828</v>
      </c>
      <c r="E77" s="557">
        <v>0.5</v>
      </c>
      <c r="F77" s="545">
        <v>80</v>
      </c>
    </row>
    <row r="78" spans="1:6" s="521" customFormat="1" ht="24">
      <c r="A78" s="545">
        <v>18</v>
      </c>
      <c r="B78" s="3282"/>
      <c r="C78" s="536" t="s">
        <v>1829</v>
      </c>
      <c r="D78" s="536" t="s">
        <v>1830</v>
      </c>
      <c r="E78" s="557">
        <v>0.2</v>
      </c>
      <c r="F78" s="545">
        <v>30</v>
      </c>
    </row>
    <row r="79" spans="1:6" s="521" customFormat="1" ht="24">
      <c r="A79" s="545">
        <v>19</v>
      </c>
      <c r="B79" s="3282"/>
      <c r="C79" s="536" t="s">
        <v>1831</v>
      </c>
      <c r="D79" s="536" t="s">
        <v>1832</v>
      </c>
      <c r="E79" s="557">
        <v>0.5</v>
      </c>
      <c r="F79" s="545">
        <v>80</v>
      </c>
    </row>
    <row r="80" spans="1:6" s="521" customFormat="1" ht="36">
      <c r="A80" s="545">
        <v>20</v>
      </c>
      <c r="B80" s="3282"/>
      <c r="C80" s="536" t="s">
        <v>1833</v>
      </c>
      <c r="D80" s="536" t="s">
        <v>1834</v>
      </c>
      <c r="E80" s="557">
        <v>0.2</v>
      </c>
      <c r="F80" s="545">
        <v>30</v>
      </c>
    </row>
    <row r="81" spans="1:6" s="521" customFormat="1" ht="36">
      <c r="A81" s="545">
        <v>21</v>
      </c>
      <c r="B81" s="3282"/>
      <c r="C81" s="536" t="s">
        <v>1835</v>
      </c>
      <c r="D81" s="536" t="s">
        <v>1836</v>
      </c>
      <c r="E81" s="557">
        <v>0.2</v>
      </c>
      <c r="F81" s="545">
        <v>30</v>
      </c>
    </row>
    <row r="82" spans="1:6" s="521" customFormat="1" ht="48">
      <c r="A82" s="545">
        <v>22</v>
      </c>
      <c r="B82" s="3282"/>
      <c r="C82" s="536" t="s">
        <v>1837</v>
      </c>
      <c r="D82" s="536" t="s">
        <v>1838</v>
      </c>
      <c r="E82" s="557">
        <v>0.2</v>
      </c>
      <c r="F82" s="545">
        <v>30</v>
      </c>
    </row>
    <row r="83" spans="1:6" s="521" customFormat="1" ht="48">
      <c r="A83" s="545">
        <v>23</v>
      </c>
      <c r="B83" s="3282"/>
      <c r="C83" s="536" t="s">
        <v>1839</v>
      </c>
      <c r="D83" s="536" t="s">
        <v>1840</v>
      </c>
      <c r="E83" s="557">
        <v>0.2</v>
      </c>
      <c r="F83" s="545">
        <v>30</v>
      </c>
    </row>
    <row r="84" spans="1:6" s="521" customFormat="1" ht="36">
      <c r="A84" s="545">
        <v>24</v>
      </c>
      <c r="B84" s="3282"/>
      <c r="C84" s="536" t="s">
        <v>1841</v>
      </c>
      <c r="D84" s="536" t="s">
        <v>1842</v>
      </c>
      <c r="E84" s="557">
        <v>0.2</v>
      </c>
      <c r="F84" s="545">
        <v>30</v>
      </c>
    </row>
    <row r="85" spans="1:6" s="521" customFormat="1" ht="36">
      <c r="A85" s="545">
        <v>25</v>
      </c>
      <c r="B85" s="3282"/>
      <c r="C85" s="536" t="s">
        <v>1843</v>
      </c>
      <c r="D85" s="536" t="s">
        <v>1844</v>
      </c>
      <c r="E85" s="557">
        <v>0.5</v>
      </c>
      <c r="F85" s="545">
        <v>80</v>
      </c>
    </row>
    <row r="86" spans="1:6" s="521" customFormat="1" ht="36">
      <c r="A86" s="545">
        <v>26</v>
      </c>
      <c r="B86" s="3282"/>
      <c r="C86" s="536" t="s">
        <v>1845</v>
      </c>
      <c r="D86" s="536" t="s">
        <v>1846</v>
      </c>
      <c r="E86" s="557">
        <v>0.2</v>
      </c>
      <c r="F86" s="545">
        <v>30</v>
      </c>
    </row>
    <row r="87" spans="1:6" s="521" customFormat="1" ht="36">
      <c r="A87" s="545">
        <v>27</v>
      </c>
      <c r="B87" s="3282"/>
      <c r="C87" s="536" t="s">
        <v>1847</v>
      </c>
      <c r="D87" s="536" t="s">
        <v>1848</v>
      </c>
      <c r="E87" s="557">
        <v>0.2</v>
      </c>
      <c r="F87" s="545">
        <v>30</v>
      </c>
    </row>
    <row r="88" spans="1:6" s="521" customFormat="1" ht="36">
      <c r="A88" s="545">
        <v>28</v>
      </c>
      <c r="B88" s="3282"/>
      <c r="C88" s="536" t="s">
        <v>1849</v>
      </c>
      <c r="D88" s="536" t="s">
        <v>1850</v>
      </c>
      <c r="E88" s="557">
        <v>0.2</v>
      </c>
      <c r="F88" s="545">
        <v>30</v>
      </c>
    </row>
    <row r="89" spans="1:6" s="521" customFormat="1" ht="24">
      <c r="A89" s="545">
        <v>29</v>
      </c>
      <c r="B89" s="3282"/>
      <c r="C89" s="536" t="s">
        <v>1851</v>
      </c>
      <c r="D89" s="536" t="s">
        <v>1852</v>
      </c>
      <c r="E89" s="557">
        <v>0.2</v>
      </c>
      <c r="F89" s="545">
        <v>30</v>
      </c>
    </row>
    <row r="90" spans="1:6" s="521" customFormat="1" ht="24">
      <c r="A90" s="545">
        <v>30</v>
      </c>
      <c r="B90" s="3282"/>
      <c r="C90" s="536" t="s">
        <v>1853</v>
      </c>
      <c r="D90" s="536" t="s">
        <v>1854</v>
      </c>
      <c r="E90" s="557">
        <v>0.2</v>
      </c>
      <c r="F90" s="545">
        <v>30</v>
      </c>
    </row>
    <row r="91" spans="1:6" s="521" customFormat="1" ht="36">
      <c r="A91" s="545">
        <v>31</v>
      </c>
      <c r="B91" s="3282"/>
      <c r="C91" s="536" t="s">
        <v>1855</v>
      </c>
      <c r="D91" s="536" t="s">
        <v>1856</v>
      </c>
      <c r="E91" s="557">
        <v>0.2</v>
      </c>
      <c r="F91" s="545">
        <v>30</v>
      </c>
    </row>
    <row r="92" spans="1:6" s="521" customFormat="1" ht="24">
      <c r="A92" s="545">
        <v>32</v>
      </c>
      <c r="B92" s="3282" t="s">
        <v>1857</v>
      </c>
      <c r="C92" s="545" t="s">
        <v>1858</v>
      </c>
      <c r="D92" s="536" t="s">
        <v>1859</v>
      </c>
      <c r="E92" s="557">
        <v>0.2</v>
      </c>
      <c r="F92" s="545">
        <v>30</v>
      </c>
    </row>
    <row r="93" spans="1:6" s="521" customFormat="1" ht="36">
      <c r="A93" s="545">
        <v>33</v>
      </c>
      <c r="B93" s="3282"/>
      <c r="C93" s="545" t="s">
        <v>1860</v>
      </c>
      <c r="D93" s="536" t="s">
        <v>1861</v>
      </c>
      <c r="E93" s="557">
        <v>0.2</v>
      </c>
      <c r="F93" s="545">
        <v>30</v>
      </c>
    </row>
    <row r="94" spans="1:6" s="521" customFormat="1" ht="48">
      <c r="A94" s="545">
        <v>34</v>
      </c>
      <c r="B94" s="3282"/>
      <c r="C94" s="545" t="s">
        <v>1862</v>
      </c>
      <c r="D94" s="536" t="s">
        <v>1863</v>
      </c>
      <c r="E94" s="557">
        <v>0.2</v>
      </c>
      <c r="F94" s="545">
        <v>30</v>
      </c>
    </row>
    <row r="95" spans="1:6" s="521" customFormat="1" ht="36">
      <c r="A95" s="545">
        <v>35</v>
      </c>
      <c r="B95" s="3282"/>
      <c r="C95" s="545" t="s">
        <v>1864</v>
      </c>
      <c r="D95" s="536" t="s">
        <v>1865</v>
      </c>
      <c r="E95" s="557">
        <v>0.2</v>
      </c>
      <c r="F95" s="545">
        <v>30</v>
      </c>
    </row>
    <row r="96" spans="1:6" s="521" customFormat="1" ht="48">
      <c r="A96" s="545">
        <v>36</v>
      </c>
      <c r="B96" s="3282"/>
      <c r="C96" s="536" t="s">
        <v>1866</v>
      </c>
      <c r="D96" s="536" t="s">
        <v>1867</v>
      </c>
      <c r="E96" s="557">
        <v>0.2</v>
      </c>
      <c r="F96" s="545">
        <v>30</v>
      </c>
    </row>
    <row r="97" spans="1:6" s="521" customFormat="1" ht="36">
      <c r="A97" s="545">
        <v>37</v>
      </c>
      <c r="B97" s="3282"/>
      <c r="C97" s="545" t="s">
        <v>1868</v>
      </c>
      <c r="D97" s="536" t="s">
        <v>1869</v>
      </c>
      <c r="E97" s="557">
        <v>0.2</v>
      </c>
      <c r="F97" s="545">
        <v>30</v>
      </c>
    </row>
    <row r="98" spans="1:6" s="521" customFormat="1" ht="36">
      <c r="A98" s="545">
        <v>38</v>
      </c>
      <c r="B98" s="3282"/>
      <c r="C98" s="545" t="s">
        <v>1870</v>
      </c>
      <c r="D98" s="536" t="s">
        <v>1871</v>
      </c>
      <c r="E98" s="557">
        <v>0.2</v>
      </c>
      <c r="F98" s="545">
        <v>30</v>
      </c>
    </row>
    <row r="99" spans="1:6" s="521" customFormat="1" ht="36">
      <c r="A99" s="545">
        <v>39</v>
      </c>
      <c r="B99" s="3282" t="s">
        <v>1872</v>
      </c>
      <c r="C99" s="545" t="s">
        <v>1873</v>
      </c>
      <c r="D99" s="536" t="s">
        <v>1874</v>
      </c>
      <c r="E99" s="557">
        <v>0.3</v>
      </c>
      <c r="F99" s="545">
        <v>50</v>
      </c>
    </row>
    <row r="100" spans="1:6" s="521" customFormat="1" ht="24">
      <c r="A100" s="545">
        <v>40</v>
      </c>
      <c r="B100" s="3282"/>
      <c r="C100" s="545" t="s">
        <v>1875</v>
      </c>
      <c r="D100" s="536" t="s">
        <v>1876</v>
      </c>
      <c r="E100" s="557">
        <v>0.2</v>
      </c>
      <c r="F100" s="545">
        <v>30</v>
      </c>
    </row>
    <row r="101" spans="1:6" s="521" customFormat="1" ht="36">
      <c r="A101" s="545">
        <v>41</v>
      </c>
      <c r="B101" s="3282"/>
      <c r="C101" s="545" t="s">
        <v>1877</v>
      </c>
      <c r="D101" s="536" t="s">
        <v>1874</v>
      </c>
      <c r="E101" s="557">
        <v>0.2</v>
      </c>
      <c r="F101" s="545">
        <v>30</v>
      </c>
    </row>
    <row r="102" spans="1:6" s="521" customFormat="1" ht="48">
      <c r="A102" s="545">
        <v>42</v>
      </c>
      <c r="B102" s="545" t="s">
        <v>1878</v>
      </c>
      <c r="C102" s="536" t="s">
        <v>1879</v>
      </c>
      <c r="D102" s="536" t="s">
        <v>1880</v>
      </c>
      <c r="E102" s="557">
        <v>0.2</v>
      </c>
      <c r="F102" s="545">
        <v>30</v>
      </c>
    </row>
    <row r="103" spans="1:6" s="521" customFormat="1" ht="24">
      <c r="A103" s="545">
        <v>43</v>
      </c>
      <c r="B103" s="545" t="s">
        <v>1881</v>
      </c>
      <c r="C103" s="545" t="s">
        <v>1882</v>
      </c>
      <c r="D103" s="536" t="s">
        <v>1883</v>
      </c>
      <c r="E103" s="557">
        <v>0.2</v>
      </c>
      <c r="F103" s="545">
        <v>30</v>
      </c>
    </row>
    <row r="104" spans="1:6" s="521" customFormat="1" ht="36">
      <c r="A104" s="545">
        <v>44</v>
      </c>
      <c r="B104" s="545" t="s">
        <v>1884</v>
      </c>
      <c r="C104" s="545" t="s">
        <v>1885</v>
      </c>
      <c r="D104" s="536" t="s">
        <v>1886</v>
      </c>
      <c r="E104" s="557">
        <v>0.2</v>
      </c>
      <c r="F104" s="545">
        <v>30</v>
      </c>
    </row>
    <row r="105" spans="1:6" s="521" customFormat="1" ht="36">
      <c r="A105" s="545">
        <v>45</v>
      </c>
      <c r="B105" s="3282" t="s">
        <v>1887</v>
      </c>
      <c r="C105" s="545" t="s">
        <v>1888</v>
      </c>
      <c r="D105" s="536" t="s">
        <v>1889</v>
      </c>
      <c r="E105" s="557">
        <v>0.2</v>
      </c>
      <c r="F105" s="545">
        <v>30</v>
      </c>
    </row>
    <row r="106" spans="1:6" s="521" customFormat="1" ht="36">
      <c r="A106" s="545">
        <v>46</v>
      </c>
      <c r="B106" s="3282"/>
      <c r="C106" s="545" t="s">
        <v>1890</v>
      </c>
      <c r="D106" s="536" t="s">
        <v>1891</v>
      </c>
      <c r="E106" s="557">
        <v>0.2</v>
      </c>
      <c r="F106" s="545">
        <v>30</v>
      </c>
    </row>
    <row r="107" spans="1:6" s="521" customFormat="1" ht="36">
      <c r="A107" s="545">
        <v>47</v>
      </c>
      <c r="B107" s="3282" t="s">
        <v>1892</v>
      </c>
      <c r="C107" s="545" t="s">
        <v>1893</v>
      </c>
      <c r="D107" s="536" t="s">
        <v>1894</v>
      </c>
      <c r="E107" s="557">
        <v>0.3</v>
      </c>
      <c r="F107" s="545">
        <v>50</v>
      </c>
    </row>
    <row r="108" spans="1:6" s="521" customFormat="1" ht="36">
      <c r="A108" s="545">
        <v>48</v>
      </c>
      <c r="B108" s="3282"/>
      <c r="C108" s="545" t="s">
        <v>1895</v>
      </c>
      <c r="D108" s="536" t="s">
        <v>1896</v>
      </c>
      <c r="E108" s="557">
        <v>0.2</v>
      </c>
      <c r="F108" s="545">
        <v>30</v>
      </c>
    </row>
    <row r="109" spans="1:6" s="521" customFormat="1" ht="36">
      <c r="A109" s="545">
        <v>49</v>
      </c>
      <c r="B109" s="545" t="s">
        <v>1897</v>
      </c>
      <c r="C109" s="545" t="s">
        <v>1898</v>
      </c>
      <c r="D109" s="536" t="s">
        <v>1899</v>
      </c>
      <c r="E109" s="557">
        <v>0.2</v>
      </c>
      <c r="F109" s="545">
        <v>30</v>
      </c>
    </row>
    <row r="110" spans="1:6" s="521" customFormat="1" ht="36">
      <c r="A110" s="545">
        <v>50</v>
      </c>
      <c r="B110" s="545" t="s">
        <v>1900</v>
      </c>
      <c r="C110" s="545" t="s">
        <v>1901</v>
      </c>
      <c r="D110" s="536" t="s">
        <v>1902</v>
      </c>
      <c r="E110" s="557">
        <v>0.2</v>
      </c>
      <c r="F110" s="545">
        <v>30</v>
      </c>
    </row>
    <row r="111" spans="1:6" s="521" customFormat="1" ht="36">
      <c r="A111" s="545">
        <v>51</v>
      </c>
      <c r="B111" s="3282" t="s">
        <v>1903</v>
      </c>
      <c r="C111" s="545" t="s">
        <v>1904</v>
      </c>
      <c r="D111" s="536" t="s">
        <v>1905</v>
      </c>
      <c r="E111" s="557">
        <v>0.2</v>
      </c>
      <c r="F111" s="545">
        <v>30</v>
      </c>
    </row>
    <row r="112" spans="1:6" s="521" customFormat="1" ht="24">
      <c r="A112" s="545">
        <v>52</v>
      </c>
      <c r="B112" s="3282"/>
      <c r="C112" s="545" t="s">
        <v>1906</v>
      </c>
      <c r="D112" s="536" t="s">
        <v>1907</v>
      </c>
      <c r="E112" s="557">
        <v>0.2</v>
      </c>
      <c r="F112" s="545">
        <v>30</v>
      </c>
    </row>
    <row r="113" spans="1:6" s="521" customFormat="1" ht="24">
      <c r="A113" s="545">
        <v>53</v>
      </c>
      <c r="B113" s="3282"/>
      <c r="C113" s="545" t="s">
        <v>1908</v>
      </c>
      <c r="D113" s="536" t="s">
        <v>1909</v>
      </c>
      <c r="E113" s="557">
        <v>0.2</v>
      </c>
      <c r="F113" s="545">
        <v>30</v>
      </c>
    </row>
    <row r="114" spans="1:6" ht="36">
      <c r="A114" s="545">
        <v>54</v>
      </c>
      <c r="B114" s="545" t="s">
        <v>1910</v>
      </c>
      <c r="C114" s="545" t="s">
        <v>1911</v>
      </c>
      <c r="D114" s="536" t="s">
        <v>1912</v>
      </c>
      <c r="E114" s="557">
        <v>0.2</v>
      </c>
      <c r="F114" s="545">
        <v>30</v>
      </c>
    </row>
    <row r="115" spans="1:6" ht="24">
      <c r="A115" s="545">
        <v>55</v>
      </c>
      <c r="B115" s="545" t="s">
        <v>1913</v>
      </c>
      <c r="C115" s="545" t="s">
        <v>1914</v>
      </c>
      <c r="D115" s="536" t="s">
        <v>1915</v>
      </c>
      <c r="E115" s="557">
        <v>0.2</v>
      </c>
      <c r="F115" s="545">
        <v>30</v>
      </c>
    </row>
    <row r="116" spans="1:6" ht="24">
      <c r="A116" s="545">
        <v>56</v>
      </c>
      <c r="B116" s="3282" t="s">
        <v>1916</v>
      </c>
      <c r="C116" s="545" t="s">
        <v>1917</v>
      </c>
      <c r="D116" s="536" t="s">
        <v>1918</v>
      </c>
      <c r="E116" s="557">
        <v>0.2</v>
      </c>
      <c r="F116" s="545">
        <v>30</v>
      </c>
    </row>
    <row r="117" spans="1:6" ht="36">
      <c r="A117" s="545">
        <v>57</v>
      </c>
      <c r="B117" s="3282"/>
      <c r="C117" s="545" t="s">
        <v>1919</v>
      </c>
      <c r="D117" s="536" t="s">
        <v>1920</v>
      </c>
      <c r="E117" s="557">
        <v>0.2</v>
      </c>
      <c r="F117" s="545">
        <v>30</v>
      </c>
    </row>
    <row r="118" spans="1:6" ht="36">
      <c r="A118" s="545">
        <v>58</v>
      </c>
      <c r="B118" s="545" t="s">
        <v>1921</v>
      </c>
      <c r="C118" s="545" t="s">
        <v>1922</v>
      </c>
      <c r="D118" s="536" t="s">
        <v>1923</v>
      </c>
      <c r="E118" s="557">
        <v>0.2</v>
      </c>
      <c r="F118" s="545">
        <v>30</v>
      </c>
    </row>
    <row r="119" spans="1:6" ht="13.5">
      <c r="A119" s="545"/>
      <c r="B119" s="545"/>
      <c r="C119" s="545" t="s">
        <v>1792</v>
      </c>
      <c r="D119" s="545"/>
      <c r="E119" s="557" t="s">
        <v>124</v>
      </c>
      <c r="F119" s="545"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1924</v>
      </c>
      <c r="B1" s="512"/>
      <c r="C1" s="512"/>
      <c r="D1" s="512"/>
      <c r="E1" s="512"/>
      <c r="F1" s="512"/>
      <c r="G1" s="512"/>
      <c r="H1" s="512"/>
      <c r="I1" s="512"/>
      <c r="J1" s="512"/>
      <c r="K1" s="512"/>
      <c r="L1" s="512"/>
      <c r="M1" s="512"/>
      <c r="N1" s="512"/>
    </row>
    <row r="2" spans="1:14">
      <c r="A2" s="513" t="s">
        <v>1925</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1926</v>
      </c>
      <c r="B103" s="512"/>
      <c r="C103" s="512"/>
      <c r="D103" s="512"/>
      <c r="E103" s="512"/>
      <c r="F103" s="512"/>
      <c r="G103" s="512"/>
      <c r="H103" s="512"/>
      <c r="I103" s="512"/>
      <c r="J103" s="512"/>
      <c r="K103" s="512"/>
      <c r="L103" s="512"/>
      <c r="M103" s="512"/>
      <c r="N103" s="512"/>
    </row>
    <row r="104" spans="1:14" ht="14.25">
      <c r="A104" s="513" t="s">
        <v>1925</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1927</v>
      </c>
      <c r="B205" s="512"/>
      <c r="C205" s="512"/>
      <c r="D205" s="512"/>
      <c r="E205" s="512"/>
      <c r="F205" s="512"/>
      <c r="G205" s="512"/>
      <c r="H205" s="512"/>
      <c r="I205" s="512"/>
      <c r="J205" s="512"/>
      <c r="K205" s="512"/>
      <c r="L205" s="512"/>
      <c r="M205" s="512"/>
    </row>
    <row r="206" spans="1:13">
      <c r="A206" s="513" t="s">
        <v>1925</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1928</v>
      </c>
      <c r="B307" s="512"/>
      <c r="C307" s="512"/>
      <c r="D307" s="512"/>
      <c r="E307" s="512"/>
      <c r="F307" s="512"/>
      <c r="G307" s="512"/>
      <c r="H307" s="512"/>
      <c r="I307" s="512"/>
      <c r="J307" s="512"/>
      <c r="K307" s="512"/>
      <c r="L307" s="512"/>
      <c r="M307" s="512"/>
    </row>
    <row r="308" spans="1:13">
      <c r="A308" s="513" t="s">
        <v>1925</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1929</v>
      </c>
    </row>
    <row r="2" spans="1:5" ht="15.75">
      <c r="A2" s="502" t="s">
        <v>97</v>
      </c>
      <c r="B2" s="503" t="e">
        <f ca="1">SUMIF(B6:B13,"&lt;&gt;#ref!",B6:B13)</f>
        <v>#DIV/0!</v>
      </c>
      <c r="C2" s="502" t="s">
        <v>1930</v>
      </c>
      <c r="D2" s="502" t="s">
        <v>1931</v>
      </c>
      <c r="E2" s="503">
        <f ca="1">SUMIF(E6:E13,"&lt;&gt;#ref!",E6:E13)</f>
        <v>0</v>
      </c>
    </row>
    <row r="3" spans="1:5" ht="15.75">
      <c r="A3" s="502" t="s">
        <v>1932</v>
      </c>
      <c r="B3" s="503" t="e">
        <f ca="1">ROUND(B2*10000/E2,0)</f>
        <v>#DIV/0!</v>
      </c>
      <c r="C3" s="502" t="s">
        <v>1933</v>
      </c>
      <c r="D3" s="504"/>
      <c r="E3" s="504"/>
    </row>
    <row r="4" spans="1:5" ht="15.75">
      <c r="A4" s="505"/>
      <c r="B4" s="504"/>
      <c r="C4" s="504"/>
      <c r="D4" s="504"/>
      <c r="E4" s="504"/>
    </row>
    <row r="5" spans="1:5" ht="28.5">
      <c r="A5" s="506" t="s">
        <v>1934</v>
      </c>
      <c r="B5" s="502" t="s">
        <v>1935</v>
      </c>
      <c r="C5" s="503"/>
      <c r="D5" s="504"/>
      <c r="E5" s="502" t="s">
        <v>1936</v>
      </c>
    </row>
    <row r="6" spans="1:5" ht="15.75">
      <c r="A6" s="507" t="s">
        <v>1937</v>
      </c>
      <c r="B6" s="503" t="e">
        <f ca="1">SUMIF(INDIRECT("'"&amp;A6&amp;"'"&amp;"!A:A"),"总价",INDIRECT("'"&amp;A6&amp;"'"&amp;"!B:B"))</f>
        <v>#DIV/0!</v>
      </c>
      <c r="C6" s="502" t="s">
        <v>1930</v>
      </c>
      <c r="D6" s="504"/>
      <c r="E6" s="508">
        <f ca="1">SUMIF(INDIRECT("'"&amp;A6&amp;"'"&amp;"!C:C"),"建筑面积",INDIRECT("'"&amp;A6&amp;"'"&amp;"!D:D"))</f>
        <v>0</v>
      </c>
    </row>
    <row r="7" spans="1:5" ht="15.75">
      <c r="A7" s="507"/>
      <c r="B7" s="503" t="e">
        <f ca="1">SUMIF(INDIRECT("'"&amp;A7&amp;"'"&amp;"!A:A"),"总价",INDIRECT("'"&amp;A7&amp;"'"&amp;"!B:B"))</f>
        <v>#REF!</v>
      </c>
      <c r="C7" s="502" t="s">
        <v>1930</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1930</v>
      </c>
      <c r="D8" s="504"/>
      <c r="E8" s="508" t="e">
        <f t="shared" ca="1" si="0"/>
        <v>#REF!</v>
      </c>
    </row>
    <row r="9" spans="1:5" ht="15.75">
      <c r="A9" s="507"/>
      <c r="B9" s="503" t="e">
        <f t="shared" ca="1" si="1"/>
        <v>#REF!</v>
      </c>
      <c r="C9" s="502" t="s">
        <v>1930</v>
      </c>
      <c r="D9" s="504"/>
      <c r="E9" s="508" t="e">
        <f t="shared" ca="1" si="0"/>
        <v>#REF!</v>
      </c>
    </row>
    <row r="10" spans="1:5" ht="15.75">
      <c r="A10" s="507"/>
      <c r="B10" s="503" t="e">
        <f t="shared" ca="1" si="1"/>
        <v>#REF!</v>
      </c>
      <c r="C10" s="502" t="s">
        <v>1930</v>
      </c>
      <c r="D10" s="504"/>
      <c r="E10" s="508" t="e">
        <f t="shared" ca="1" si="0"/>
        <v>#REF!</v>
      </c>
    </row>
    <row r="11" spans="1:5" ht="15.75">
      <c r="A11" s="507"/>
      <c r="B11" s="503" t="e">
        <f t="shared" ca="1" si="1"/>
        <v>#REF!</v>
      </c>
      <c r="C11" s="502" t="s">
        <v>1930</v>
      </c>
      <c r="D11" s="504"/>
      <c r="E11" s="508" t="e">
        <f t="shared" ca="1" si="0"/>
        <v>#REF!</v>
      </c>
    </row>
    <row r="12" spans="1:5" ht="15.75">
      <c r="A12" s="507"/>
      <c r="B12" s="503" t="e">
        <f t="shared" ca="1" si="1"/>
        <v>#REF!</v>
      </c>
      <c r="C12" s="502" t="s">
        <v>1930</v>
      </c>
      <c r="D12" s="504"/>
      <c r="E12" s="508" t="e">
        <f t="shared" ca="1" si="0"/>
        <v>#REF!</v>
      </c>
    </row>
    <row r="13" spans="1:5" ht="15.75">
      <c r="A13" s="507"/>
      <c r="B13" s="503" t="e">
        <f t="shared" ca="1" si="1"/>
        <v>#REF!</v>
      </c>
      <c r="C13" s="502" t="s">
        <v>1930</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92" t="s">
        <v>1938</v>
      </c>
      <c r="C1" s="3292"/>
      <c r="D1" s="3292"/>
      <c r="E1" s="3292"/>
      <c r="F1" s="3292"/>
      <c r="G1" s="3287" t="s">
        <v>1939</v>
      </c>
      <c r="H1" s="3287"/>
      <c r="I1" s="3287"/>
      <c r="J1" s="3287"/>
      <c r="K1" s="3287"/>
      <c r="L1" s="3287"/>
      <c r="N1" s="3287" t="s">
        <v>1940</v>
      </c>
      <c r="O1" s="3287"/>
      <c r="P1" s="3287"/>
      <c r="Q1" s="3287"/>
      <c r="R1" s="366"/>
      <c r="S1" s="3287" t="s">
        <v>1941</v>
      </c>
      <c r="T1" s="3287"/>
      <c r="U1" s="3287"/>
      <c r="V1" s="3287"/>
      <c r="X1" s="3286" t="s">
        <v>1942</v>
      </c>
      <c r="Y1" s="3287"/>
      <c r="Z1" s="3287"/>
      <c r="AA1" s="3287"/>
      <c r="AB1" s="3287"/>
      <c r="AD1" s="3286" t="s">
        <v>1943</v>
      </c>
      <c r="AE1" s="3287"/>
      <c r="AF1" s="3287"/>
      <c r="AG1" s="3287"/>
      <c r="AH1" s="3287"/>
    </row>
    <row r="2" spans="1:34" s="356" customFormat="1" ht="13.5">
      <c r="B2" s="367" t="s">
        <v>1944</v>
      </c>
      <c r="C2" s="367" t="s">
        <v>1945</v>
      </c>
      <c r="D2" s="368" t="s">
        <v>1728</v>
      </c>
      <c r="E2" s="368" t="s">
        <v>1729</v>
      </c>
      <c r="F2" s="367" t="s">
        <v>1946</v>
      </c>
      <c r="G2" s="369"/>
      <c r="H2" s="370"/>
      <c r="I2" s="367" t="s">
        <v>1944</v>
      </c>
      <c r="J2" s="368" t="s">
        <v>1947</v>
      </c>
      <c r="K2" s="368" t="s">
        <v>1729</v>
      </c>
      <c r="L2" s="367" t="s">
        <v>1946</v>
      </c>
      <c r="N2" s="367" t="s">
        <v>1944</v>
      </c>
      <c r="O2" s="368" t="s">
        <v>1947</v>
      </c>
      <c r="P2" s="368" t="s">
        <v>1729</v>
      </c>
      <c r="Q2" s="367" t="s">
        <v>1946</v>
      </c>
      <c r="R2" s="442"/>
      <c r="S2" s="367" t="s">
        <v>1944</v>
      </c>
      <c r="T2" s="368" t="s">
        <v>1947</v>
      </c>
      <c r="U2" s="368" t="s">
        <v>1729</v>
      </c>
      <c r="V2" s="367" t="s">
        <v>1946</v>
      </c>
      <c r="X2" s="367" t="s">
        <v>1944</v>
      </c>
      <c r="Y2" s="367" t="s">
        <v>1945</v>
      </c>
      <c r="Z2" s="368" t="s">
        <v>1728</v>
      </c>
      <c r="AA2" s="368" t="s">
        <v>1729</v>
      </c>
      <c r="AB2" s="367" t="s">
        <v>1946</v>
      </c>
      <c r="AD2" s="367" t="s">
        <v>1944</v>
      </c>
      <c r="AE2" s="367" t="s">
        <v>1945</v>
      </c>
      <c r="AF2" s="368" t="s">
        <v>1728</v>
      </c>
      <c r="AG2" s="368" t="s">
        <v>1729</v>
      </c>
      <c r="AH2" s="367" t="s">
        <v>1946</v>
      </c>
    </row>
    <row r="3" spans="1:34" s="357" customFormat="1" ht="14.25">
      <c r="A3" s="371" t="s">
        <v>1948</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1949</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1950</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1951</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1952</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1953</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1954</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1955</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1956</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1957</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1958</v>
      </c>
      <c r="B13" s="388">
        <v>392</v>
      </c>
      <c r="C13" s="388">
        <v>302</v>
      </c>
      <c r="D13" s="388">
        <f t="shared" si="52"/>
        <v>302</v>
      </c>
      <c r="E13" s="388">
        <v>553</v>
      </c>
      <c r="F13" s="389">
        <v>266</v>
      </c>
      <c r="G13" s="3288">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1959</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4"/>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1960</v>
      </c>
      <c r="B15" s="385">
        <f t="shared" si="63"/>
        <v>360.06949782209398</v>
      </c>
      <c r="C15" s="385">
        <f t="shared" si="63"/>
        <v>289.84672674747799</v>
      </c>
      <c r="D15" s="385">
        <f t="shared" si="64"/>
        <v>289.84672674747799</v>
      </c>
      <c r="E15" s="385">
        <f t="shared" si="65"/>
        <v>501.06543001181501</v>
      </c>
      <c r="F15" s="385">
        <f t="shared" si="65"/>
        <v>256.82882500745001</v>
      </c>
      <c r="G15" s="3284"/>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1961</v>
      </c>
      <c r="B16" s="385">
        <f t="shared" si="63"/>
        <v>346.720748986128</v>
      </c>
      <c r="C16" s="385">
        <f t="shared" si="63"/>
        <v>284.30282172386302</v>
      </c>
      <c r="D16" s="385">
        <f t="shared" si="64"/>
        <v>284.30282172386302</v>
      </c>
      <c r="E16" s="385">
        <f t="shared" si="65"/>
        <v>479.58023546306902</v>
      </c>
      <c r="F16" s="385">
        <f t="shared" si="65"/>
        <v>253.25788877571199</v>
      </c>
      <c r="G16" s="3285"/>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1962</v>
      </c>
      <c r="B17" s="388">
        <v>333</v>
      </c>
      <c r="C17" s="388">
        <v>277</v>
      </c>
      <c r="D17" s="388">
        <f t="shared" si="64"/>
        <v>277</v>
      </c>
      <c r="E17" s="388">
        <v>459</v>
      </c>
      <c r="F17" s="389">
        <v>249</v>
      </c>
      <c r="G17" s="3283">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1963</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4"/>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1964</v>
      </c>
      <c r="B19" s="385">
        <f t="shared" si="67"/>
        <v>322.34053690220799</v>
      </c>
      <c r="C19" s="385">
        <f t="shared" si="67"/>
        <v>271.461607704225</v>
      </c>
      <c r="D19" s="385">
        <f t="shared" si="64"/>
        <v>271.461607704225</v>
      </c>
      <c r="E19" s="385">
        <f t="shared" si="68"/>
        <v>442.69434542172502</v>
      </c>
      <c r="F19" s="385">
        <f t="shared" si="68"/>
        <v>241.34030753190899</v>
      </c>
      <c r="G19" s="3284"/>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1965</v>
      </c>
      <c r="B20" s="385">
        <f t="shared" si="67"/>
        <v>319.87748030386803</v>
      </c>
      <c r="C20" s="385">
        <f t="shared" si="67"/>
        <v>269.60135833173598</v>
      </c>
      <c r="D20" s="385">
        <f t="shared" si="64"/>
        <v>269.60135833173598</v>
      </c>
      <c r="E20" s="385">
        <f t="shared" si="68"/>
        <v>439.18089823583801</v>
      </c>
      <c r="F20" s="385">
        <f t="shared" si="68"/>
        <v>239.23503918706299</v>
      </c>
      <c r="G20" s="3285"/>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1966</v>
      </c>
      <c r="B21" s="396">
        <v>318</v>
      </c>
      <c r="C21" s="396">
        <v>268</v>
      </c>
      <c r="D21" s="396">
        <f t="shared" si="64"/>
        <v>268</v>
      </c>
      <c r="E21" s="396">
        <v>437</v>
      </c>
      <c r="F21" s="397">
        <v>237</v>
      </c>
      <c r="G21" s="3283">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1967</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4"/>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1968</v>
      </c>
      <c r="B23" s="385">
        <f t="shared" si="69"/>
        <v>314.721411723865</v>
      </c>
      <c r="C23" s="385">
        <f t="shared" si="69"/>
        <v>263.03901319069001</v>
      </c>
      <c r="D23" s="385">
        <f t="shared" si="64"/>
        <v>263.03901319069001</v>
      </c>
      <c r="E23" s="385">
        <f t="shared" si="70"/>
        <v>433.65745506782798</v>
      </c>
      <c r="F23" s="385">
        <f t="shared" si="70"/>
        <v>233.23005080045701</v>
      </c>
      <c r="G23" s="3284"/>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1969</v>
      </c>
      <c r="B24" s="400">
        <f t="shared" si="69"/>
        <v>307.34512863658699</v>
      </c>
      <c r="C24" s="400">
        <f t="shared" si="69"/>
        <v>257.80556031626998</v>
      </c>
      <c r="D24" s="400">
        <f t="shared" si="64"/>
        <v>257.80556031626998</v>
      </c>
      <c r="E24" s="400">
        <f t="shared" si="70"/>
        <v>422.70928459677202</v>
      </c>
      <c r="F24" s="400">
        <f t="shared" si="70"/>
        <v>229.738032703366</v>
      </c>
      <c r="G24" s="3285"/>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1970</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1971</v>
      </c>
      <c r="B25" s="388">
        <v>299</v>
      </c>
      <c r="C25" s="388">
        <v>252</v>
      </c>
      <c r="D25" s="388">
        <f t="shared" si="64"/>
        <v>252</v>
      </c>
      <c r="E25" s="388">
        <v>409</v>
      </c>
      <c r="F25" s="389">
        <v>227</v>
      </c>
      <c r="G25" s="3289">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1972</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90"/>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1973</v>
      </c>
      <c r="B27" s="385">
        <f t="shared" si="73"/>
        <v>288.264905382878</v>
      </c>
      <c r="C27" s="385">
        <f t="shared" si="73"/>
        <v>243.64564425013299</v>
      </c>
      <c r="D27" s="385">
        <f t="shared" si="64"/>
        <v>243.64564425013299</v>
      </c>
      <c r="E27" s="385">
        <f t="shared" si="74"/>
        <v>393.31080825986498</v>
      </c>
      <c r="F27" s="385">
        <f t="shared" si="74"/>
        <v>223.079037905512</v>
      </c>
      <c r="G27" s="3290"/>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1974</v>
      </c>
      <c r="B28" s="385">
        <f t="shared" si="73"/>
        <v>282.50186729015797</v>
      </c>
      <c r="C28" s="385">
        <f t="shared" si="73"/>
        <v>238.097961741555</v>
      </c>
      <c r="D28" s="385">
        <f t="shared" si="64"/>
        <v>238.097961741555</v>
      </c>
      <c r="E28" s="385">
        <f t="shared" si="74"/>
        <v>385.33438646014099</v>
      </c>
      <c r="F28" s="385">
        <f t="shared" si="74"/>
        <v>221.550340555677</v>
      </c>
      <c r="G28" s="3291"/>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1975</v>
      </c>
      <c r="B29" s="403">
        <v>278</v>
      </c>
      <c r="C29" s="403">
        <v>234</v>
      </c>
      <c r="D29" s="403">
        <f t="shared" si="64"/>
        <v>234</v>
      </c>
      <c r="E29" s="403">
        <v>379</v>
      </c>
      <c r="F29" s="404">
        <v>220</v>
      </c>
      <c r="G29" s="3283">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1976</v>
      </c>
      <c r="B30" s="385">
        <f>B29/(1+N29)</f>
        <v>275.49301357645402</v>
      </c>
      <c r="C30" s="385">
        <f>C29/(1+O29)</f>
        <v>232.41954707985701</v>
      </c>
      <c r="D30" s="385">
        <f t="shared" si="64"/>
        <v>232.41954707985701</v>
      </c>
      <c r="E30" s="385">
        <f t="shared" ref="E30:F32" si="75">E29/(1+P29)</f>
        <v>375.32184591008098</v>
      </c>
      <c r="F30" s="385">
        <f t="shared" si="75"/>
        <v>218.03766105054501</v>
      </c>
      <c r="G30" s="3284"/>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1977</v>
      </c>
      <c r="B31" s="385">
        <f>B30/(1+N30)</f>
        <v>275.24529281292303</v>
      </c>
      <c r="C31" s="385">
        <f>C30/(1+O30)</f>
        <v>231.74747938962699</v>
      </c>
      <c r="D31" s="385">
        <f t="shared" si="64"/>
        <v>231.74747938962699</v>
      </c>
      <c r="E31" s="385">
        <f t="shared" si="75"/>
        <v>375.35938184826603</v>
      </c>
      <c r="F31" s="385">
        <f t="shared" si="75"/>
        <v>216.78033510692501</v>
      </c>
      <c r="G31" s="3284"/>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1978</v>
      </c>
      <c r="B32" s="385">
        <f>B31/(1+N31)</f>
        <v>275.19025476196998</v>
      </c>
      <c r="C32" s="405">
        <v>232</v>
      </c>
      <c r="D32" s="405">
        <f t="shared" si="64"/>
        <v>232</v>
      </c>
      <c r="E32" s="385">
        <f t="shared" si="75"/>
        <v>375.65990977608698</v>
      </c>
      <c r="F32" s="385">
        <f t="shared" si="75"/>
        <v>214.12518283971301</v>
      </c>
      <c r="G32" s="3285"/>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1979</v>
      </c>
      <c r="B33" s="388">
        <v>275</v>
      </c>
      <c r="C33" s="388">
        <v>232</v>
      </c>
      <c r="D33" s="388">
        <f t="shared" si="64"/>
        <v>232</v>
      </c>
      <c r="E33" s="388">
        <v>376</v>
      </c>
      <c r="F33" s="389">
        <v>213</v>
      </c>
      <c r="G33" s="3283">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1980</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4">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1981</v>
      </c>
      <c r="B35" s="385">
        <f t="shared" si="76"/>
        <v>275.19335084830601</v>
      </c>
      <c r="C35" s="385">
        <f t="shared" si="76"/>
        <v>230.18088050139701</v>
      </c>
      <c r="D35" s="385">
        <f t="shared" si="64"/>
        <v>230.18088050139701</v>
      </c>
      <c r="E35" s="385">
        <f t="shared" si="77"/>
        <v>377.58482925212297</v>
      </c>
      <c r="F35" s="385">
        <f t="shared" si="77"/>
        <v>210.906879978479</v>
      </c>
      <c r="G35" s="3284">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1982</v>
      </c>
      <c r="B36" s="385">
        <f t="shared" si="76"/>
        <v>276.29854502841999</v>
      </c>
      <c r="C36" s="385">
        <f t="shared" si="76"/>
        <v>229.79023709833001</v>
      </c>
      <c r="D36" s="385">
        <f t="shared" si="64"/>
        <v>229.79023709833001</v>
      </c>
      <c r="E36" s="385">
        <f t="shared" si="77"/>
        <v>379.78759731655902</v>
      </c>
      <c r="F36" s="385">
        <f t="shared" si="77"/>
        <v>211.32953905659201</v>
      </c>
      <c r="G36" s="3285">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1983</v>
      </c>
      <c r="B37" s="388">
        <v>269</v>
      </c>
      <c r="C37" s="388">
        <v>221</v>
      </c>
      <c r="D37" s="388">
        <f t="shared" si="64"/>
        <v>221</v>
      </c>
      <c r="E37" s="388">
        <v>373</v>
      </c>
      <c r="F37" s="389">
        <v>196</v>
      </c>
      <c r="G37" s="3283">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1984</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4">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1985</v>
      </c>
      <c r="B39" s="385">
        <f t="shared" si="78"/>
        <v>242.95398227588399</v>
      </c>
      <c r="C39" s="385">
        <f t="shared" si="78"/>
        <v>199.591370536141</v>
      </c>
      <c r="D39" s="385">
        <f t="shared" si="64"/>
        <v>199.591370536141</v>
      </c>
      <c r="E39" s="385">
        <f t="shared" si="79"/>
        <v>335.92189522342102</v>
      </c>
      <c r="F39" s="385">
        <f t="shared" si="79"/>
        <v>183.101399911095</v>
      </c>
      <c r="G39" s="3284">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1986</v>
      </c>
      <c r="B40" s="385">
        <f t="shared" si="78"/>
        <v>232.06990378821601</v>
      </c>
      <c r="C40" s="385">
        <f t="shared" si="78"/>
        <v>192.74878854286899</v>
      </c>
      <c r="D40" s="385">
        <f t="shared" si="64"/>
        <v>192.74878854286899</v>
      </c>
      <c r="E40" s="385">
        <f t="shared" si="79"/>
        <v>319.71247284993001</v>
      </c>
      <c r="F40" s="385">
        <f t="shared" si="79"/>
        <v>175.670536228624</v>
      </c>
      <c r="G40" s="3285">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1987</v>
      </c>
      <c r="B41" s="388">
        <v>220</v>
      </c>
      <c r="C41" s="388">
        <v>187</v>
      </c>
      <c r="D41" s="388">
        <f t="shared" si="64"/>
        <v>187</v>
      </c>
      <c r="E41" s="388">
        <v>301</v>
      </c>
      <c r="F41" s="389">
        <v>168</v>
      </c>
      <c r="G41" s="3283">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1988</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4">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1989</v>
      </c>
      <c r="B43" s="385">
        <f t="shared" si="80"/>
        <v>210.630522469011</v>
      </c>
      <c r="C43" s="385">
        <f t="shared" si="80"/>
        <v>181.695678122472</v>
      </c>
      <c r="D43" s="385">
        <f t="shared" si="64"/>
        <v>181.695678122472</v>
      </c>
      <c r="E43" s="385">
        <f t="shared" si="81"/>
        <v>286.13517466736698</v>
      </c>
      <c r="F43" s="385">
        <f t="shared" si="81"/>
        <v>165.47535084591101</v>
      </c>
      <c r="G43" s="3284">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1990</v>
      </c>
      <c r="B44" s="385">
        <f t="shared" si="80"/>
        <v>208.834545378754</v>
      </c>
      <c r="C44" s="385">
        <f t="shared" si="80"/>
        <v>183.77230517090399</v>
      </c>
      <c r="D44" s="385">
        <f t="shared" si="64"/>
        <v>183.77230517090399</v>
      </c>
      <c r="E44" s="385">
        <f t="shared" si="81"/>
        <v>281.10342338870902</v>
      </c>
      <c r="F44" s="385">
        <f t="shared" si="81"/>
        <v>168.97309388942301</v>
      </c>
      <c r="G44" s="3285">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1991</v>
      </c>
      <c r="B45" s="403">
        <v>214</v>
      </c>
      <c r="C45" s="403">
        <v>188</v>
      </c>
      <c r="D45" s="403">
        <f t="shared" si="64"/>
        <v>188</v>
      </c>
      <c r="E45" s="403">
        <v>289</v>
      </c>
      <c r="F45" s="404">
        <v>166</v>
      </c>
      <c r="G45" s="3283">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1992</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4">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1993</v>
      </c>
      <c r="B47" s="385">
        <f t="shared" si="82"/>
        <v>206.31694671589099</v>
      </c>
      <c r="C47" s="385">
        <f t="shared" si="82"/>
        <v>183.61041121036101</v>
      </c>
      <c r="D47" s="385">
        <f t="shared" si="64"/>
        <v>183.61041121036101</v>
      </c>
      <c r="E47" s="385">
        <f t="shared" si="83"/>
        <v>276.66850301795603</v>
      </c>
      <c r="F47" s="385">
        <f t="shared" si="83"/>
        <v>165.136093827861</v>
      </c>
      <c r="G47" s="3284">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1994</v>
      </c>
      <c r="B48" s="406">
        <f t="shared" si="82"/>
        <v>196.62341248059801</v>
      </c>
      <c r="C48" s="406">
        <f t="shared" si="82"/>
        <v>170.99125648199001</v>
      </c>
      <c r="D48" s="406">
        <f t="shared" si="64"/>
        <v>170.99125648199001</v>
      </c>
      <c r="E48" s="406">
        <f t="shared" si="83"/>
        <v>266.07857570490103</v>
      </c>
      <c r="F48" s="406">
        <f t="shared" si="83"/>
        <v>154.53499328828499</v>
      </c>
      <c r="G48" s="3285">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1995</v>
      </c>
      <c r="B49" s="388">
        <v>188</v>
      </c>
      <c r="C49" s="388">
        <v>165</v>
      </c>
      <c r="D49" s="388">
        <f t="shared" si="64"/>
        <v>165</v>
      </c>
      <c r="E49" s="388">
        <v>254</v>
      </c>
      <c r="F49" s="389">
        <v>148</v>
      </c>
      <c r="G49" s="3283">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1996</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4">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1997</v>
      </c>
      <c r="B51" s="385">
        <f t="shared" si="86"/>
        <v>168.820177487156</v>
      </c>
      <c r="C51" s="385">
        <f t="shared" si="86"/>
        <v>148.06267029972801</v>
      </c>
      <c r="D51" s="385">
        <f t="shared" si="64"/>
        <v>148.06267029972801</v>
      </c>
      <c r="E51" s="385">
        <f t="shared" si="87"/>
        <v>216.46288379323701</v>
      </c>
      <c r="F51" s="385">
        <f t="shared" si="87"/>
        <v>134.23529411764699</v>
      </c>
      <c r="G51" s="3284">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1998</v>
      </c>
      <c r="B52" s="385">
        <f t="shared" si="86"/>
        <v>163.849135917795</v>
      </c>
      <c r="C52" s="385">
        <f t="shared" si="86"/>
        <v>145.028337874659</v>
      </c>
      <c r="D52" s="385">
        <f t="shared" si="64"/>
        <v>145.028337874659</v>
      </c>
      <c r="E52" s="385">
        <f t="shared" si="87"/>
        <v>204.95180722891601</v>
      </c>
      <c r="F52" s="385">
        <f t="shared" si="87"/>
        <v>125.959203036053</v>
      </c>
      <c r="G52" s="3285">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1999</v>
      </c>
      <c r="B53" s="396">
        <v>159</v>
      </c>
      <c r="C53" s="396">
        <v>141</v>
      </c>
      <c r="D53" s="396">
        <f t="shared" si="64"/>
        <v>141</v>
      </c>
      <c r="E53" s="396">
        <v>195</v>
      </c>
      <c r="F53" s="397">
        <v>122</v>
      </c>
      <c r="G53" s="3283">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2000</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4">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2001</v>
      </c>
      <c r="B55" s="385">
        <f t="shared" si="90"/>
        <v>146.57412060301499</v>
      </c>
      <c r="C55" s="385">
        <f t="shared" si="90"/>
        <v>136.468319559229</v>
      </c>
      <c r="D55" s="385">
        <f t="shared" si="64"/>
        <v>136.468319559229</v>
      </c>
      <c r="E55" s="385">
        <f t="shared" si="91"/>
        <v>166.73864894795099</v>
      </c>
      <c r="F55" s="385">
        <f t="shared" si="91"/>
        <v>115.058823529412</v>
      </c>
      <c r="G55" s="3284">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2002</v>
      </c>
      <c r="B56" s="385">
        <f t="shared" si="90"/>
        <v>144.04145728643201</v>
      </c>
      <c r="C56" s="385">
        <f t="shared" si="90"/>
        <v>136.123966942149</v>
      </c>
      <c r="D56" s="385">
        <f t="shared" si="64"/>
        <v>136.123966942149</v>
      </c>
      <c r="E56" s="385">
        <f t="shared" si="91"/>
        <v>158.32225913621301</v>
      </c>
      <c r="F56" s="385">
        <f t="shared" si="91"/>
        <v>114.04278074866301</v>
      </c>
      <c r="G56" s="3285">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2003</v>
      </c>
      <c r="B57" s="396">
        <v>138</v>
      </c>
      <c r="C57" s="396">
        <v>131</v>
      </c>
      <c r="D57" s="396">
        <f t="shared" si="64"/>
        <v>131</v>
      </c>
      <c r="E57" s="396">
        <v>155</v>
      </c>
      <c r="F57" s="397">
        <v>114</v>
      </c>
      <c r="G57" s="3283">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2004</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4">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2005</v>
      </c>
      <c r="B59" s="385">
        <f t="shared" si="94"/>
        <v>124.290322580645</v>
      </c>
      <c r="C59" s="385">
        <f t="shared" si="94"/>
        <v>123.896860986547</v>
      </c>
      <c r="D59" s="385">
        <f t="shared" si="64"/>
        <v>123.896860986547</v>
      </c>
      <c r="E59" s="385">
        <f t="shared" si="95"/>
        <v>138.005076142132</v>
      </c>
      <c r="F59" s="385">
        <f t="shared" si="95"/>
        <v>107.96106557377</v>
      </c>
      <c r="G59" s="3284">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2006</v>
      </c>
      <c r="B60" s="385">
        <f t="shared" si="94"/>
        <v>122.57204301075301</v>
      </c>
      <c r="C60" s="385">
        <f t="shared" si="94"/>
        <v>123.493273542601</v>
      </c>
      <c r="D60" s="385">
        <f t="shared" si="64"/>
        <v>123.493273542601</v>
      </c>
      <c r="E60" s="385">
        <f t="shared" si="95"/>
        <v>129.82233502538099</v>
      </c>
      <c r="F60" s="385">
        <f t="shared" si="95"/>
        <v>107.39446721311501</v>
      </c>
      <c r="G60" s="3285">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2007</v>
      </c>
      <c r="B61" s="403">
        <v>121</v>
      </c>
      <c r="C61" s="403">
        <v>122</v>
      </c>
      <c r="D61" s="403">
        <f t="shared" si="64"/>
        <v>122</v>
      </c>
      <c r="E61" s="403">
        <v>124</v>
      </c>
      <c r="F61" s="404">
        <v>107</v>
      </c>
      <c r="G61" s="3283">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2008</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4">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2009</v>
      </c>
      <c r="B63" s="385">
        <f t="shared" si="98"/>
        <v>116.99099099099099</v>
      </c>
      <c r="C63" s="385">
        <f t="shared" si="98"/>
        <v>118.848484848485</v>
      </c>
      <c r="D63" s="385">
        <f t="shared" si="64"/>
        <v>118.848484848485</v>
      </c>
      <c r="E63" s="385">
        <f t="shared" si="99"/>
        <v>117.60960960961</v>
      </c>
      <c r="F63" s="385">
        <f t="shared" si="99"/>
        <v>104</v>
      </c>
      <c r="G63" s="3284">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2010</v>
      </c>
      <c r="B64" s="406">
        <f t="shared" si="98"/>
        <v>112.486486486486</v>
      </c>
      <c r="C64" s="406">
        <f t="shared" si="98"/>
        <v>115.212121212121</v>
      </c>
      <c r="D64" s="406">
        <f t="shared" si="64"/>
        <v>115.212121212121</v>
      </c>
      <c r="E64" s="406">
        <f t="shared" si="99"/>
        <v>110.402402402402</v>
      </c>
      <c r="F64" s="406">
        <f t="shared" si="99"/>
        <v>104</v>
      </c>
      <c r="G64" s="3285">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2011</v>
      </c>
      <c r="B65" s="472">
        <v>111</v>
      </c>
      <c r="C65" s="472">
        <v>114</v>
      </c>
      <c r="D65" s="472">
        <f t="shared" si="64"/>
        <v>114</v>
      </c>
      <c r="E65" s="472">
        <v>108</v>
      </c>
      <c r="F65" s="473">
        <v>104</v>
      </c>
      <c r="G65" s="3283">
        <v>2003</v>
      </c>
      <c r="H65" s="408">
        <v>4</v>
      </c>
      <c r="I65" s="485"/>
      <c r="J65" s="485"/>
      <c r="K65" s="485"/>
      <c r="L65" s="485"/>
      <c r="N65" s="486"/>
      <c r="O65" s="485"/>
      <c r="P65" s="485"/>
      <c r="Q65" s="485"/>
      <c r="S65" s="486"/>
      <c r="T65" s="485"/>
      <c r="U65" s="485"/>
      <c r="V65" s="485"/>
      <c r="X65" s="465"/>
      <c r="Y65" s="465"/>
      <c r="Z65" s="465"/>
    </row>
    <row r="66" spans="1:26">
      <c r="A66" s="384" t="s">
        <v>2012</v>
      </c>
      <c r="B66" s="474">
        <f t="shared" ref="B66:C68" si="100">B67+(B$65-B$69)/4</f>
        <v>109.75</v>
      </c>
      <c r="C66" s="474">
        <f t="shared" si="100"/>
        <v>112.25</v>
      </c>
      <c r="D66" s="474">
        <f t="shared" si="64"/>
        <v>112.25</v>
      </c>
      <c r="E66" s="474">
        <f t="shared" ref="E66:F68" si="101">E67+(E$65-E$69)/4</f>
        <v>107.25</v>
      </c>
      <c r="F66" s="474">
        <f t="shared" si="101"/>
        <v>103.5</v>
      </c>
      <c r="G66" s="3284">
        <v>2003</v>
      </c>
      <c r="H66" s="395">
        <v>3</v>
      </c>
      <c r="I66" s="485"/>
      <c r="J66" s="485"/>
      <c r="K66" s="485"/>
      <c r="L66" s="485"/>
      <c r="X66" s="465"/>
      <c r="Y66" s="465"/>
      <c r="Z66" s="465"/>
    </row>
    <row r="67" spans="1:26">
      <c r="A67" s="384" t="s">
        <v>2013</v>
      </c>
      <c r="B67" s="474">
        <f t="shared" si="100"/>
        <v>108.5</v>
      </c>
      <c r="C67" s="474">
        <f t="shared" si="100"/>
        <v>110.5</v>
      </c>
      <c r="D67" s="474">
        <f t="shared" si="64"/>
        <v>110.5</v>
      </c>
      <c r="E67" s="474">
        <f t="shared" si="101"/>
        <v>106.5</v>
      </c>
      <c r="F67" s="474">
        <f t="shared" si="101"/>
        <v>103</v>
      </c>
      <c r="G67" s="3284">
        <v>2003</v>
      </c>
      <c r="H67" s="393">
        <v>2</v>
      </c>
      <c r="I67" s="485"/>
      <c r="J67" s="485"/>
      <c r="K67" s="485"/>
      <c r="L67" s="485"/>
      <c r="X67" s="465"/>
      <c r="Y67" s="465"/>
      <c r="Z67" s="465"/>
    </row>
    <row r="68" spans="1:26">
      <c r="A68" s="384" t="s">
        <v>2014</v>
      </c>
      <c r="B68" s="474">
        <f t="shared" si="100"/>
        <v>107.25</v>
      </c>
      <c r="C68" s="474">
        <f t="shared" si="100"/>
        <v>108.75</v>
      </c>
      <c r="D68" s="474">
        <f t="shared" si="64"/>
        <v>108.75</v>
      </c>
      <c r="E68" s="474">
        <f t="shared" si="101"/>
        <v>105.75</v>
      </c>
      <c r="F68" s="474">
        <f t="shared" si="101"/>
        <v>102.5</v>
      </c>
      <c r="G68" s="3285">
        <v>2003</v>
      </c>
      <c r="H68" s="475">
        <v>1</v>
      </c>
      <c r="I68" s="485"/>
      <c r="J68" s="485"/>
      <c r="K68" s="485"/>
      <c r="L68" s="485"/>
      <c r="S68" s="416"/>
      <c r="T68" s="417"/>
      <c r="U68" s="417"/>
      <c r="X68" s="465"/>
      <c r="Y68" s="465"/>
      <c r="Z68" s="465"/>
    </row>
    <row r="69" spans="1:26">
      <c r="A69" s="384" t="s">
        <v>2015</v>
      </c>
      <c r="B69" s="476">
        <v>106</v>
      </c>
      <c r="C69" s="476">
        <v>107</v>
      </c>
      <c r="D69" s="476">
        <f t="shared" si="64"/>
        <v>107</v>
      </c>
      <c r="E69" s="476">
        <v>105</v>
      </c>
      <c r="F69" s="477">
        <v>102</v>
      </c>
      <c r="G69" s="3283">
        <v>2002</v>
      </c>
      <c r="H69" s="394">
        <v>4</v>
      </c>
      <c r="I69" s="485"/>
      <c r="J69" s="485"/>
      <c r="K69" s="485"/>
      <c r="L69" s="485"/>
      <c r="N69" s="486"/>
      <c r="O69" s="485"/>
      <c r="P69" s="485"/>
      <c r="Q69" s="485"/>
      <c r="S69" s="486"/>
      <c r="T69" s="485"/>
      <c r="U69" s="485"/>
      <c r="V69" s="485"/>
      <c r="X69" s="465"/>
      <c r="Y69" s="465"/>
      <c r="Z69" s="465"/>
    </row>
    <row r="70" spans="1:26">
      <c r="A70" s="384" t="s">
        <v>2016</v>
      </c>
      <c r="B70" s="474">
        <f t="shared" ref="B70:C72" si="102">B71+(B$69-B$73)/4</f>
        <v>105</v>
      </c>
      <c r="C70" s="474">
        <f t="shared" si="102"/>
        <v>106</v>
      </c>
      <c r="D70" s="474">
        <f t="shared" si="64"/>
        <v>106</v>
      </c>
      <c r="E70" s="474">
        <f t="shared" ref="E70:F72" si="103">E71+(E$69-E$73)/4</f>
        <v>104.5</v>
      </c>
      <c r="F70" s="474">
        <f t="shared" si="103"/>
        <v>101.5</v>
      </c>
      <c r="G70" s="3284">
        <v>2002</v>
      </c>
      <c r="H70" s="395">
        <v>3</v>
      </c>
      <c r="I70" s="485"/>
      <c r="J70" s="485"/>
      <c r="K70" s="485"/>
      <c r="L70" s="485"/>
      <c r="X70" s="465"/>
      <c r="Y70" s="465"/>
      <c r="Z70" s="465"/>
    </row>
    <row r="71" spans="1:26">
      <c r="A71" s="384" t="s">
        <v>2017</v>
      </c>
      <c r="B71" s="474">
        <f t="shared" si="102"/>
        <v>104</v>
      </c>
      <c r="C71" s="474">
        <f t="shared" si="102"/>
        <v>105</v>
      </c>
      <c r="D71" s="474">
        <f t="shared" si="64"/>
        <v>105</v>
      </c>
      <c r="E71" s="474">
        <f t="shared" si="103"/>
        <v>104</v>
      </c>
      <c r="F71" s="474">
        <f t="shared" si="103"/>
        <v>101</v>
      </c>
      <c r="G71" s="3284">
        <v>2002</v>
      </c>
      <c r="H71" s="393">
        <v>2</v>
      </c>
      <c r="I71" s="485"/>
      <c r="J71" s="485"/>
      <c r="K71" s="485"/>
      <c r="L71" s="485"/>
      <c r="X71" s="465"/>
      <c r="Y71" s="465"/>
      <c r="Z71" s="465"/>
    </row>
    <row r="72" spans="1:26" s="361" customFormat="1">
      <c r="A72" s="399" t="s">
        <v>2018</v>
      </c>
      <c r="B72" s="478">
        <f t="shared" si="102"/>
        <v>103</v>
      </c>
      <c r="C72" s="478">
        <f t="shared" si="102"/>
        <v>104</v>
      </c>
      <c r="D72" s="478">
        <f t="shared" si="64"/>
        <v>104</v>
      </c>
      <c r="E72" s="478">
        <f t="shared" si="103"/>
        <v>103.5</v>
      </c>
      <c r="F72" s="478">
        <f t="shared" si="103"/>
        <v>100.5</v>
      </c>
      <c r="G72" s="3285">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2019</v>
      </c>
      <c r="G75" s="484"/>
      <c r="N75" s="484"/>
      <c r="S75" s="484"/>
    </row>
    <row r="76" spans="1:26" s="363" customFormat="1">
      <c r="A76" s="363" t="s">
        <v>2020</v>
      </c>
      <c r="G76" s="484"/>
      <c r="N76" s="484"/>
      <c r="S76" s="484"/>
    </row>
    <row r="77" spans="1:26" s="363" customFormat="1">
      <c r="A77" s="363" t="s">
        <v>2021</v>
      </c>
      <c r="G77" s="484"/>
      <c r="I77" s="489"/>
      <c r="J77" s="489"/>
      <c r="K77" s="489"/>
      <c r="L77" s="489"/>
      <c r="N77" s="490"/>
      <c r="O77" s="489"/>
      <c r="P77" s="489"/>
      <c r="Q77" s="489"/>
      <c r="S77" s="490"/>
      <c r="T77" s="489"/>
      <c r="U77" s="489"/>
      <c r="V77" s="489"/>
    </row>
    <row r="78" spans="1:26" s="363" customFormat="1">
      <c r="A78" s="363" t="s">
        <v>2022</v>
      </c>
      <c r="G78" s="484"/>
      <c r="N78" s="484"/>
      <c r="S78" s="484"/>
    </row>
    <row r="86" spans="7:22">
      <c r="G86" s="364"/>
      <c r="S86" s="492" t="s">
        <v>2023</v>
      </c>
      <c r="T86" s="493" t="s">
        <v>2024</v>
      </c>
      <c r="U86" s="493" t="s">
        <v>2025</v>
      </c>
      <c r="V86" s="493" t="s">
        <v>2026</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2027</v>
      </c>
      <c r="C1" s="3293" t="s">
        <v>2028</v>
      </c>
      <c r="D1" s="3294"/>
      <c r="E1" s="3294"/>
      <c r="F1" s="3294"/>
      <c r="G1" s="3294"/>
      <c r="H1" s="3294"/>
      <c r="I1" s="3294"/>
      <c r="J1" s="3294"/>
      <c r="K1" s="3294"/>
      <c r="L1" s="3294"/>
      <c r="M1" s="3294"/>
      <c r="N1" s="3294"/>
      <c r="O1" s="3294"/>
      <c r="P1" s="3294"/>
      <c r="Q1" s="3294"/>
      <c r="R1" s="3294"/>
      <c r="S1" s="3295"/>
      <c r="T1" s="239" t="s">
        <v>1607</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2029</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2030</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2031</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2032</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2033</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2034</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2035</v>
      </c>
      <c r="B17" s="273" t="s">
        <v>2036</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2037</v>
      </c>
      <c r="E19" s="283"/>
      <c r="F19" s="283"/>
      <c r="G19" s="283"/>
      <c r="H19" s="284"/>
      <c r="I19" s="281"/>
      <c r="J19" s="281"/>
      <c r="K19" s="281"/>
      <c r="L19" s="281"/>
      <c r="M19" s="281"/>
      <c r="N19" s="281"/>
      <c r="O19" s="281"/>
      <c r="P19" s="281"/>
      <c r="Q19" s="281"/>
      <c r="R19" s="348"/>
      <c r="S19" s="280"/>
    </row>
    <row r="20" spans="1:45" ht="15.75">
      <c r="A20" s="285" t="s">
        <v>2038</v>
      </c>
      <c r="B20" s="286" t="e">
        <f ca="1">IF(D20="——",S22,S22-F20)</f>
        <v>#REF!</v>
      </c>
      <c r="C20" s="281"/>
      <c r="D20" s="287" t="s">
        <v>2039</v>
      </c>
      <c r="E20" s="288"/>
      <c r="F20" s="239" t="e">
        <f ca="1">SUMIF(INDIRECT("'"&amp;H20&amp;"'"&amp;"!A:A"),"承租人权益价值",INDIRECT("'"&amp;H20&amp;"'"&amp;"!c:c"))</f>
        <v>#REF!</v>
      </c>
      <c r="G20" s="239" t="s">
        <v>751</v>
      </c>
      <c r="H20" s="289"/>
      <c r="I20" s="281"/>
      <c r="J20" s="281"/>
      <c r="K20" s="281"/>
      <c r="L20" s="281"/>
      <c r="M20" s="281"/>
      <c r="N20" s="281"/>
      <c r="O20" s="281"/>
      <c r="P20" s="281"/>
      <c r="Q20" s="281"/>
      <c r="R20" s="348"/>
      <c r="S20" s="280"/>
    </row>
    <row r="21" spans="1:45" ht="15.75">
      <c r="A21" s="285" t="s">
        <v>2040</v>
      </c>
      <c r="B21" s="286">
        <f>R22</f>
        <v>10000</v>
      </c>
      <c r="C21" s="281"/>
      <c r="D21" s="281"/>
      <c r="E21" s="281"/>
      <c r="F21" s="281"/>
      <c r="G21" s="281"/>
      <c r="H21" s="281"/>
      <c r="I21" s="281"/>
      <c r="J21" s="281"/>
      <c r="K21" s="281"/>
      <c r="L21" s="281"/>
      <c r="M21" s="281"/>
      <c r="N21" s="281"/>
      <c r="O21" s="281"/>
      <c r="P21" s="281"/>
      <c r="Q21" s="281"/>
      <c r="R21" s="348"/>
      <c r="S21" s="280"/>
    </row>
    <row r="22" spans="1:45">
      <c r="A22" s="290" t="s">
        <v>2041</v>
      </c>
      <c r="B22" s="291">
        <f>SUM(B24:B10000)</f>
        <v>100</v>
      </c>
      <c r="C22" s="3139" t="s">
        <v>124</v>
      </c>
      <c r="D22" s="3140"/>
      <c r="E22" s="3140"/>
      <c r="F22" s="3140"/>
      <c r="G22" s="3140"/>
      <c r="H22" s="3140"/>
      <c r="I22" s="3140"/>
      <c r="J22" s="3140"/>
      <c r="K22" s="3140"/>
      <c r="L22" s="3140"/>
      <c r="M22" s="3140"/>
      <c r="N22" s="3140"/>
      <c r="O22" s="3140"/>
      <c r="P22" s="3140"/>
      <c r="Q22" s="3296"/>
      <c r="R22" s="350">
        <f>ROUND(S22*10000/B22,0)</f>
        <v>10000</v>
      </c>
      <c r="S22" s="291">
        <f>SUM(S24:S10000)</f>
        <v>100</v>
      </c>
    </row>
    <row r="23" spans="1:45" s="232" customFormat="1" ht="24">
      <c r="A23" s="294" t="s">
        <v>2042</v>
      </c>
      <c r="B23" s="294" t="s">
        <v>440</v>
      </c>
      <c r="C23" s="294" t="s">
        <v>1607</v>
      </c>
      <c r="D23" s="294" t="str">
        <f>B5</f>
        <v>修正项2</v>
      </c>
      <c r="E23" s="294" t="s">
        <v>1607</v>
      </c>
      <c r="F23" s="294" t="str">
        <f>B7</f>
        <v>修正项3</v>
      </c>
      <c r="G23" s="294" t="s">
        <v>1607</v>
      </c>
      <c r="H23" s="294" t="str">
        <f>B9</f>
        <v>修正项4</v>
      </c>
      <c r="I23" s="294" t="s">
        <v>1607</v>
      </c>
      <c r="J23" s="294" t="str">
        <f>B11</f>
        <v>修正项5</v>
      </c>
      <c r="K23" s="294" t="s">
        <v>1607</v>
      </c>
      <c r="L23" s="294" t="str">
        <f>B13</f>
        <v>修正项6</v>
      </c>
      <c r="M23" s="294" t="s">
        <v>1607</v>
      </c>
      <c r="N23" s="294" t="str">
        <f>B15</f>
        <v>修正项7</v>
      </c>
      <c r="O23" s="294" t="s">
        <v>1607</v>
      </c>
      <c r="P23" s="294" t="str">
        <f>B17</f>
        <v>楼层</v>
      </c>
      <c r="Q23" s="294" t="s">
        <v>1607</v>
      </c>
      <c r="R23" s="351" t="s">
        <v>2043</v>
      </c>
      <c r="S23" s="294" t="s">
        <v>2044</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2045</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8.75">
      <c r="A4" s="2919"/>
      <c r="B4" s="2985" t="s">
        <v>95</v>
      </c>
      <c r="C4" s="2985"/>
      <c r="D4" s="2985"/>
      <c r="E4" s="2919"/>
    </row>
    <row r="5" spans="1:5" ht="15.75">
      <c r="A5" s="2918"/>
      <c r="B5" s="2977" t="s">
        <v>96</v>
      </c>
      <c r="C5" s="2920" t="s">
        <v>97</v>
      </c>
      <c r="D5" s="2921">
        <f ca="1">结果表!H101</f>
        <v>5401</v>
      </c>
      <c r="E5" s="2918"/>
    </row>
    <row r="6" spans="1:5" ht="15.75">
      <c r="A6" s="2918"/>
      <c r="B6" s="2977"/>
      <c r="C6" s="2920" t="s">
        <v>98</v>
      </c>
      <c r="D6" s="2921" t="str">
        <f ca="1">NUMBERSTRING(INT(D5*10000),2)&amp;"元整"</f>
        <v>伍仟肆佰零壹万元整</v>
      </c>
      <c r="E6" s="2918"/>
    </row>
    <row r="7" spans="1:5" ht="15.75">
      <c r="A7" s="2918"/>
      <c r="B7" s="2978"/>
      <c r="C7" s="2922" t="s">
        <v>99</v>
      </c>
      <c r="D7" s="2923">
        <f ca="1">结果表!H102</f>
        <v>3003</v>
      </c>
      <c r="E7" s="2918"/>
    </row>
    <row r="8" spans="1:5" ht="15.75">
      <c r="A8" s="2918"/>
      <c r="B8" s="2979" t="str">
        <f>结果表!E103</f>
        <v>2.估价师知悉的法定优先受偿款</v>
      </c>
      <c r="C8" s="2924" t="s">
        <v>100</v>
      </c>
      <c r="D8" s="2923">
        <f>结果表!H103</f>
        <v>0</v>
      </c>
      <c r="E8" s="2918"/>
    </row>
    <row r="9" spans="1:5" ht="15.75">
      <c r="A9" s="2918"/>
      <c r="B9" s="2981"/>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6" t="str">
        <f>结果表!E107</f>
        <v>3.房地产抵押价值</v>
      </c>
      <c r="C13" s="2928" t="s">
        <v>97</v>
      </c>
      <c r="D13" s="2929">
        <f ca="1">结果表!H107</f>
        <v>5401</v>
      </c>
      <c r="E13" s="2918"/>
    </row>
    <row r="14" spans="1:5" ht="15.75">
      <c r="A14" s="2918"/>
      <c r="B14" s="2977"/>
      <c r="C14" s="2920" t="s">
        <v>98</v>
      </c>
      <c r="D14" s="2921" t="str">
        <f ca="1">NUMBERSTRING(INT(D13*10000),2)&amp;"元整"</f>
        <v>伍仟肆佰零壹万元整</v>
      </c>
      <c r="E14" s="2918"/>
    </row>
    <row r="15" spans="1:5" ht="15">
      <c r="A15" s="2918"/>
      <c r="B15" s="2978"/>
      <c r="C15" s="2922" t="s">
        <v>99</v>
      </c>
      <c r="D15" s="2930">
        <f ca="1">结果表!H108</f>
        <v>3003</v>
      </c>
      <c r="E15" s="2918"/>
    </row>
    <row r="16" spans="1:5" ht="15">
      <c r="A16" s="2918"/>
      <c r="B16" s="2979" t="str">
        <f>结果表!E109</f>
        <v>——</v>
      </c>
      <c r="C16" s="2928" t="s">
        <v>97</v>
      </c>
      <c r="D16" s="2931" t="str">
        <f>结果表!H109</f>
        <v>——</v>
      </c>
      <c r="E16" s="2918"/>
    </row>
    <row r="17" spans="1:5" ht="15.75">
      <c r="A17" s="2918"/>
      <c r="B17" s="2980"/>
      <c r="C17" s="2920" t="s">
        <v>98</v>
      </c>
      <c r="D17" s="2921" t="e">
        <f>NUMBERSTRING(INT(D16*10000),2)&amp;"元整"</f>
        <v>#VALUE!</v>
      </c>
      <c r="E17" s="2918"/>
    </row>
    <row r="18" spans="1:5" ht="15">
      <c r="A18" s="2918"/>
      <c r="B18" s="2981"/>
      <c r="C18" s="2922" t="s">
        <v>99</v>
      </c>
      <c r="D18" s="2930" t="str">
        <f>结果表!H110</f>
        <v>——</v>
      </c>
      <c r="E18" s="2918"/>
    </row>
    <row r="19" spans="1:5" ht="15.75">
      <c r="A19" s="2918"/>
      <c r="B19" s="2976" t="str">
        <f>结果表!E111</f>
        <v>——</v>
      </c>
      <c r="C19" s="2928" t="s">
        <v>97</v>
      </c>
      <c r="D19" s="2923" t="str">
        <f>结果表!H111</f>
        <v>——</v>
      </c>
      <c r="E19" s="2918"/>
    </row>
    <row r="20" spans="1:5" ht="15.75">
      <c r="A20" s="2918"/>
      <c r="B20" s="2977"/>
      <c r="C20" s="2920" t="s">
        <v>98</v>
      </c>
      <c r="D20" s="2921" t="e">
        <f>NUMBERSTRING(INT(D19*10000),2)&amp;"元整"</f>
        <v>#VALUE!</v>
      </c>
      <c r="E20" s="2918"/>
    </row>
    <row r="21" spans="1:5" ht="15">
      <c r="A21" s="2918"/>
      <c r="B21" s="2982"/>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2046</v>
      </c>
      <c r="B1" s="145"/>
      <c r="C1" s="146"/>
      <c r="D1" s="146"/>
      <c r="E1" s="146"/>
      <c r="F1" s="146"/>
      <c r="G1" s="147"/>
    </row>
    <row r="2" spans="1:7" s="136" customFormat="1" ht="18" customHeight="1">
      <c r="A2" s="148" t="s">
        <v>2047</v>
      </c>
      <c r="B2" s="149">
        <f ca="1">C52</f>
        <v>31173</v>
      </c>
      <c r="C2" s="150" t="s">
        <v>2048</v>
      </c>
      <c r="D2" s="147"/>
      <c r="E2" s="147"/>
      <c r="F2" s="147"/>
      <c r="G2" s="147"/>
    </row>
    <row r="3" spans="1:7" s="136" customFormat="1" ht="18" customHeight="1">
      <c r="A3" s="151" t="s">
        <v>2049</v>
      </c>
      <c r="B3" s="152">
        <f ca="1">ROUND(B2*10000/'数据-汇总表'!E3,0)</f>
        <v>17330</v>
      </c>
      <c r="C3" s="150" t="s">
        <v>2050</v>
      </c>
      <c r="D3" s="147"/>
      <c r="E3" s="147"/>
      <c r="F3" s="147"/>
      <c r="G3" s="147"/>
    </row>
    <row r="4" spans="1:7" s="137" customFormat="1" ht="15.75">
      <c r="A4" s="153" t="s">
        <v>2051</v>
      </c>
      <c r="B4" s="154"/>
      <c r="C4" s="154"/>
      <c r="D4" s="154"/>
      <c r="E4" s="154"/>
      <c r="F4" s="154"/>
      <c r="G4" s="155"/>
    </row>
    <row r="5" spans="1:7" s="138" customFormat="1" ht="13.5" customHeight="1">
      <c r="A5" s="156" t="s">
        <v>1025</v>
      </c>
      <c r="B5" s="157" t="s">
        <v>2052</v>
      </c>
      <c r="C5" s="158">
        <f>C6+C7+C8</f>
        <v>20810</v>
      </c>
      <c r="D5" s="158" t="s">
        <v>2053</v>
      </c>
      <c r="E5" s="159" t="s">
        <v>2054</v>
      </c>
      <c r="F5" s="159" t="s">
        <v>2055</v>
      </c>
      <c r="G5" s="160"/>
    </row>
    <row r="6" spans="1:7" s="138" customFormat="1" ht="13.5" customHeight="1">
      <c r="A6" s="161" t="s">
        <v>1029</v>
      </c>
      <c r="B6" s="162" t="s">
        <v>2056</v>
      </c>
      <c r="C6" s="163">
        <v>20000</v>
      </c>
      <c r="D6" s="164"/>
      <c r="E6" s="165"/>
      <c r="F6" s="165"/>
      <c r="G6" s="166"/>
    </row>
    <row r="7" spans="1:7" s="138" customFormat="1" ht="13.5" customHeight="1">
      <c r="A7" s="161" t="s">
        <v>1031</v>
      </c>
      <c r="B7" s="162" t="s">
        <v>2057</v>
      </c>
      <c r="C7" s="167">
        <f>ROUND(C6*F7,0)</f>
        <v>810</v>
      </c>
      <c r="D7" s="167"/>
      <c r="E7" s="165"/>
      <c r="F7" s="168">
        <f>'数据-取费表'!B48+'数据-取费表'!B49</f>
        <v>4.0500000000000001E-2</v>
      </c>
      <c r="G7" s="166"/>
    </row>
    <row r="8" spans="1:7" s="139" customFormat="1">
      <c r="A8" s="161" t="s">
        <v>1033</v>
      </c>
      <c r="B8" s="162" t="s">
        <v>2058</v>
      </c>
      <c r="C8" s="167" t="str">
        <f>IF(G8="已包含在土地购买价格中","0",'数据-取费表'!B29)</f>
        <v>0</v>
      </c>
      <c r="D8" s="169"/>
      <c r="E8" s="167"/>
      <c r="F8" s="168"/>
      <c r="G8" s="170" t="s">
        <v>1035</v>
      </c>
    </row>
    <row r="9" spans="1:7" s="138" customFormat="1" ht="13.5" customHeight="1">
      <c r="A9" s="171" t="s">
        <v>1036</v>
      </c>
      <c r="B9" s="172" t="s">
        <v>2059</v>
      </c>
      <c r="C9" s="173">
        <f>ROUND(D9*E9/10000,0)</f>
        <v>0</v>
      </c>
      <c r="D9" s="174">
        <f>'数据-汇总表'!E5</f>
        <v>0</v>
      </c>
      <c r="E9" s="173">
        <f>'数据-取费表'!B27</f>
        <v>20</v>
      </c>
      <c r="F9" s="168"/>
      <c r="G9" s="175"/>
    </row>
    <row r="10" spans="1:7" s="138" customFormat="1" ht="13.5" customHeight="1">
      <c r="A10" s="171" t="s">
        <v>1040</v>
      </c>
      <c r="B10" s="172" t="s">
        <v>2060</v>
      </c>
      <c r="C10" s="173">
        <f>ROUND(D10*E10/10000,0)</f>
        <v>36</v>
      </c>
      <c r="D10" s="174">
        <f>'数据-汇总表'!E6</f>
        <v>17987.810000000001</v>
      </c>
      <c r="E10" s="173">
        <f>'数据-取费表'!B28</f>
        <v>20</v>
      </c>
      <c r="F10" s="168"/>
      <c r="G10" s="175"/>
    </row>
    <row r="11" spans="1:7" s="138" customFormat="1" ht="13.5" hidden="1" customHeight="1">
      <c r="A11" s="176" t="s">
        <v>1042</v>
      </c>
      <c r="B11" s="162" t="s">
        <v>2061</v>
      </c>
      <c r="C11" s="158"/>
      <c r="D11" s="177"/>
      <c r="E11" s="165"/>
      <c r="F11" s="165"/>
      <c r="G11" s="166"/>
    </row>
    <row r="12" spans="1:7" s="138" customFormat="1" ht="13.5" hidden="1" customHeight="1">
      <c r="A12" s="176" t="s">
        <v>1044</v>
      </c>
      <c r="B12" s="162" t="s">
        <v>2062</v>
      </c>
      <c r="C12" s="158">
        <v>0</v>
      </c>
      <c r="D12" s="177"/>
      <c r="E12" s="178"/>
      <c r="F12" s="168">
        <v>3.0499999999999999E-2</v>
      </c>
      <c r="G12" s="166"/>
    </row>
    <row r="13" spans="1:7" s="138" customFormat="1" ht="13.5" hidden="1" customHeight="1">
      <c r="A13" s="176" t="s">
        <v>1045</v>
      </c>
      <c r="B13" s="162" t="s">
        <v>2063</v>
      </c>
      <c r="C13" s="158"/>
      <c r="D13" s="177"/>
      <c r="E13" s="165"/>
      <c r="F13" s="165"/>
      <c r="G13" s="166"/>
    </row>
    <row r="14" spans="1:7" s="138" customFormat="1" ht="13.5" hidden="1" customHeight="1">
      <c r="A14" s="176" t="s">
        <v>1047</v>
      </c>
      <c r="B14" s="162" t="s">
        <v>2058</v>
      </c>
      <c r="C14" s="158"/>
      <c r="D14" s="177"/>
      <c r="E14" s="165"/>
      <c r="F14" s="165"/>
      <c r="G14" s="166" t="s">
        <v>2064</v>
      </c>
    </row>
    <row r="15" spans="1:7" s="138" customFormat="1" ht="13.5" hidden="1" customHeight="1">
      <c r="A15" s="176" t="s">
        <v>1049</v>
      </c>
      <c r="B15" s="162" t="s">
        <v>2065</v>
      </c>
      <c r="C15" s="167"/>
      <c r="D15" s="177"/>
      <c r="E15" s="165"/>
      <c r="F15" s="165"/>
      <c r="G15" s="166" t="s">
        <v>2066</v>
      </c>
    </row>
    <row r="16" spans="1:7" s="138" customFormat="1" ht="13.5" hidden="1" customHeight="1">
      <c r="A16" s="176" t="s">
        <v>1052</v>
      </c>
      <c r="B16" s="162" t="s">
        <v>2058</v>
      </c>
      <c r="C16" s="167"/>
      <c r="D16" s="177"/>
      <c r="E16" s="165"/>
      <c r="F16" s="165"/>
      <c r="G16" s="166"/>
    </row>
    <row r="17" spans="1:7" s="138" customFormat="1" ht="13.5" hidden="1" customHeight="1">
      <c r="A17" s="176" t="s">
        <v>1053</v>
      </c>
      <c r="B17" s="162" t="s">
        <v>2067</v>
      </c>
      <c r="C17" s="179"/>
      <c r="D17" s="180"/>
      <c r="E17" s="179"/>
      <c r="F17" s="179"/>
      <c r="G17" s="166" t="s">
        <v>2066</v>
      </c>
    </row>
    <row r="18" spans="1:7" s="138" customFormat="1" ht="13.5" hidden="1" customHeight="1">
      <c r="A18" s="176" t="s">
        <v>1055</v>
      </c>
      <c r="B18" s="162" t="s">
        <v>2068</v>
      </c>
      <c r="C18" s="167">
        <v>0</v>
      </c>
      <c r="D18" s="177"/>
      <c r="E18" s="165"/>
      <c r="F18" s="168">
        <v>3.0499999999999999E-2</v>
      </c>
      <c r="G18" s="166" t="s">
        <v>2069</v>
      </c>
    </row>
    <row r="19" spans="1:7" s="139" customFormat="1" ht="13.5" customHeight="1">
      <c r="A19" s="181" t="s">
        <v>1434</v>
      </c>
      <c r="B19" s="157" t="s">
        <v>2070</v>
      </c>
      <c r="C19" s="158">
        <f>IF(G19="已包含在土地取得成本中","0",ROUND(D19*E19/10000,0))</f>
        <v>324</v>
      </c>
      <c r="D19" s="182">
        <f>'数据-汇总表'!E3</f>
        <v>17987.810000000001</v>
      </c>
      <c r="E19" s="158">
        <f>'数据-取费表'!B31</f>
        <v>180</v>
      </c>
      <c r="F19" s="183"/>
      <c r="G19" s="170" t="s">
        <v>2071</v>
      </c>
    </row>
    <row r="20" spans="1:7" s="138" customFormat="1" ht="13.5" customHeight="1">
      <c r="A20" s="181" t="s">
        <v>2072</v>
      </c>
      <c r="B20" s="157" t="s">
        <v>2073</v>
      </c>
      <c r="C20" s="184">
        <f>ROUND((C5+C19)*F20,0)</f>
        <v>423</v>
      </c>
      <c r="D20" s="184"/>
      <c r="E20" s="184"/>
      <c r="F20" s="185">
        <f>'数据-取费表'!B37</f>
        <v>0.02</v>
      </c>
      <c r="G20" s="186" t="s">
        <v>2074</v>
      </c>
    </row>
    <row r="21" spans="1:7" s="138" customFormat="1" ht="13.5" customHeight="1">
      <c r="A21" s="181" t="s">
        <v>2075</v>
      </c>
      <c r="B21" s="157" t="s">
        <v>2076</v>
      </c>
      <c r="C21" s="187">
        <f>F21</f>
        <v>0.02</v>
      </c>
      <c r="D21" s="188" t="s">
        <v>2077</v>
      </c>
      <c r="E21" s="184"/>
      <c r="F21" s="185">
        <f>'数据-取费表'!B38</f>
        <v>0.02</v>
      </c>
      <c r="G21" s="189" t="s">
        <v>2078</v>
      </c>
    </row>
    <row r="22" spans="1:7" s="138" customFormat="1" ht="13.5" customHeight="1">
      <c r="A22" s="181" t="s">
        <v>2079</v>
      </c>
      <c r="B22" s="157" t="s">
        <v>2080</v>
      </c>
      <c r="C22" s="190">
        <f ca="1">ROUND(SUM(C23:C25),0)</f>
        <v>928</v>
      </c>
      <c r="D22" s="187">
        <f ca="1">C26</f>
        <v>4.0000000000000002E-4</v>
      </c>
      <c r="E22" s="188" t="s">
        <v>2077</v>
      </c>
      <c r="F22" s="191">
        <f ca="1">'数据-取费表'!B40</f>
        <v>4.3499999999999997E-2</v>
      </c>
      <c r="G22" s="186" t="str">
        <f>IF('数据-取费表'!B22&lt;=1,"单利计息","复利计息")</f>
        <v>单利计息</v>
      </c>
    </row>
    <row r="23" spans="1:7" s="138" customFormat="1" ht="13.5" customHeight="1">
      <c r="A23" s="192" t="s">
        <v>1029</v>
      </c>
      <c r="B23" s="162" t="s">
        <v>2081</v>
      </c>
      <c r="C23" s="193">
        <f ca="1">ROUND(IF('数据-取费表'!B22&lt;=1,C5*F22*'数据-取费表'!B23,C5*(POWER((1+F22),'数据-取费表'!B23)-1)),0)</f>
        <v>905</v>
      </c>
      <c r="D23" s="194"/>
      <c r="E23" s="194"/>
      <c r="F23" s="195"/>
      <c r="G23" s="196" t="s">
        <v>2082</v>
      </c>
    </row>
    <row r="24" spans="1:7" s="138" customFormat="1" ht="13.5" customHeight="1">
      <c r="A24" s="192" t="s">
        <v>1031</v>
      </c>
      <c r="B24" s="162" t="s">
        <v>2083</v>
      </c>
      <c r="C24" s="193">
        <f ca="1">ROUND(IF('数据-取费表'!B22&lt;=1,C19*F22*('数据-取费表'!B19/2+'数据-取费表'!B21),C19*(POWER((1+F22),('数据-取费表'!B19/2+'数据-取费表'!B21))-1)),0)</f>
        <v>14</v>
      </c>
      <c r="D24" s="194"/>
      <c r="E24" s="194"/>
      <c r="F24" s="195"/>
      <c r="G24" s="196" t="s">
        <v>2084</v>
      </c>
    </row>
    <row r="25" spans="1:7" s="138" customFormat="1" ht="24">
      <c r="A25" s="192" t="s">
        <v>1033</v>
      </c>
      <c r="B25" s="162" t="s">
        <v>2085</v>
      </c>
      <c r="C25" s="193">
        <f ca="1">ROUND(IF('数据-取费表'!B22&lt;=1,C20*F22*'数据-取费表'!B23/2,C20*(POWER((1+F22),'数据-取费表'!B23/2)-1)),0)</f>
        <v>9</v>
      </c>
      <c r="D25" s="194"/>
      <c r="E25" s="197"/>
      <c r="F25" s="195"/>
      <c r="G25" s="198" t="s">
        <v>2086</v>
      </c>
    </row>
    <row r="26" spans="1:7" s="138" customFormat="1">
      <c r="A26" s="192" t="s">
        <v>1076</v>
      </c>
      <c r="B26" s="162" t="s">
        <v>2087</v>
      </c>
      <c r="C26" s="194">
        <f ca="1">ROUND(IF('数据-取费表'!B22&lt;=1,F21*F22*'数据-取费表'!B23/2,F21*(POWER((1+F22),'数据-取费表'!B23/2)-1)),4)</f>
        <v>4.0000000000000002E-4</v>
      </c>
      <c r="D26" s="194"/>
      <c r="E26" s="197"/>
      <c r="F26" s="195"/>
      <c r="G26" s="199"/>
    </row>
    <row r="27" spans="1:7" s="138" customFormat="1" ht="24.75">
      <c r="A27" s="181" t="s">
        <v>2088</v>
      </c>
      <c r="B27" s="200" t="s">
        <v>2089</v>
      </c>
      <c r="C27" s="201">
        <f>C28</f>
        <v>2156</v>
      </c>
      <c r="D27" s="187">
        <f>C29</f>
        <v>2E-3</v>
      </c>
      <c r="E27" s="188" t="s">
        <v>2077</v>
      </c>
      <c r="F27" s="202">
        <f>'数据-取费表'!Q16</f>
        <v>0.1</v>
      </c>
      <c r="G27" s="203" t="s">
        <v>2090</v>
      </c>
    </row>
    <row r="28" spans="1:7" s="138" customFormat="1" ht="13.5" customHeight="1">
      <c r="A28" s="192" t="s">
        <v>1029</v>
      </c>
      <c r="B28" s="204" t="s">
        <v>2091</v>
      </c>
      <c r="C28" s="205">
        <f>ROUND((C5+C19+C20)*F27*'数据-取费表'!B21/'数据-取费表'!B20,0)</f>
        <v>2156</v>
      </c>
      <c r="D28" s="187"/>
      <c r="E28" s="188"/>
      <c r="F28" s="202"/>
      <c r="G28" s="203"/>
    </row>
    <row r="29" spans="1:7" s="138" customFormat="1" ht="13.5" customHeight="1">
      <c r="A29" s="192" t="s">
        <v>1031</v>
      </c>
      <c r="B29" s="204" t="s">
        <v>2092</v>
      </c>
      <c r="C29" s="194">
        <f>ROUND(C21*F27*'数据-取费表'!B21/'数据-取费表'!B20,4)</f>
        <v>2E-3</v>
      </c>
      <c r="D29" s="187"/>
      <c r="E29" s="188"/>
      <c r="F29" s="202"/>
      <c r="G29" s="203"/>
    </row>
    <row r="30" spans="1:7" s="138" customFormat="1" ht="13.5" customHeight="1">
      <c r="A30" s="181" t="s">
        <v>2093</v>
      </c>
      <c r="B30" s="157" t="s">
        <v>2094</v>
      </c>
      <c r="C30" s="187">
        <f>F30</f>
        <v>5.5E-2</v>
      </c>
      <c r="D30" s="188" t="s">
        <v>2095</v>
      </c>
      <c r="E30" s="197"/>
      <c r="F30" s="191">
        <f>'数据-取费表'!B41</f>
        <v>5.5E-2</v>
      </c>
      <c r="G30" s="189" t="s">
        <v>2096</v>
      </c>
    </row>
    <row r="31" spans="1:7" ht="16.5" customHeight="1">
      <c r="A31" s="206">
        <v>1</v>
      </c>
      <c r="B31" s="157" t="s">
        <v>2097</v>
      </c>
      <c r="C31" s="158">
        <f ca="1">ROUND((C5+C19+C20+C22+C27)/(1-C21-D22-D27-C30/(1+'数据-取费表'!B42)),0)</f>
        <v>26633</v>
      </c>
      <c r="D31" s="207"/>
      <c r="E31" s="158"/>
      <c r="F31" s="208"/>
      <c r="G31" s="189" t="s">
        <v>2098</v>
      </c>
    </row>
    <row r="32" spans="1:7" s="137" customFormat="1" ht="15.75">
      <c r="A32" s="209" t="s">
        <v>2099</v>
      </c>
      <c r="B32" s="210"/>
      <c r="C32" s="210"/>
      <c r="D32" s="210"/>
      <c r="E32" s="210"/>
      <c r="F32" s="210"/>
      <c r="G32" s="211"/>
    </row>
    <row r="33" spans="1:7" s="138" customFormat="1" ht="13.5" customHeight="1">
      <c r="A33" s="156" t="s">
        <v>1025</v>
      </c>
      <c r="B33" s="157" t="s">
        <v>2100</v>
      </c>
      <c r="C33" s="212">
        <f>SUM(C34:C38)</f>
        <v>3708</v>
      </c>
      <c r="D33" s="184"/>
      <c r="E33" s="159"/>
      <c r="F33" s="197"/>
      <c r="G33" s="189"/>
    </row>
    <row r="34" spans="1:7" s="140" customFormat="1" ht="13.5" customHeight="1">
      <c r="A34" s="192" t="s">
        <v>1029</v>
      </c>
      <c r="B34" s="162" t="s">
        <v>2101</v>
      </c>
      <c r="C34" s="167">
        <f>IF(F34=100%,'数据-取费表'!M16-SUMIF('数据-取费表'!C:C,"公共配套",'数据-取费表'!M:M),'数据-取费表'!O16-SUMIF('数据-取费表'!C:C,"公共配套",'数据-取费表'!O:O))</f>
        <v>3238</v>
      </c>
      <c r="D34" s="164"/>
      <c r="E34" s="167"/>
      <c r="F34" s="213">
        <f>IF('数据-取费表'!B24=0,1,'数据-取费表'!N16)</f>
        <v>1</v>
      </c>
      <c r="G34" s="166" t="s">
        <v>2102</v>
      </c>
    </row>
    <row r="35" spans="1:7" ht="13.5" customHeight="1">
      <c r="A35" s="192" t="s">
        <v>1031</v>
      </c>
      <c r="B35" s="162" t="s">
        <v>2103</v>
      </c>
      <c r="C35" s="167">
        <f>ROUND(C34*F35,0)</f>
        <v>97</v>
      </c>
      <c r="D35" s="167"/>
      <c r="E35" s="167"/>
      <c r="F35" s="214">
        <f>'数据-取费表'!B33</f>
        <v>0.03</v>
      </c>
      <c r="G35" s="166" t="s">
        <v>2104</v>
      </c>
    </row>
    <row r="36" spans="1:7" ht="24">
      <c r="A36" s="192" t="s">
        <v>1033</v>
      </c>
      <c r="B36" s="162" t="s">
        <v>2105</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2106</v>
      </c>
    </row>
    <row r="37" spans="1:7" s="140" customFormat="1" ht="13.5" customHeight="1">
      <c r="A37" s="192" t="s">
        <v>1076</v>
      </c>
      <c r="B37" s="162" t="s">
        <v>2107</v>
      </c>
      <c r="C37" s="205">
        <f>ROUND(E37*D37*F34/10000,0)</f>
        <v>324</v>
      </c>
      <c r="D37" s="164">
        <f>'数据-汇总表'!E3</f>
        <v>17987.810000000001</v>
      </c>
      <c r="E37" s="205">
        <f>'数据-取费表'!B35</f>
        <v>180</v>
      </c>
      <c r="F37" s="214"/>
      <c r="G37" s="216" t="s">
        <v>2108</v>
      </c>
    </row>
    <row r="38" spans="1:7" ht="13.5" customHeight="1">
      <c r="A38" s="192" t="s">
        <v>1098</v>
      </c>
      <c r="B38" s="162" t="s">
        <v>2062</v>
      </c>
      <c r="C38" s="167">
        <f>ROUND(C34*F38,0)</f>
        <v>49</v>
      </c>
      <c r="D38" s="167"/>
      <c r="E38" s="167"/>
      <c r="F38" s="214">
        <f>'数据-取费表'!B36</f>
        <v>1.4999999999999999E-2</v>
      </c>
      <c r="G38" s="166" t="s">
        <v>2104</v>
      </c>
    </row>
    <row r="39" spans="1:7" s="138" customFormat="1" ht="13.5" customHeight="1">
      <c r="A39" s="181" t="s">
        <v>1434</v>
      </c>
      <c r="B39" s="157" t="s">
        <v>2073</v>
      </c>
      <c r="C39" s="184">
        <f>ROUND(C33*F20,0)</f>
        <v>74</v>
      </c>
      <c r="D39" s="184"/>
      <c r="E39" s="184"/>
      <c r="F39" s="185"/>
      <c r="G39" s="186" t="s">
        <v>2109</v>
      </c>
    </row>
    <row r="40" spans="1:7" s="138" customFormat="1" ht="13.5" customHeight="1">
      <c r="A40" s="181" t="s">
        <v>2072</v>
      </c>
      <c r="B40" s="157" t="s">
        <v>2076</v>
      </c>
      <c r="C40" s="217">
        <f>F21</f>
        <v>0.02</v>
      </c>
      <c r="D40" s="188" t="s">
        <v>2110</v>
      </c>
      <c r="E40" s="184"/>
      <c r="F40" s="185"/>
      <c r="G40" s="189" t="s">
        <v>2111</v>
      </c>
    </row>
    <row r="41" spans="1:7" s="138" customFormat="1" ht="13.5" customHeight="1">
      <c r="A41" s="181" t="s">
        <v>2075</v>
      </c>
      <c r="B41" s="157" t="s">
        <v>2080</v>
      </c>
      <c r="C41" s="184">
        <f ca="1">ROUND(SUM(C42:C43),0)</f>
        <v>83</v>
      </c>
      <c r="D41" s="187">
        <f ca="1">C44</f>
        <v>4.0000000000000002E-4</v>
      </c>
      <c r="E41" s="188" t="s">
        <v>2110</v>
      </c>
      <c r="F41" s="191"/>
      <c r="G41" s="186" t="str">
        <f>IF('数据-取费表'!B22&lt;=1,"单利计息","复利计息")</f>
        <v>单利计息</v>
      </c>
    </row>
    <row r="42" spans="1:7" ht="13.5" customHeight="1">
      <c r="A42" s="192" t="s">
        <v>1029</v>
      </c>
      <c r="B42" s="162" t="s">
        <v>2081</v>
      </c>
      <c r="C42" s="194">
        <f ca="1">ROUND(IF('数据-取费表'!B22&lt;=1,C33*F22*'数据-取费表'!B21/2,C33*(POWER((1+F22),'数据-取费表'!B21/2)-1)),0)</f>
        <v>81</v>
      </c>
      <c r="D42" s="194"/>
      <c r="E42" s="194"/>
      <c r="F42" s="195"/>
      <c r="G42" s="3205" t="s">
        <v>2112</v>
      </c>
    </row>
    <row r="43" spans="1:7" ht="13.5" customHeight="1">
      <c r="A43" s="192" t="s">
        <v>1031</v>
      </c>
      <c r="B43" s="162" t="s">
        <v>2083</v>
      </c>
      <c r="C43" s="194">
        <f ca="1">ROUND(IF('数据-取费表'!B22&lt;=1,C39*F22*'数据-取费表'!B21/2,C39*(POWER((1+F22),'数据-取费表'!B21/2)-1)),0)</f>
        <v>2</v>
      </c>
      <c r="D43" s="194"/>
      <c r="E43" s="194"/>
      <c r="F43" s="195"/>
      <c r="G43" s="3206"/>
    </row>
    <row r="44" spans="1:7" ht="13.5" customHeight="1">
      <c r="A44" s="192" t="s">
        <v>1033</v>
      </c>
      <c r="B44" s="162" t="s">
        <v>2085</v>
      </c>
      <c r="C44" s="194">
        <f ca="1">ROUND(IF('数据-取费表'!B22&lt;=1,C40*F22*'数据-取费表'!B21/2,C40*(POWER((1+F22),'数据-取费表'!B21/2)-1)),4)</f>
        <v>4.0000000000000002E-4</v>
      </c>
      <c r="D44" s="194"/>
      <c r="E44" s="194"/>
      <c r="F44" s="195"/>
      <c r="G44" s="3207"/>
    </row>
    <row r="45" spans="1:7" s="138" customFormat="1" ht="13.5" customHeight="1">
      <c r="A45" s="181" t="s">
        <v>2079</v>
      </c>
      <c r="B45" s="200" t="s">
        <v>2089</v>
      </c>
      <c r="C45" s="201">
        <f>C46</f>
        <v>378</v>
      </c>
      <c r="D45" s="187">
        <f>C47</f>
        <v>2E-3</v>
      </c>
      <c r="E45" s="188" t="s">
        <v>2110</v>
      </c>
      <c r="F45" s="202"/>
      <c r="G45" s="203" t="s">
        <v>2113</v>
      </c>
    </row>
    <row r="46" spans="1:7" s="138" customFormat="1" ht="13.5" customHeight="1">
      <c r="A46" s="192" t="s">
        <v>1029</v>
      </c>
      <c r="B46" s="204" t="s">
        <v>2114</v>
      </c>
      <c r="C46" s="205">
        <f>ROUND((C33+C39)*F27,0)</f>
        <v>378</v>
      </c>
      <c r="D46" s="218"/>
      <c r="E46" s="188"/>
      <c r="F46" s="202"/>
      <c r="G46" s="203"/>
    </row>
    <row r="47" spans="1:7" s="138" customFormat="1" ht="13.5" customHeight="1">
      <c r="A47" s="192" t="s">
        <v>1031</v>
      </c>
      <c r="B47" s="204" t="s">
        <v>2115</v>
      </c>
      <c r="C47" s="194">
        <f>ROUND(C40*F27,4)</f>
        <v>2E-3</v>
      </c>
      <c r="D47" s="218"/>
      <c r="E47" s="188"/>
      <c r="F47" s="202"/>
      <c r="G47" s="203"/>
    </row>
    <row r="48" spans="1:7" s="138" customFormat="1" ht="13.5" customHeight="1">
      <c r="A48" s="181" t="s">
        <v>2088</v>
      </c>
      <c r="B48" s="157" t="s">
        <v>2094</v>
      </c>
      <c r="C48" s="217">
        <f>F30</f>
        <v>5.5E-2</v>
      </c>
      <c r="D48" s="188" t="s">
        <v>2116</v>
      </c>
      <c r="E48" s="184"/>
      <c r="F48" s="191"/>
      <c r="G48" s="189" t="s">
        <v>2117</v>
      </c>
    </row>
    <row r="49" spans="1:7" ht="16.5" customHeight="1">
      <c r="A49" s="181" t="s">
        <v>2093</v>
      </c>
      <c r="B49" s="157" t="s">
        <v>2118</v>
      </c>
      <c r="C49" s="184">
        <f ca="1">ROUND((C33+C39+C41+C45)/(1-C40-D41-D45-C48/(1+'数据-取费表'!B42)),0)</f>
        <v>4586</v>
      </c>
      <c r="D49" s="184"/>
      <c r="E49" s="184"/>
      <c r="F49" s="219"/>
      <c r="G49" s="189" t="s">
        <v>2119</v>
      </c>
    </row>
    <row r="50" spans="1:7" s="140" customFormat="1" ht="24">
      <c r="A50" s="181" t="s">
        <v>2120</v>
      </c>
      <c r="B50" s="157" t="s">
        <v>2121</v>
      </c>
      <c r="C50" s="184"/>
      <c r="D50" s="184"/>
      <c r="E50" s="184"/>
      <c r="F50" s="219">
        <f>IF('数据-取费表'!B24=0,'数据-取费表'!N16,1)</f>
        <v>0.99</v>
      </c>
      <c r="G50" s="203" t="s">
        <v>2122</v>
      </c>
    </row>
    <row r="51" spans="1:7" ht="16.5" customHeight="1">
      <c r="A51" s="181" t="s">
        <v>2123</v>
      </c>
      <c r="B51" s="157" t="s">
        <v>2124</v>
      </c>
      <c r="C51" s="184">
        <f ca="1">ROUND(C49*F50,0)</f>
        <v>4540</v>
      </c>
      <c r="D51" s="184"/>
      <c r="E51" s="184"/>
      <c r="F51" s="219"/>
      <c r="G51" s="189" t="s">
        <v>2125</v>
      </c>
    </row>
    <row r="52" spans="1:7" s="137" customFormat="1" ht="15.75">
      <c r="A52" s="220" t="s">
        <v>2126</v>
      </c>
      <c r="B52" s="221"/>
      <c r="C52" s="222">
        <f ca="1">C31+C51</f>
        <v>31173</v>
      </c>
      <c r="D52" s="221"/>
      <c r="E52" s="221"/>
      <c r="F52" s="221"/>
      <c r="G52" s="223"/>
    </row>
    <row r="55" spans="1:7" ht="15">
      <c r="B55" s="224" t="s">
        <v>2127</v>
      </c>
      <c r="C55" s="225"/>
    </row>
    <row r="56" spans="1:7">
      <c r="B56" s="226" t="s">
        <v>2128</v>
      </c>
      <c r="C56" s="227">
        <f ca="1">ROUND(C51/C52,3)</f>
        <v>0.14599999999999999</v>
      </c>
    </row>
    <row r="57" spans="1:7">
      <c r="B57" s="226" t="s">
        <v>2129</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97" t="s">
        <v>2130</v>
      </c>
      <c r="B1" s="3297"/>
      <c r="C1" s="3297"/>
      <c r="D1" s="3297"/>
      <c r="E1" s="3297"/>
      <c r="F1" s="3297"/>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8" t="s">
        <v>2131</v>
      </c>
      <c r="B2" s="3298"/>
      <c r="C2" s="3298"/>
      <c r="D2" s="3298"/>
      <c r="E2" s="3298"/>
      <c r="F2" s="3298"/>
      <c r="H2" s="119" t="s">
        <v>2132</v>
      </c>
      <c r="I2" s="95" t="s">
        <v>2133</v>
      </c>
      <c r="J2" s="95" t="s">
        <v>2134</v>
      </c>
      <c r="K2" s="95" t="s">
        <v>2135</v>
      </c>
      <c r="L2" s="95" t="s">
        <v>2136</v>
      </c>
      <c r="M2" s="95" t="s">
        <v>2137</v>
      </c>
      <c r="N2" s="95" t="s">
        <v>2138</v>
      </c>
      <c r="O2" s="95" t="s">
        <v>2139</v>
      </c>
      <c r="P2" s="95" t="s">
        <v>2140</v>
      </c>
      <c r="Q2" s="95" t="s">
        <v>2141</v>
      </c>
      <c r="R2" s="95" t="s">
        <v>2142</v>
      </c>
      <c r="S2" s="95" t="s">
        <v>2143</v>
      </c>
    </row>
    <row r="3" spans="1:19" s="116" customFormat="1" ht="19.5" customHeight="1">
      <c r="A3" s="3299" t="s">
        <v>2144</v>
      </c>
      <c r="B3" s="120"/>
      <c r="C3" s="121" t="s">
        <v>1727</v>
      </c>
      <c r="D3" s="121" t="s">
        <v>1728</v>
      </c>
      <c r="E3" s="121" t="s">
        <v>1729</v>
      </c>
      <c r="F3" s="121" t="s">
        <v>468</v>
      </c>
      <c r="G3" s="122"/>
      <c r="H3" s="119" t="s">
        <v>2145</v>
      </c>
      <c r="I3" s="95" t="s">
        <v>2146</v>
      </c>
      <c r="J3" s="95" t="s">
        <v>2147</v>
      </c>
      <c r="K3" s="95" t="s">
        <v>2148</v>
      </c>
      <c r="L3" s="95" t="s">
        <v>2149</v>
      </c>
      <c r="M3" s="95" t="s">
        <v>2150</v>
      </c>
      <c r="N3" s="95" t="s">
        <v>2151</v>
      </c>
      <c r="O3" s="95" t="s">
        <v>2152</v>
      </c>
      <c r="P3" s="95" t="s">
        <v>2153</v>
      </c>
      <c r="Q3" s="95" t="s">
        <v>2154</v>
      </c>
      <c r="R3" s="95" t="s">
        <v>2155</v>
      </c>
      <c r="S3" s="95" t="s">
        <v>2156</v>
      </c>
    </row>
    <row r="4" spans="1:19" s="116" customFormat="1" ht="19.5" customHeight="1">
      <c r="A4" s="3300"/>
      <c r="B4" s="123" t="s">
        <v>2157</v>
      </c>
      <c r="C4" s="123" t="s">
        <v>2158</v>
      </c>
      <c r="D4" s="123" t="s">
        <v>2158</v>
      </c>
      <c r="E4" s="123" t="s">
        <v>2158</v>
      </c>
      <c r="F4" s="124" t="s">
        <v>2158</v>
      </c>
      <c r="G4" s="122"/>
      <c r="H4" s="119" t="s">
        <v>2159</v>
      </c>
      <c r="I4" s="95" t="s">
        <v>2160</v>
      </c>
      <c r="J4" s="95" t="s">
        <v>2161</v>
      </c>
      <c r="K4" s="95" t="s">
        <v>2162</v>
      </c>
      <c r="L4" s="95" t="s">
        <v>2163</v>
      </c>
      <c r="M4" s="95" t="s">
        <v>2164</v>
      </c>
      <c r="N4" s="95" t="s">
        <v>2165</v>
      </c>
      <c r="O4" s="95" t="s">
        <v>2166</v>
      </c>
      <c r="P4" s="95" t="s">
        <v>2167</v>
      </c>
      <c r="Q4" s="95" t="s">
        <v>2168</v>
      </c>
      <c r="R4" s="95" t="s">
        <v>2169</v>
      </c>
      <c r="S4" s="95" t="s">
        <v>2170</v>
      </c>
    </row>
    <row r="5" spans="1:19" ht="14.25" customHeight="1">
      <c r="A5" s="91" t="s">
        <v>232</v>
      </c>
      <c r="B5" s="92" t="s">
        <v>2132</v>
      </c>
      <c r="C5" s="92">
        <v>29530</v>
      </c>
      <c r="D5" s="92">
        <v>28130</v>
      </c>
      <c r="E5" s="92">
        <v>27930</v>
      </c>
      <c r="F5" s="125">
        <v>11300</v>
      </c>
      <c r="G5" s="122"/>
      <c r="H5" s="119" t="s">
        <v>2171</v>
      </c>
      <c r="I5" s="95" t="s">
        <v>2172</v>
      </c>
      <c r="J5" s="95" t="s">
        <v>2173</v>
      </c>
      <c r="K5" s="95" t="s">
        <v>2174</v>
      </c>
      <c r="L5" s="95" t="s">
        <v>2175</v>
      </c>
      <c r="M5" s="95" t="s">
        <v>2176</v>
      </c>
      <c r="N5" s="95" t="s">
        <v>2177</v>
      </c>
      <c r="O5" s="95" t="s">
        <v>2178</v>
      </c>
      <c r="P5" s="95" t="s">
        <v>2179</v>
      </c>
      <c r="Q5" s="95" t="s">
        <v>2180</v>
      </c>
      <c r="R5" s="95" t="s">
        <v>2181</v>
      </c>
      <c r="S5" s="95" t="s">
        <v>2182</v>
      </c>
    </row>
    <row r="6" spans="1:19" ht="14.25" customHeight="1">
      <c r="A6" s="91" t="s">
        <v>232</v>
      </c>
      <c r="B6" s="95" t="s">
        <v>2145</v>
      </c>
      <c r="C6" s="95">
        <v>30290</v>
      </c>
      <c r="D6" s="95">
        <v>29210</v>
      </c>
      <c r="E6" s="95">
        <v>28860</v>
      </c>
      <c r="F6" s="126">
        <v>12600</v>
      </c>
      <c r="G6" s="122"/>
      <c r="H6" s="119" t="s">
        <v>2183</v>
      </c>
      <c r="I6" s="95" t="s">
        <v>2184</v>
      </c>
      <c r="J6" s="95" t="s">
        <v>2185</v>
      </c>
      <c r="K6" s="95" t="s">
        <v>2186</v>
      </c>
      <c r="L6" s="95" t="s">
        <v>2187</v>
      </c>
      <c r="M6" s="95" t="s">
        <v>2188</v>
      </c>
      <c r="N6" s="95" t="s">
        <v>2189</v>
      </c>
      <c r="O6" s="95" t="s">
        <v>2190</v>
      </c>
      <c r="P6" s="95" t="s">
        <v>2191</v>
      </c>
      <c r="Q6" s="95" t="s">
        <v>2192</v>
      </c>
      <c r="R6" s="95" t="s">
        <v>2193</v>
      </c>
      <c r="S6" s="95" t="s">
        <v>2194</v>
      </c>
    </row>
    <row r="7" spans="1:19" ht="14.25" customHeight="1">
      <c r="A7" s="91" t="s">
        <v>232</v>
      </c>
      <c r="B7" s="98" t="s">
        <v>2159</v>
      </c>
      <c r="C7" s="95">
        <v>29350</v>
      </c>
      <c r="D7" s="95">
        <v>28410</v>
      </c>
      <c r="E7" s="95">
        <v>27990</v>
      </c>
      <c r="F7" s="126">
        <v>12300</v>
      </c>
      <c r="G7" s="122"/>
      <c r="I7" s="95" t="s">
        <v>2195</v>
      </c>
      <c r="J7" s="95" t="s">
        <v>2196</v>
      </c>
      <c r="K7" s="95" t="s">
        <v>2197</v>
      </c>
      <c r="L7" s="95" t="s">
        <v>2198</v>
      </c>
      <c r="M7" s="95" t="s">
        <v>2199</v>
      </c>
      <c r="N7" s="95" t="s">
        <v>2200</v>
      </c>
      <c r="O7" s="95" t="s">
        <v>2201</v>
      </c>
      <c r="P7" s="95" t="s">
        <v>2202</v>
      </c>
      <c r="Q7" s="95" t="s">
        <v>2203</v>
      </c>
      <c r="R7" s="95" t="s">
        <v>2204</v>
      </c>
      <c r="S7" s="98" t="s">
        <v>2205</v>
      </c>
    </row>
    <row r="8" spans="1:19" ht="14.25" customHeight="1">
      <c r="A8" s="91" t="s">
        <v>232</v>
      </c>
      <c r="B8" s="95" t="s">
        <v>2171</v>
      </c>
      <c r="C8" s="95">
        <v>30890</v>
      </c>
      <c r="D8" s="95">
        <v>29780</v>
      </c>
      <c r="E8" s="95">
        <v>29270</v>
      </c>
      <c r="F8" s="126">
        <v>11600</v>
      </c>
      <c r="G8" s="122"/>
      <c r="I8" s="95" t="s">
        <v>2206</v>
      </c>
      <c r="J8" s="95" t="s">
        <v>2207</v>
      </c>
      <c r="K8" s="95" t="s">
        <v>2208</v>
      </c>
      <c r="L8" s="95" t="s">
        <v>2209</v>
      </c>
      <c r="M8" s="95" t="s">
        <v>2210</v>
      </c>
      <c r="N8" s="95" t="s">
        <v>2211</v>
      </c>
      <c r="O8" s="95" t="s">
        <v>2212</v>
      </c>
      <c r="P8" s="95" t="s">
        <v>2213</v>
      </c>
      <c r="Q8" s="95" t="s">
        <v>2214</v>
      </c>
      <c r="R8" s="95" t="s">
        <v>2215</v>
      </c>
      <c r="S8" s="95" t="s">
        <v>2216</v>
      </c>
    </row>
    <row r="9" spans="1:19" ht="14.25" customHeight="1">
      <c r="A9" s="91" t="s">
        <v>232</v>
      </c>
      <c r="B9" s="100" t="s">
        <v>2183</v>
      </c>
      <c r="C9" s="106">
        <v>28140</v>
      </c>
      <c r="D9" s="106"/>
      <c r="E9" s="106"/>
      <c r="F9" s="127"/>
      <c r="G9" s="122"/>
      <c r="I9" s="95" t="s">
        <v>2217</v>
      </c>
      <c r="J9" s="95" t="s">
        <v>2218</v>
      </c>
      <c r="K9" s="95" t="s">
        <v>2219</v>
      </c>
      <c r="L9" s="95" t="s">
        <v>2220</v>
      </c>
      <c r="M9" s="95" t="s">
        <v>2221</v>
      </c>
      <c r="N9" s="95" t="s">
        <v>2222</v>
      </c>
      <c r="O9" s="95" t="s">
        <v>2223</v>
      </c>
      <c r="P9" s="95" t="s">
        <v>2224</v>
      </c>
      <c r="Q9" s="95" t="s">
        <v>2225</v>
      </c>
      <c r="R9" s="95" t="s">
        <v>2226</v>
      </c>
    </row>
    <row r="10" spans="1:19" ht="14.25" customHeight="1">
      <c r="A10" s="91" t="s">
        <v>243</v>
      </c>
      <c r="B10" s="92" t="s">
        <v>2133</v>
      </c>
      <c r="C10" s="92">
        <v>27450</v>
      </c>
      <c r="D10" s="92">
        <v>26180</v>
      </c>
      <c r="E10" s="92">
        <v>25980</v>
      </c>
      <c r="F10" s="125">
        <v>8910</v>
      </c>
      <c r="G10" s="122"/>
      <c r="I10" s="95" t="s">
        <v>2227</v>
      </c>
      <c r="J10" s="95" t="s">
        <v>2228</v>
      </c>
      <c r="K10" s="95" t="s">
        <v>2229</v>
      </c>
      <c r="L10" s="95" t="s">
        <v>2230</v>
      </c>
      <c r="M10" s="95" t="s">
        <v>2231</v>
      </c>
      <c r="N10" s="95" t="s">
        <v>2232</v>
      </c>
      <c r="O10" s="95" t="s">
        <v>2233</v>
      </c>
      <c r="P10" s="95" t="s">
        <v>2234</v>
      </c>
      <c r="Q10" s="95" t="s">
        <v>2235</v>
      </c>
      <c r="R10" s="95" t="s">
        <v>2236</v>
      </c>
    </row>
    <row r="11" spans="1:19" ht="14.25" customHeight="1">
      <c r="A11" s="91" t="s">
        <v>243</v>
      </c>
      <c r="B11" s="98" t="s">
        <v>2146</v>
      </c>
      <c r="C11" s="95">
        <v>22950</v>
      </c>
      <c r="D11" s="95">
        <v>22630</v>
      </c>
      <c r="E11" s="95">
        <v>22030</v>
      </c>
      <c r="F11" s="128">
        <v>8330</v>
      </c>
      <c r="G11" s="122"/>
      <c r="I11" s="95" t="s">
        <v>2237</v>
      </c>
      <c r="J11" s="95" t="s">
        <v>2238</v>
      </c>
      <c r="K11" s="95" t="s">
        <v>2239</v>
      </c>
      <c r="L11" s="95" t="s">
        <v>2240</v>
      </c>
      <c r="M11" s="95" t="s">
        <v>2241</v>
      </c>
      <c r="N11" s="95" t="s">
        <v>2242</v>
      </c>
      <c r="O11" s="95" t="s">
        <v>2243</v>
      </c>
      <c r="P11" s="95" t="s">
        <v>2244</v>
      </c>
      <c r="Q11" s="95" t="s">
        <v>2245</v>
      </c>
      <c r="R11" s="95" t="s">
        <v>2246</v>
      </c>
    </row>
    <row r="12" spans="1:19" ht="14.25" customHeight="1">
      <c r="A12" s="91" t="s">
        <v>243</v>
      </c>
      <c r="B12" s="98" t="s">
        <v>2160</v>
      </c>
      <c r="C12" s="95">
        <v>24940</v>
      </c>
      <c r="D12" s="95">
        <v>23180</v>
      </c>
      <c r="E12" s="95">
        <v>22910</v>
      </c>
      <c r="F12" s="128">
        <v>7180</v>
      </c>
      <c r="G12" s="122"/>
      <c r="I12" s="95" t="s">
        <v>2247</v>
      </c>
      <c r="J12" s="95" t="s">
        <v>2248</v>
      </c>
      <c r="K12" s="95" t="s">
        <v>2249</v>
      </c>
      <c r="L12" s="95" t="s">
        <v>2250</v>
      </c>
      <c r="M12" s="95" t="s">
        <v>2251</v>
      </c>
      <c r="N12" s="95" t="s">
        <v>2252</v>
      </c>
      <c r="O12" s="95" t="s">
        <v>2253</v>
      </c>
      <c r="P12" s="95" t="s">
        <v>2254</v>
      </c>
      <c r="Q12" s="95" t="s">
        <v>2255</v>
      </c>
      <c r="R12" s="95" t="s">
        <v>2256</v>
      </c>
    </row>
    <row r="13" spans="1:19" ht="14.25" customHeight="1">
      <c r="A13" s="91" t="s">
        <v>243</v>
      </c>
      <c r="B13" s="98" t="s">
        <v>2172</v>
      </c>
      <c r="C13" s="95">
        <v>24140</v>
      </c>
      <c r="D13" s="95">
        <v>22270</v>
      </c>
      <c r="E13" s="95">
        <v>21950</v>
      </c>
      <c r="F13" s="128">
        <v>7600</v>
      </c>
      <c r="G13" s="122"/>
      <c r="I13" s="95" t="s">
        <v>2257</v>
      </c>
      <c r="J13" s="95" t="s">
        <v>2258</v>
      </c>
      <c r="K13" s="95" t="s">
        <v>2259</v>
      </c>
      <c r="L13" s="95" t="s">
        <v>2260</v>
      </c>
      <c r="M13" s="95" t="s">
        <v>2261</v>
      </c>
      <c r="N13" s="95" t="s">
        <v>2262</v>
      </c>
      <c r="O13" s="95" t="s">
        <v>2263</v>
      </c>
      <c r="P13" s="95" t="s">
        <v>2264</v>
      </c>
      <c r="Q13" s="95" t="s">
        <v>2265</v>
      </c>
      <c r="R13" s="95" t="s">
        <v>2266</v>
      </c>
    </row>
    <row r="14" spans="1:19" ht="14.25" customHeight="1">
      <c r="A14" s="91" t="s">
        <v>243</v>
      </c>
      <c r="B14" s="98" t="s">
        <v>2184</v>
      </c>
      <c r="C14" s="95">
        <v>25600</v>
      </c>
      <c r="D14" s="95">
        <v>22260</v>
      </c>
      <c r="E14" s="95">
        <v>22110</v>
      </c>
      <c r="F14" s="128">
        <v>7630</v>
      </c>
      <c r="G14" s="122"/>
      <c r="I14" s="95" t="s">
        <v>2267</v>
      </c>
      <c r="J14" s="95" t="s">
        <v>2268</v>
      </c>
      <c r="K14" s="95" t="s">
        <v>2269</v>
      </c>
      <c r="L14" s="95" t="s">
        <v>2270</v>
      </c>
      <c r="M14" s="95" t="s">
        <v>2271</v>
      </c>
      <c r="N14" s="95" t="s">
        <v>2272</v>
      </c>
      <c r="O14" s="95" t="s">
        <v>2273</v>
      </c>
      <c r="P14" s="95" t="s">
        <v>2274</v>
      </c>
      <c r="Q14" s="95" t="s">
        <v>2275</v>
      </c>
      <c r="R14" s="95" t="s">
        <v>2276</v>
      </c>
    </row>
    <row r="15" spans="1:19" ht="14.25" customHeight="1">
      <c r="A15" s="91" t="s">
        <v>243</v>
      </c>
      <c r="B15" s="98" t="s">
        <v>2195</v>
      </c>
      <c r="C15" s="95">
        <v>24760</v>
      </c>
      <c r="D15" s="95">
        <v>24440</v>
      </c>
      <c r="E15" s="95">
        <v>24130</v>
      </c>
      <c r="F15" s="128">
        <v>9480</v>
      </c>
      <c r="G15" s="122"/>
      <c r="I15" s="95" t="s">
        <v>2277</v>
      </c>
      <c r="J15" s="95" t="s">
        <v>2278</v>
      </c>
      <c r="K15" s="95" t="s">
        <v>2279</v>
      </c>
      <c r="L15" s="95" t="s">
        <v>2280</v>
      </c>
      <c r="M15" s="95" t="s">
        <v>2281</v>
      </c>
      <c r="N15" s="95" t="s">
        <v>2282</v>
      </c>
      <c r="O15" s="95" t="s">
        <v>2283</v>
      </c>
      <c r="P15" s="95" t="s">
        <v>2284</v>
      </c>
      <c r="Q15" s="95" t="s">
        <v>2285</v>
      </c>
      <c r="R15" s="95" t="s">
        <v>2286</v>
      </c>
    </row>
    <row r="16" spans="1:19" ht="14.25" customHeight="1">
      <c r="A16" s="91" t="s">
        <v>243</v>
      </c>
      <c r="B16" s="98" t="s">
        <v>2206</v>
      </c>
      <c r="C16" s="95">
        <v>22220</v>
      </c>
      <c r="D16" s="95">
        <v>22310</v>
      </c>
      <c r="E16" s="95">
        <v>22000</v>
      </c>
      <c r="F16" s="128">
        <v>8900</v>
      </c>
      <c r="G16" s="122"/>
      <c r="I16" s="95" t="s">
        <v>2287</v>
      </c>
      <c r="J16" s="95" t="s">
        <v>2288</v>
      </c>
      <c r="K16" s="95" t="s">
        <v>2289</v>
      </c>
      <c r="L16" s="95" t="s">
        <v>2290</v>
      </c>
      <c r="M16" s="95" t="s">
        <v>2291</v>
      </c>
      <c r="N16" s="95" t="s">
        <v>2292</v>
      </c>
      <c r="O16" s="95" t="s">
        <v>2293</v>
      </c>
      <c r="P16" s="95" t="s">
        <v>2294</v>
      </c>
      <c r="Q16" s="95" t="s">
        <v>2295</v>
      </c>
      <c r="R16" s="95" t="s">
        <v>2296</v>
      </c>
    </row>
    <row r="17" spans="1:18" ht="14.25" customHeight="1">
      <c r="A17" s="91" t="s">
        <v>243</v>
      </c>
      <c r="B17" s="98" t="s">
        <v>2217</v>
      </c>
      <c r="C17" s="95">
        <v>24700</v>
      </c>
      <c r="D17" s="95">
        <v>25150</v>
      </c>
      <c r="E17" s="95">
        <v>24700</v>
      </c>
      <c r="F17" s="129"/>
      <c r="G17" s="122"/>
      <c r="I17" s="95" t="s">
        <v>2297</v>
      </c>
      <c r="J17" s="95" t="s">
        <v>2298</v>
      </c>
      <c r="K17" s="95" t="s">
        <v>2299</v>
      </c>
      <c r="L17" s="95" t="s">
        <v>2300</v>
      </c>
      <c r="M17" s="95" t="s">
        <v>2301</v>
      </c>
      <c r="N17" s="95" t="s">
        <v>2302</v>
      </c>
      <c r="O17" s="95" t="s">
        <v>2303</v>
      </c>
      <c r="P17" s="95" t="s">
        <v>2304</v>
      </c>
      <c r="Q17" s="95" t="s">
        <v>2305</v>
      </c>
      <c r="R17" s="95" t="s">
        <v>2306</v>
      </c>
    </row>
    <row r="18" spans="1:18" ht="14.25" customHeight="1">
      <c r="A18" s="91" t="s">
        <v>243</v>
      </c>
      <c r="B18" s="98" t="s">
        <v>2227</v>
      </c>
      <c r="C18" s="95">
        <v>22350</v>
      </c>
      <c r="D18" s="95">
        <v>24340</v>
      </c>
      <c r="E18" s="95">
        <v>24100</v>
      </c>
      <c r="F18" s="129"/>
      <c r="G18" s="122"/>
      <c r="I18" s="95" t="s">
        <v>2307</v>
      </c>
      <c r="J18" s="95" t="s">
        <v>2308</v>
      </c>
      <c r="K18" s="95" t="s">
        <v>2309</v>
      </c>
      <c r="L18" s="95" t="s">
        <v>2310</v>
      </c>
      <c r="M18" s="95" t="s">
        <v>2311</v>
      </c>
      <c r="N18" s="95" t="s">
        <v>2312</v>
      </c>
      <c r="O18" s="95" t="s">
        <v>2313</v>
      </c>
      <c r="P18" s="95" t="s">
        <v>2314</v>
      </c>
      <c r="Q18" s="95" t="s">
        <v>2315</v>
      </c>
      <c r="R18" s="95" t="s">
        <v>2316</v>
      </c>
    </row>
    <row r="19" spans="1:18" ht="14.25" customHeight="1">
      <c r="A19" s="91" t="s">
        <v>243</v>
      </c>
      <c r="B19" s="98" t="s">
        <v>2237</v>
      </c>
      <c r="C19" s="95">
        <v>23430</v>
      </c>
      <c r="D19" s="95">
        <v>21580</v>
      </c>
      <c r="E19" s="95">
        <v>21350</v>
      </c>
      <c r="F19" s="129"/>
      <c r="G19" s="122"/>
      <c r="I19" s="95" t="s">
        <v>2317</v>
      </c>
      <c r="J19" s="95" t="s">
        <v>2318</v>
      </c>
      <c r="K19" s="95" t="s">
        <v>2319</v>
      </c>
      <c r="L19" s="95" t="s">
        <v>2320</v>
      </c>
      <c r="M19" s="95" t="s">
        <v>2321</v>
      </c>
      <c r="N19" s="95" t="s">
        <v>2322</v>
      </c>
      <c r="O19" s="95" t="s">
        <v>2323</v>
      </c>
      <c r="P19" s="95" t="s">
        <v>2324</v>
      </c>
      <c r="Q19" s="95" t="s">
        <v>2325</v>
      </c>
      <c r="R19" s="95" t="s">
        <v>2326</v>
      </c>
    </row>
    <row r="20" spans="1:18" ht="14.25" customHeight="1">
      <c r="A20" s="91" t="s">
        <v>243</v>
      </c>
      <c r="B20" s="98" t="s">
        <v>2247</v>
      </c>
      <c r="C20" s="95">
        <v>27660</v>
      </c>
      <c r="D20" s="95">
        <v>24240</v>
      </c>
      <c r="E20" s="95">
        <v>24020</v>
      </c>
      <c r="F20" s="129"/>
      <c r="I20" s="95" t="s">
        <v>2327</v>
      </c>
      <c r="J20" s="95" t="s">
        <v>2328</v>
      </c>
      <c r="K20" s="95" t="s">
        <v>2329</v>
      </c>
      <c r="L20" s="95" t="s">
        <v>2330</v>
      </c>
      <c r="M20" s="95" t="s">
        <v>2331</v>
      </c>
      <c r="N20" s="95" t="s">
        <v>2332</v>
      </c>
      <c r="O20" s="95" t="s">
        <v>2333</v>
      </c>
      <c r="P20" s="95" t="s">
        <v>2334</v>
      </c>
      <c r="Q20" s="95" t="s">
        <v>2335</v>
      </c>
      <c r="R20" s="95" t="s">
        <v>2336</v>
      </c>
    </row>
    <row r="21" spans="1:18" ht="14.25" customHeight="1">
      <c r="A21" s="91" t="s">
        <v>243</v>
      </c>
      <c r="B21" s="98" t="s">
        <v>2257</v>
      </c>
      <c r="C21" s="95">
        <v>24720</v>
      </c>
      <c r="D21" s="95">
        <v>21670</v>
      </c>
      <c r="E21" s="95">
        <v>21510</v>
      </c>
      <c r="F21" s="129"/>
      <c r="J21" s="95" t="s">
        <v>2337</v>
      </c>
      <c r="K21" s="95" t="s">
        <v>2338</v>
      </c>
      <c r="L21" s="95" t="s">
        <v>2339</v>
      </c>
      <c r="M21" s="95" t="s">
        <v>2340</v>
      </c>
      <c r="N21" s="95" t="s">
        <v>2341</v>
      </c>
      <c r="O21" s="95" t="s">
        <v>2342</v>
      </c>
      <c r="P21" s="95" t="s">
        <v>2343</v>
      </c>
      <c r="Q21" s="95" t="s">
        <v>2344</v>
      </c>
      <c r="R21" s="95" t="s">
        <v>2345</v>
      </c>
    </row>
    <row r="22" spans="1:18" ht="14.25" customHeight="1">
      <c r="A22" s="91" t="s">
        <v>243</v>
      </c>
      <c r="B22" s="98" t="s">
        <v>2267</v>
      </c>
      <c r="C22" s="95">
        <v>26530</v>
      </c>
      <c r="D22" s="95">
        <v>22980</v>
      </c>
      <c r="E22" s="95">
        <v>22650</v>
      </c>
      <c r="F22" s="129"/>
      <c r="K22" s="95" t="s">
        <v>2346</v>
      </c>
      <c r="L22" s="95" t="s">
        <v>2347</v>
      </c>
      <c r="M22" s="95" t="s">
        <v>2348</v>
      </c>
      <c r="N22" s="95" t="s">
        <v>2349</v>
      </c>
      <c r="O22" s="95" t="s">
        <v>2350</v>
      </c>
      <c r="P22" s="95" t="s">
        <v>2351</v>
      </c>
      <c r="Q22" s="95" t="s">
        <v>2352</v>
      </c>
      <c r="R22" s="98" t="s">
        <v>2353</v>
      </c>
    </row>
    <row r="23" spans="1:18" ht="14.25" customHeight="1">
      <c r="A23" s="91" t="s">
        <v>243</v>
      </c>
      <c r="B23" s="98" t="s">
        <v>2277</v>
      </c>
      <c r="C23" s="95">
        <v>24700</v>
      </c>
      <c r="D23" s="95">
        <v>27290</v>
      </c>
      <c r="E23" s="95">
        <v>26710</v>
      </c>
      <c r="F23" s="129"/>
      <c r="K23" s="95" t="s">
        <v>2354</v>
      </c>
      <c r="L23" s="95" t="s">
        <v>2355</v>
      </c>
      <c r="M23" s="95" t="s">
        <v>2356</v>
      </c>
      <c r="N23" s="95" t="s">
        <v>2357</v>
      </c>
      <c r="O23" s="95" t="s">
        <v>2358</v>
      </c>
      <c r="P23" s="95" t="s">
        <v>2359</v>
      </c>
      <c r="Q23" s="95" t="s">
        <v>2360</v>
      </c>
    </row>
    <row r="24" spans="1:18" ht="14.25" customHeight="1">
      <c r="A24" s="91" t="s">
        <v>243</v>
      </c>
      <c r="B24" s="98" t="s">
        <v>2287</v>
      </c>
      <c r="C24" s="95">
        <v>23070</v>
      </c>
      <c r="D24" s="95">
        <v>24130</v>
      </c>
      <c r="E24" s="95">
        <v>23860</v>
      </c>
      <c r="F24" s="129"/>
      <c r="K24" s="95" t="s">
        <v>2361</v>
      </c>
      <c r="L24" s="95" t="s">
        <v>2362</v>
      </c>
      <c r="M24" s="95" t="s">
        <v>2363</v>
      </c>
      <c r="N24" s="95" t="s">
        <v>2364</v>
      </c>
      <c r="O24" s="95" t="s">
        <v>2365</v>
      </c>
      <c r="P24" s="95" t="s">
        <v>2366</v>
      </c>
      <c r="Q24" s="95" t="s">
        <v>2367</v>
      </c>
    </row>
    <row r="25" spans="1:18" ht="14.25" customHeight="1">
      <c r="A25" s="91" t="s">
        <v>243</v>
      </c>
      <c r="B25" s="98" t="s">
        <v>2297</v>
      </c>
      <c r="C25" s="95">
        <v>27550</v>
      </c>
      <c r="D25" s="95">
        <v>25850</v>
      </c>
      <c r="E25" s="95">
        <v>25340</v>
      </c>
      <c r="F25" s="129"/>
      <c r="K25" s="95" t="s">
        <v>2368</v>
      </c>
      <c r="L25" s="95" t="s">
        <v>2369</v>
      </c>
      <c r="M25" s="95" t="s">
        <v>2370</v>
      </c>
      <c r="N25" s="95" t="s">
        <v>2371</v>
      </c>
      <c r="O25" s="95" t="s">
        <v>2372</v>
      </c>
      <c r="P25" s="95" t="s">
        <v>2373</v>
      </c>
      <c r="Q25" s="95" t="s">
        <v>2374</v>
      </c>
    </row>
    <row r="26" spans="1:18" ht="14.25" customHeight="1">
      <c r="A26" s="91" t="s">
        <v>243</v>
      </c>
      <c r="B26" s="98" t="s">
        <v>2307</v>
      </c>
      <c r="C26" s="95"/>
      <c r="D26" s="95">
        <v>23900</v>
      </c>
      <c r="E26" s="95">
        <v>23590</v>
      </c>
      <c r="F26" s="129"/>
      <c r="K26" s="95" t="s">
        <v>2375</v>
      </c>
      <c r="L26" s="95" t="s">
        <v>2376</v>
      </c>
      <c r="M26" s="95" t="s">
        <v>2377</v>
      </c>
      <c r="N26" s="95" t="s">
        <v>2378</v>
      </c>
      <c r="O26" s="95" t="s">
        <v>2379</v>
      </c>
      <c r="P26" s="95" t="s">
        <v>2380</v>
      </c>
      <c r="Q26" s="95" t="s">
        <v>2381</v>
      </c>
    </row>
    <row r="27" spans="1:18" ht="14.25" customHeight="1">
      <c r="A27" s="91" t="s">
        <v>243</v>
      </c>
      <c r="B27" s="98" t="s">
        <v>2317</v>
      </c>
      <c r="C27" s="95"/>
      <c r="D27" s="95">
        <v>22850</v>
      </c>
      <c r="E27" s="95">
        <v>21920</v>
      </c>
      <c r="F27" s="129"/>
      <c r="K27" s="95" t="s">
        <v>2382</v>
      </c>
      <c r="L27" s="95" t="s">
        <v>2383</v>
      </c>
      <c r="M27" s="95" t="s">
        <v>2384</v>
      </c>
      <c r="N27" s="95" t="s">
        <v>2385</v>
      </c>
      <c r="O27" s="95" t="s">
        <v>2386</v>
      </c>
      <c r="P27" s="95" t="s">
        <v>2387</v>
      </c>
      <c r="Q27" s="95" t="s">
        <v>2388</v>
      </c>
    </row>
    <row r="28" spans="1:18" ht="14.25" customHeight="1">
      <c r="A28" s="99" t="s">
        <v>243</v>
      </c>
      <c r="B28" s="100" t="s">
        <v>2327</v>
      </c>
      <c r="C28" s="106"/>
      <c r="D28" s="106">
        <v>26610</v>
      </c>
      <c r="E28" s="106">
        <v>26370</v>
      </c>
      <c r="F28" s="127"/>
      <c r="K28" s="95" t="s">
        <v>2389</v>
      </c>
      <c r="L28" s="95" t="s">
        <v>2390</v>
      </c>
      <c r="M28" s="95" t="s">
        <v>2391</v>
      </c>
      <c r="N28" s="95" t="s">
        <v>2392</v>
      </c>
      <c r="O28" s="95" t="s">
        <v>2393</v>
      </c>
      <c r="P28" s="95" t="s">
        <v>2394</v>
      </c>
    </row>
    <row r="29" spans="1:18" ht="14.25" customHeight="1">
      <c r="A29" s="91" t="s">
        <v>253</v>
      </c>
      <c r="B29" s="92" t="s">
        <v>2134</v>
      </c>
      <c r="C29" s="92">
        <v>22090</v>
      </c>
      <c r="D29" s="92">
        <v>21860</v>
      </c>
      <c r="E29" s="92">
        <v>19380</v>
      </c>
      <c r="F29" s="125">
        <v>6610</v>
      </c>
      <c r="L29" s="95" t="s">
        <v>2395</v>
      </c>
      <c r="M29" s="95" t="s">
        <v>2396</v>
      </c>
      <c r="N29" s="95" t="s">
        <v>2397</v>
      </c>
      <c r="O29" s="95" t="s">
        <v>2398</v>
      </c>
      <c r="P29" s="95" t="s">
        <v>2399</v>
      </c>
    </row>
    <row r="30" spans="1:18" ht="14.25" customHeight="1">
      <c r="A30" s="91" t="s">
        <v>253</v>
      </c>
      <c r="B30" s="98" t="s">
        <v>2147</v>
      </c>
      <c r="C30" s="95">
        <v>21380</v>
      </c>
      <c r="D30" s="95">
        <v>19930</v>
      </c>
      <c r="E30" s="95">
        <v>19860</v>
      </c>
      <c r="F30" s="128">
        <v>6010</v>
      </c>
      <c r="L30" s="95" t="s">
        <v>2400</v>
      </c>
      <c r="M30" s="95" t="s">
        <v>2401</v>
      </c>
      <c r="N30" s="95" t="s">
        <v>2402</v>
      </c>
      <c r="O30" s="95" t="s">
        <v>2403</v>
      </c>
      <c r="P30" s="95" t="s">
        <v>2404</v>
      </c>
    </row>
    <row r="31" spans="1:18" ht="14.25" customHeight="1">
      <c r="A31" s="91" t="s">
        <v>253</v>
      </c>
      <c r="B31" s="98" t="s">
        <v>2161</v>
      </c>
      <c r="C31" s="95">
        <v>21670</v>
      </c>
      <c r="D31" s="95">
        <v>20660</v>
      </c>
      <c r="E31" s="95">
        <v>20290</v>
      </c>
      <c r="F31" s="128">
        <v>5840</v>
      </c>
      <c r="L31" s="95" t="s">
        <v>2405</v>
      </c>
      <c r="M31" s="95" t="s">
        <v>2406</v>
      </c>
      <c r="N31" s="95" t="s">
        <v>2407</v>
      </c>
      <c r="O31" s="95" t="s">
        <v>2408</v>
      </c>
      <c r="P31" s="95" t="s">
        <v>2409</v>
      </c>
    </row>
    <row r="32" spans="1:18" ht="14.25" customHeight="1">
      <c r="A32" s="91" t="s">
        <v>253</v>
      </c>
      <c r="B32" s="98" t="s">
        <v>2173</v>
      </c>
      <c r="C32" s="95">
        <v>22280</v>
      </c>
      <c r="D32" s="95">
        <v>21800</v>
      </c>
      <c r="E32" s="95">
        <v>17650</v>
      </c>
      <c r="F32" s="128">
        <v>4690</v>
      </c>
      <c r="L32" s="95" t="s">
        <v>2410</v>
      </c>
      <c r="M32" s="95" t="s">
        <v>2411</v>
      </c>
      <c r="N32" s="95" t="s">
        <v>2412</v>
      </c>
      <c r="O32" s="95" t="s">
        <v>2413</v>
      </c>
      <c r="P32" s="95" t="s">
        <v>2414</v>
      </c>
    </row>
    <row r="33" spans="1:16" ht="14.25" customHeight="1">
      <c r="A33" s="91" t="s">
        <v>253</v>
      </c>
      <c r="B33" s="98" t="s">
        <v>2185</v>
      </c>
      <c r="C33" s="95">
        <v>22130</v>
      </c>
      <c r="D33" s="95">
        <v>20460</v>
      </c>
      <c r="E33" s="95">
        <v>18500</v>
      </c>
      <c r="F33" s="128">
        <v>5340</v>
      </c>
      <c r="L33" s="95" t="s">
        <v>2415</v>
      </c>
      <c r="M33" s="95" t="s">
        <v>2416</v>
      </c>
      <c r="N33" s="95" t="s">
        <v>2417</v>
      </c>
      <c r="O33" s="95" t="s">
        <v>2418</v>
      </c>
      <c r="P33" s="95" t="s">
        <v>2419</v>
      </c>
    </row>
    <row r="34" spans="1:16" ht="14.25" customHeight="1">
      <c r="A34" s="91" t="s">
        <v>253</v>
      </c>
      <c r="B34" s="98" t="s">
        <v>2196</v>
      </c>
      <c r="C34" s="95">
        <v>22070</v>
      </c>
      <c r="D34" s="95">
        <v>20110</v>
      </c>
      <c r="E34" s="95">
        <v>18830</v>
      </c>
      <c r="F34" s="128">
        <v>5190</v>
      </c>
      <c r="L34" s="95" t="s">
        <v>2420</v>
      </c>
      <c r="M34" s="95" t="s">
        <v>2421</v>
      </c>
      <c r="N34" s="95" t="s">
        <v>2422</v>
      </c>
      <c r="O34" s="95" t="s">
        <v>2423</v>
      </c>
      <c r="P34" s="95" t="s">
        <v>2424</v>
      </c>
    </row>
    <row r="35" spans="1:16" ht="14.25" customHeight="1">
      <c r="A35" s="91" t="s">
        <v>253</v>
      </c>
      <c r="B35" s="98" t="s">
        <v>2207</v>
      </c>
      <c r="C35" s="95">
        <v>22240</v>
      </c>
      <c r="D35" s="95">
        <v>19550</v>
      </c>
      <c r="E35" s="95">
        <v>19220</v>
      </c>
      <c r="F35" s="128">
        <v>5800</v>
      </c>
      <c r="L35" s="95" t="s">
        <v>2425</v>
      </c>
      <c r="M35" s="95" t="s">
        <v>2426</v>
      </c>
      <c r="N35" s="95" t="s">
        <v>2427</v>
      </c>
      <c r="O35" s="95" t="s">
        <v>2428</v>
      </c>
      <c r="P35" s="95" t="s">
        <v>2429</v>
      </c>
    </row>
    <row r="36" spans="1:16" ht="14.25" customHeight="1">
      <c r="A36" s="91" t="s">
        <v>253</v>
      </c>
      <c r="B36" s="98" t="s">
        <v>2218</v>
      </c>
      <c r="C36" s="95">
        <v>19750</v>
      </c>
      <c r="D36" s="95">
        <v>19790</v>
      </c>
      <c r="E36" s="95">
        <v>18510</v>
      </c>
      <c r="F36" s="128">
        <v>6520</v>
      </c>
      <c r="M36" s="95" t="s">
        <v>2430</v>
      </c>
      <c r="N36" s="95" t="s">
        <v>2431</v>
      </c>
      <c r="O36" s="95" t="s">
        <v>2432</v>
      </c>
      <c r="P36" s="95" t="s">
        <v>2433</v>
      </c>
    </row>
    <row r="37" spans="1:16" ht="14.25" customHeight="1">
      <c r="A37" s="91" t="s">
        <v>253</v>
      </c>
      <c r="B37" s="98" t="s">
        <v>2228</v>
      </c>
      <c r="C37" s="95">
        <v>22380</v>
      </c>
      <c r="D37" s="95">
        <v>18530</v>
      </c>
      <c r="E37" s="95">
        <v>17930</v>
      </c>
      <c r="F37" s="128">
        <v>6270</v>
      </c>
      <c r="M37" s="95" t="s">
        <v>2434</v>
      </c>
      <c r="N37" s="95" t="s">
        <v>2435</v>
      </c>
      <c r="O37" s="95" t="s">
        <v>2436</v>
      </c>
      <c r="P37" s="95" t="s">
        <v>2437</v>
      </c>
    </row>
    <row r="38" spans="1:16" ht="14.25" customHeight="1">
      <c r="A38" s="91" t="s">
        <v>253</v>
      </c>
      <c r="B38" s="98" t="s">
        <v>2238</v>
      </c>
      <c r="C38" s="95">
        <v>20200</v>
      </c>
      <c r="D38" s="95">
        <v>20070</v>
      </c>
      <c r="E38" s="95">
        <v>19950</v>
      </c>
      <c r="F38" s="128"/>
      <c r="M38" s="95" t="s">
        <v>2438</v>
      </c>
      <c r="N38" s="95" t="s">
        <v>2439</v>
      </c>
      <c r="O38" s="95" t="s">
        <v>2440</v>
      </c>
      <c r="P38" s="95" t="s">
        <v>2441</v>
      </c>
    </row>
    <row r="39" spans="1:16" ht="14.25" customHeight="1">
      <c r="A39" s="91" t="s">
        <v>253</v>
      </c>
      <c r="B39" s="98" t="s">
        <v>2248</v>
      </c>
      <c r="C39" s="95">
        <v>19300</v>
      </c>
      <c r="D39" s="95">
        <v>20360</v>
      </c>
      <c r="E39" s="95">
        <v>20230</v>
      </c>
      <c r="F39" s="128"/>
      <c r="M39" s="95" t="s">
        <v>2442</v>
      </c>
      <c r="N39" s="95" t="s">
        <v>2443</v>
      </c>
      <c r="O39" s="95" t="s">
        <v>2444</v>
      </c>
      <c r="P39" s="95" t="s">
        <v>2445</v>
      </c>
    </row>
    <row r="40" spans="1:16" ht="14.25" customHeight="1">
      <c r="A40" s="91" t="s">
        <v>253</v>
      </c>
      <c r="B40" s="98" t="s">
        <v>2258</v>
      </c>
      <c r="C40" s="95">
        <v>20210</v>
      </c>
      <c r="D40" s="95">
        <v>19060</v>
      </c>
      <c r="E40" s="95">
        <v>18890</v>
      </c>
      <c r="F40" s="128"/>
      <c r="M40" s="95" t="s">
        <v>2446</v>
      </c>
      <c r="N40" s="95" t="s">
        <v>2447</v>
      </c>
      <c r="O40" s="95" t="s">
        <v>2448</v>
      </c>
      <c r="P40" s="95" t="s">
        <v>2449</v>
      </c>
    </row>
    <row r="41" spans="1:16" ht="14.25" customHeight="1">
      <c r="A41" s="91" t="s">
        <v>253</v>
      </c>
      <c r="B41" s="98" t="s">
        <v>2268</v>
      </c>
      <c r="C41" s="95">
        <v>20560</v>
      </c>
      <c r="D41" s="95">
        <v>21040</v>
      </c>
      <c r="E41" s="95">
        <v>20740</v>
      </c>
      <c r="F41" s="128"/>
      <c r="M41" s="98" t="s">
        <v>2450</v>
      </c>
      <c r="N41" s="98" t="s">
        <v>2451</v>
      </c>
      <c r="P41" s="98" t="s">
        <v>2452</v>
      </c>
    </row>
    <row r="42" spans="1:16" ht="14.25" customHeight="1">
      <c r="A42" s="91" t="s">
        <v>253</v>
      </c>
      <c r="B42" s="98" t="s">
        <v>2278</v>
      </c>
      <c r="C42" s="95">
        <v>19280</v>
      </c>
      <c r="D42" s="95">
        <v>22940</v>
      </c>
      <c r="E42" s="95">
        <v>22500</v>
      </c>
      <c r="F42" s="128"/>
      <c r="M42" s="95" t="s">
        <v>2453</v>
      </c>
      <c r="N42" s="95" t="s">
        <v>2454</v>
      </c>
      <c r="P42" s="95" t="s">
        <v>2455</v>
      </c>
    </row>
    <row r="43" spans="1:16" ht="14.25" customHeight="1">
      <c r="A43" s="91" t="s">
        <v>253</v>
      </c>
      <c r="B43" s="98" t="s">
        <v>2288</v>
      </c>
      <c r="C43" s="95">
        <v>21520</v>
      </c>
      <c r="D43" s="95">
        <v>19230</v>
      </c>
      <c r="E43" s="95">
        <v>18540</v>
      </c>
      <c r="F43" s="128"/>
      <c r="M43" s="95" t="s">
        <v>2456</v>
      </c>
      <c r="N43" s="95" t="s">
        <v>2457</v>
      </c>
      <c r="P43" s="95" t="s">
        <v>2458</v>
      </c>
    </row>
    <row r="44" spans="1:16" ht="14.25" customHeight="1">
      <c r="A44" s="91" t="s">
        <v>253</v>
      </c>
      <c r="B44" s="98" t="s">
        <v>2298</v>
      </c>
      <c r="C44" s="95">
        <v>23260</v>
      </c>
      <c r="D44" s="95">
        <v>21180</v>
      </c>
      <c r="E44" s="95">
        <v>20730</v>
      </c>
      <c r="F44" s="128"/>
      <c r="M44" s="95" t="s">
        <v>2459</v>
      </c>
      <c r="N44" s="95" t="s">
        <v>2460</v>
      </c>
      <c r="P44" s="95" t="s">
        <v>2461</v>
      </c>
    </row>
    <row r="45" spans="1:16" ht="14.25" customHeight="1">
      <c r="A45" s="91" t="s">
        <v>253</v>
      </c>
      <c r="B45" s="98" t="s">
        <v>2308</v>
      </c>
      <c r="C45" s="95">
        <v>19610</v>
      </c>
      <c r="D45" s="95">
        <v>18090</v>
      </c>
      <c r="E45" s="95">
        <v>17970</v>
      </c>
      <c r="F45" s="128"/>
      <c r="M45" s="95" t="s">
        <v>2462</v>
      </c>
      <c r="N45" s="95" t="s">
        <v>2463</v>
      </c>
      <c r="P45" s="95" t="s">
        <v>2464</v>
      </c>
    </row>
    <row r="46" spans="1:16" ht="14.25" customHeight="1">
      <c r="A46" s="91" t="s">
        <v>253</v>
      </c>
      <c r="B46" s="98" t="s">
        <v>2318</v>
      </c>
      <c r="C46" s="95">
        <v>21660</v>
      </c>
      <c r="D46" s="95">
        <v>19190</v>
      </c>
      <c r="E46" s="95">
        <v>19790</v>
      </c>
      <c r="F46" s="128"/>
      <c r="M46" s="95" t="s">
        <v>2465</v>
      </c>
      <c r="N46" s="95" t="s">
        <v>2466</v>
      </c>
      <c r="P46" s="95" t="s">
        <v>2467</v>
      </c>
    </row>
    <row r="47" spans="1:16" ht="14.25" customHeight="1">
      <c r="A47" s="91" t="s">
        <v>253</v>
      </c>
      <c r="B47" s="98" t="s">
        <v>2328</v>
      </c>
      <c r="C47" s="95">
        <v>18220</v>
      </c>
      <c r="D47" s="95"/>
      <c r="E47" s="95">
        <v>17220</v>
      </c>
      <c r="F47" s="128"/>
      <c r="M47" s="95" t="s">
        <v>2468</v>
      </c>
      <c r="N47" s="95" t="s">
        <v>2469</v>
      </c>
    </row>
    <row r="48" spans="1:16" ht="14.25" customHeight="1">
      <c r="A48" s="91" t="s">
        <v>253</v>
      </c>
      <c r="B48" s="100" t="s">
        <v>2337</v>
      </c>
      <c r="C48" s="106">
        <v>19430</v>
      </c>
      <c r="D48" s="106"/>
      <c r="E48" s="106">
        <v>17830</v>
      </c>
      <c r="F48" s="130"/>
      <c r="M48" s="95" t="s">
        <v>2470</v>
      </c>
      <c r="N48" s="95" t="s">
        <v>2471</v>
      </c>
    </row>
    <row r="49" spans="1:14" ht="14.25" customHeight="1">
      <c r="A49" s="91" t="s">
        <v>261</v>
      </c>
      <c r="B49" s="92" t="s">
        <v>2135</v>
      </c>
      <c r="C49" s="92">
        <v>17090</v>
      </c>
      <c r="D49" s="92">
        <v>16950</v>
      </c>
      <c r="E49" s="92">
        <v>16310</v>
      </c>
      <c r="F49" s="125">
        <v>4540</v>
      </c>
      <c r="M49" s="95" t="s">
        <v>2472</v>
      </c>
      <c r="N49" s="95" t="s">
        <v>2473</v>
      </c>
    </row>
    <row r="50" spans="1:14" ht="14.25" customHeight="1">
      <c r="A50" s="91" t="s">
        <v>261</v>
      </c>
      <c r="B50" s="95" t="s">
        <v>2148</v>
      </c>
      <c r="C50" s="95">
        <v>19040</v>
      </c>
      <c r="D50" s="95">
        <v>16960</v>
      </c>
      <c r="E50" s="95">
        <v>14800</v>
      </c>
      <c r="F50" s="128">
        <v>3940</v>
      </c>
    </row>
    <row r="51" spans="1:14" ht="14.25" customHeight="1">
      <c r="A51" s="91" t="s">
        <v>261</v>
      </c>
      <c r="B51" s="95" t="s">
        <v>2162</v>
      </c>
      <c r="C51" s="95">
        <v>17040</v>
      </c>
      <c r="D51" s="95">
        <v>16930</v>
      </c>
      <c r="E51" s="95">
        <v>15030</v>
      </c>
      <c r="F51" s="128">
        <v>4120</v>
      </c>
    </row>
    <row r="52" spans="1:14" ht="14.25" customHeight="1">
      <c r="A52" s="91" t="s">
        <v>261</v>
      </c>
      <c r="B52" s="95" t="s">
        <v>2174</v>
      </c>
      <c r="C52" s="95">
        <v>17110</v>
      </c>
      <c r="D52" s="95">
        <v>17750</v>
      </c>
      <c r="E52" s="95">
        <v>17310</v>
      </c>
      <c r="F52" s="128">
        <v>3220</v>
      </c>
    </row>
    <row r="53" spans="1:14" ht="14.25" customHeight="1">
      <c r="A53" s="91" t="s">
        <v>261</v>
      </c>
      <c r="B53" s="95" t="s">
        <v>2186</v>
      </c>
      <c r="C53" s="95">
        <v>17810</v>
      </c>
      <c r="D53" s="95">
        <v>17260</v>
      </c>
      <c r="E53" s="95">
        <v>17090</v>
      </c>
      <c r="F53" s="128">
        <v>3520</v>
      </c>
    </row>
    <row r="54" spans="1:14" ht="14.25" customHeight="1">
      <c r="A54" s="91" t="s">
        <v>261</v>
      </c>
      <c r="B54" s="95" t="s">
        <v>2197</v>
      </c>
      <c r="C54" s="95">
        <v>17410</v>
      </c>
      <c r="D54" s="95">
        <v>16780</v>
      </c>
      <c r="E54" s="95">
        <v>16370</v>
      </c>
      <c r="F54" s="128">
        <v>3410</v>
      </c>
    </row>
    <row r="55" spans="1:14" ht="14.25" customHeight="1">
      <c r="A55" s="91" t="s">
        <v>261</v>
      </c>
      <c r="B55" s="95" t="s">
        <v>2208</v>
      </c>
      <c r="C55" s="95">
        <v>16930</v>
      </c>
      <c r="D55" s="95">
        <v>14720</v>
      </c>
      <c r="E55" s="95">
        <v>15000</v>
      </c>
      <c r="F55" s="128">
        <v>3710</v>
      </c>
    </row>
    <row r="56" spans="1:14" ht="14.25" customHeight="1">
      <c r="A56" s="91" t="s">
        <v>261</v>
      </c>
      <c r="B56" s="95" t="s">
        <v>2219</v>
      </c>
      <c r="C56" s="95">
        <v>14930</v>
      </c>
      <c r="D56" s="95">
        <v>15850</v>
      </c>
      <c r="E56" s="95">
        <v>14320</v>
      </c>
      <c r="F56" s="128">
        <v>3960</v>
      </c>
    </row>
    <row r="57" spans="1:14" ht="14.25" customHeight="1">
      <c r="A57" s="91" t="s">
        <v>261</v>
      </c>
      <c r="B57" s="95" t="s">
        <v>2229</v>
      </c>
      <c r="C57" s="95">
        <v>16160</v>
      </c>
      <c r="D57" s="95">
        <v>16190</v>
      </c>
      <c r="E57" s="95">
        <v>15650</v>
      </c>
      <c r="F57" s="128">
        <v>4200</v>
      </c>
    </row>
    <row r="58" spans="1:14" ht="14.25" customHeight="1">
      <c r="A58" s="91" t="s">
        <v>261</v>
      </c>
      <c r="B58" s="95" t="s">
        <v>2239</v>
      </c>
      <c r="C58" s="95">
        <v>16360</v>
      </c>
      <c r="D58" s="95">
        <v>14050</v>
      </c>
      <c r="E58" s="95">
        <v>16070</v>
      </c>
      <c r="F58" s="128">
        <v>3990</v>
      </c>
    </row>
    <row r="59" spans="1:14" ht="14.25" customHeight="1">
      <c r="A59" s="91" t="s">
        <v>261</v>
      </c>
      <c r="B59" s="95" t="s">
        <v>2249</v>
      </c>
      <c r="C59" s="95">
        <v>14160</v>
      </c>
      <c r="D59" s="95">
        <v>16620</v>
      </c>
      <c r="E59" s="95">
        <v>13940</v>
      </c>
      <c r="F59" s="128">
        <v>4260</v>
      </c>
    </row>
    <row r="60" spans="1:14" ht="14.25" customHeight="1">
      <c r="A60" s="91" t="s">
        <v>261</v>
      </c>
      <c r="B60" s="95" t="s">
        <v>2259</v>
      </c>
      <c r="C60" s="95">
        <v>16750</v>
      </c>
      <c r="D60" s="95">
        <v>13910</v>
      </c>
      <c r="E60" s="95">
        <v>16550</v>
      </c>
      <c r="F60" s="128">
        <v>4550</v>
      </c>
    </row>
    <row r="61" spans="1:14" ht="14.25" customHeight="1">
      <c r="A61" s="91" t="s">
        <v>261</v>
      </c>
      <c r="B61" s="95" t="s">
        <v>2269</v>
      </c>
      <c r="C61" s="95">
        <v>14000</v>
      </c>
      <c r="D61" s="95">
        <v>14550</v>
      </c>
      <c r="E61" s="95">
        <v>13860</v>
      </c>
      <c r="F61" s="131"/>
    </row>
    <row r="62" spans="1:14" ht="14.25" customHeight="1">
      <c r="A62" s="91" t="s">
        <v>261</v>
      </c>
      <c r="B62" s="95" t="s">
        <v>2279</v>
      </c>
      <c r="C62" s="95">
        <v>14660</v>
      </c>
      <c r="D62" s="95">
        <v>17450</v>
      </c>
      <c r="E62" s="95">
        <v>14470</v>
      </c>
      <c r="F62" s="131"/>
    </row>
    <row r="63" spans="1:14" ht="14.25" customHeight="1">
      <c r="A63" s="91" t="s">
        <v>261</v>
      </c>
      <c r="B63" s="95" t="s">
        <v>2289</v>
      </c>
      <c r="C63" s="95">
        <v>17610</v>
      </c>
      <c r="D63" s="95">
        <v>16500</v>
      </c>
      <c r="E63" s="95">
        <v>17330</v>
      </c>
      <c r="F63" s="131"/>
    </row>
    <row r="64" spans="1:14" ht="14.25" customHeight="1">
      <c r="A64" s="91" t="s">
        <v>261</v>
      </c>
      <c r="B64" s="95" t="s">
        <v>2299</v>
      </c>
      <c r="C64" s="95">
        <v>16590</v>
      </c>
      <c r="D64" s="95">
        <v>15130</v>
      </c>
      <c r="E64" s="95">
        <v>16420</v>
      </c>
      <c r="F64" s="131"/>
    </row>
    <row r="65" spans="1:6" s="117" customFormat="1" ht="14.25" customHeight="1">
      <c r="A65" s="91" t="s">
        <v>261</v>
      </c>
      <c r="B65" s="95" t="s">
        <v>2309</v>
      </c>
      <c r="C65" s="95">
        <v>15220</v>
      </c>
      <c r="D65" s="95">
        <v>14660</v>
      </c>
      <c r="E65" s="95">
        <v>15060</v>
      </c>
      <c r="F65" s="128"/>
    </row>
    <row r="66" spans="1:6" s="117" customFormat="1" ht="14.25" customHeight="1">
      <c r="A66" s="91" t="s">
        <v>261</v>
      </c>
      <c r="B66" s="95" t="s">
        <v>2319</v>
      </c>
      <c r="C66" s="95">
        <v>14720</v>
      </c>
      <c r="D66" s="95">
        <v>15970</v>
      </c>
      <c r="E66" s="95">
        <v>14610</v>
      </c>
      <c r="F66" s="128"/>
    </row>
    <row r="67" spans="1:6" s="117" customFormat="1" ht="14.25" customHeight="1">
      <c r="A67" s="91" t="s">
        <v>261</v>
      </c>
      <c r="B67" s="95" t="s">
        <v>2329</v>
      </c>
      <c r="C67" s="95">
        <v>16080</v>
      </c>
      <c r="D67" s="95">
        <v>14840</v>
      </c>
      <c r="E67" s="95">
        <v>15630</v>
      </c>
      <c r="F67" s="128"/>
    </row>
    <row r="68" spans="1:6" s="117" customFormat="1" ht="14.25" customHeight="1">
      <c r="A68" s="91" t="s">
        <v>261</v>
      </c>
      <c r="B68" s="95" t="s">
        <v>2338</v>
      </c>
      <c r="C68" s="95">
        <v>14940</v>
      </c>
      <c r="D68" s="95">
        <v>18000</v>
      </c>
      <c r="E68" s="95">
        <v>14040</v>
      </c>
      <c r="F68" s="128"/>
    </row>
    <row r="69" spans="1:6" s="117" customFormat="1" ht="14.25" customHeight="1">
      <c r="A69" s="91" t="s">
        <v>261</v>
      </c>
      <c r="B69" s="95" t="s">
        <v>2346</v>
      </c>
      <c r="C69" s="95">
        <v>18810</v>
      </c>
      <c r="D69" s="95">
        <v>15100</v>
      </c>
      <c r="E69" s="95">
        <v>14710</v>
      </c>
      <c r="F69" s="128"/>
    </row>
    <row r="70" spans="1:6" s="117" customFormat="1" ht="14.25" customHeight="1">
      <c r="A70" s="91" t="s">
        <v>261</v>
      </c>
      <c r="B70" s="95" t="s">
        <v>2354</v>
      </c>
      <c r="C70" s="95">
        <v>18270</v>
      </c>
      <c r="D70" s="95"/>
      <c r="E70" s="95"/>
      <c r="F70" s="128"/>
    </row>
    <row r="71" spans="1:6" s="117" customFormat="1" ht="14.25" customHeight="1">
      <c r="A71" s="91" t="s">
        <v>261</v>
      </c>
      <c r="B71" s="95" t="s">
        <v>2361</v>
      </c>
      <c r="C71" s="95">
        <v>15230</v>
      </c>
      <c r="D71" s="95"/>
      <c r="E71" s="95"/>
      <c r="F71" s="128"/>
    </row>
    <row r="72" spans="1:6" s="117" customFormat="1" ht="14.25" customHeight="1">
      <c r="A72" s="91" t="s">
        <v>261</v>
      </c>
      <c r="B72" s="95" t="s">
        <v>2368</v>
      </c>
      <c r="C72" s="95"/>
      <c r="D72" s="95"/>
      <c r="E72" s="95"/>
      <c r="F72" s="128">
        <v>4120</v>
      </c>
    </row>
    <row r="73" spans="1:6" s="117" customFormat="1" ht="14.25" customHeight="1">
      <c r="A73" s="91" t="s">
        <v>261</v>
      </c>
      <c r="B73" s="95" t="s">
        <v>2375</v>
      </c>
      <c r="C73" s="95"/>
      <c r="D73" s="95"/>
      <c r="E73" s="95"/>
      <c r="F73" s="128">
        <v>3930</v>
      </c>
    </row>
    <row r="74" spans="1:6" s="117" customFormat="1" ht="14.25" customHeight="1">
      <c r="A74" s="91" t="s">
        <v>261</v>
      </c>
      <c r="B74" s="95" t="s">
        <v>2382</v>
      </c>
      <c r="C74" s="95"/>
      <c r="D74" s="95"/>
      <c r="E74" s="95"/>
      <c r="F74" s="128">
        <v>4060</v>
      </c>
    </row>
    <row r="75" spans="1:6" s="117" customFormat="1" ht="14.25" customHeight="1">
      <c r="A75" s="91" t="s">
        <v>261</v>
      </c>
      <c r="B75" s="106" t="s">
        <v>2389</v>
      </c>
      <c r="C75" s="106"/>
      <c r="D75" s="106"/>
      <c r="E75" s="106"/>
      <c r="F75" s="130">
        <v>3750</v>
      </c>
    </row>
    <row r="76" spans="1:6" s="117" customFormat="1" ht="14.25" customHeight="1">
      <c r="A76" s="91" t="s">
        <v>269</v>
      </c>
      <c r="B76" s="92" t="s">
        <v>2136</v>
      </c>
      <c r="C76" s="92">
        <v>14690</v>
      </c>
      <c r="D76" s="92">
        <v>14640</v>
      </c>
      <c r="E76" s="92">
        <v>14590</v>
      </c>
      <c r="F76" s="125">
        <v>3060</v>
      </c>
    </row>
    <row r="77" spans="1:6" s="117" customFormat="1" ht="14.25" customHeight="1">
      <c r="A77" s="91" t="s">
        <v>269</v>
      </c>
      <c r="B77" s="95" t="s">
        <v>2149</v>
      </c>
      <c r="C77" s="95">
        <v>12550</v>
      </c>
      <c r="D77" s="95">
        <v>12480</v>
      </c>
      <c r="E77" s="95">
        <v>12450</v>
      </c>
      <c r="F77" s="128">
        <v>2590</v>
      </c>
    </row>
    <row r="78" spans="1:6" s="117" customFormat="1" ht="14.25" customHeight="1">
      <c r="A78" s="91" t="s">
        <v>269</v>
      </c>
      <c r="B78" s="95" t="s">
        <v>2163</v>
      </c>
      <c r="C78" s="95">
        <v>14360</v>
      </c>
      <c r="D78" s="95">
        <v>14320</v>
      </c>
      <c r="E78" s="95">
        <v>12510</v>
      </c>
      <c r="F78" s="128">
        <v>2700</v>
      </c>
    </row>
    <row r="79" spans="1:6" s="117" customFormat="1" ht="14.25" customHeight="1">
      <c r="A79" s="91" t="s">
        <v>269</v>
      </c>
      <c r="B79" s="95" t="s">
        <v>2175</v>
      </c>
      <c r="C79" s="95">
        <v>12590</v>
      </c>
      <c r="D79" s="95">
        <v>12540</v>
      </c>
      <c r="E79" s="95">
        <v>12350</v>
      </c>
      <c r="F79" s="128">
        <v>2740</v>
      </c>
    </row>
    <row r="80" spans="1:6" s="117" customFormat="1" ht="14.25" customHeight="1">
      <c r="A80" s="91" t="s">
        <v>269</v>
      </c>
      <c r="B80" s="95" t="s">
        <v>2187</v>
      </c>
      <c r="C80" s="95">
        <v>12450</v>
      </c>
      <c r="D80" s="95">
        <v>12370</v>
      </c>
      <c r="E80" s="95">
        <v>10790</v>
      </c>
      <c r="F80" s="128">
        <v>2290</v>
      </c>
    </row>
    <row r="81" spans="1:6" s="117" customFormat="1" ht="14.25" customHeight="1">
      <c r="A81" s="91" t="s">
        <v>269</v>
      </c>
      <c r="B81" s="95" t="s">
        <v>2198</v>
      </c>
      <c r="C81" s="95">
        <v>14210</v>
      </c>
      <c r="D81" s="95">
        <v>14150</v>
      </c>
      <c r="E81" s="95">
        <v>12730</v>
      </c>
      <c r="F81" s="128">
        <v>2240</v>
      </c>
    </row>
    <row r="82" spans="1:6" s="117" customFormat="1" ht="14.25" customHeight="1">
      <c r="A82" s="91" t="s">
        <v>269</v>
      </c>
      <c r="B82" s="95" t="s">
        <v>2209</v>
      </c>
      <c r="C82" s="95">
        <v>10860</v>
      </c>
      <c r="D82" s="95">
        <v>10820</v>
      </c>
      <c r="E82" s="95">
        <v>14720</v>
      </c>
      <c r="F82" s="128">
        <v>2490</v>
      </c>
    </row>
    <row r="83" spans="1:6" s="117" customFormat="1" ht="14.25" customHeight="1">
      <c r="A83" s="91" t="s">
        <v>269</v>
      </c>
      <c r="B83" s="95" t="s">
        <v>2220</v>
      </c>
      <c r="C83" s="95">
        <v>12810</v>
      </c>
      <c r="D83" s="95">
        <v>12760</v>
      </c>
      <c r="E83" s="95">
        <v>14830</v>
      </c>
      <c r="F83" s="128">
        <v>2450</v>
      </c>
    </row>
    <row r="84" spans="1:6" s="117" customFormat="1" ht="14.25" customHeight="1">
      <c r="A84" s="91" t="s">
        <v>269</v>
      </c>
      <c r="B84" s="95" t="s">
        <v>2230</v>
      </c>
      <c r="C84" s="95">
        <v>14950</v>
      </c>
      <c r="D84" s="95">
        <v>14810</v>
      </c>
      <c r="E84" s="95">
        <v>12590</v>
      </c>
      <c r="F84" s="128">
        <v>2540</v>
      </c>
    </row>
    <row r="85" spans="1:6" s="117" customFormat="1" ht="14.25" customHeight="1">
      <c r="A85" s="91" t="s">
        <v>269</v>
      </c>
      <c r="B85" s="95" t="s">
        <v>2240</v>
      </c>
      <c r="C85" s="95">
        <v>14960</v>
      </c>
      <c r="D85" s="95">
        <v>14890</v>
      </c>
      <c r="E85" s="95">
        <v>12840</v>
      </c>
      <c r="F85" s="128">
        <v>2840</v>
      </c>
    </row>
    <row r="86" spans="1:6" s="117" customFormat="1" ht="14.25" customHeight="1">
      <c r="A86" s="91" t="s">
        <v>269</v>
      </c>
      <c r="B86" s="95" t="s">
        <v>2250</v>
      </c>
      <c r="C86" s="95">
        <v>12730</v>
      </c>
      <c r="D86" s="95">
        <v>12660</v>
      </c>
      <c r="E86" s="95">
        <v>13310</v>
      </c>
      <c r="F86" s="128">
        <v>3140</v>
      </c>
    </row>
    <row r="87" spans="1:6" s="117" customFormat="1" ht="14.25" customHeight="1">
      <c r="A87" s="91" t="s">
        <v>269</v>
      </c>
      <c r="B87" s="95" t="s">
        <v>2260</v>
      </c>
      <c r="C87" s="95">
        <v>12940</v>
      </c>
      <c r="D87" s="95">
        <v>12890</v>
      </c>
      <c r="E87" s="95">
        <v>11580</v>
      </c>
      <c r="F87" s="131"/>
    </row>
    <row r="88" spans="1:6" s="117" customFormat="1" ht="14.25" customHeight="1">
      <c r="A88" s="91" t="s">
        <v>269</v>
      </c>
      <c r="B88" s="95" t="s">
        <v>2270</v>
      </c>
      <c r="C88" s="95">
        <v>13430</v>
      </c>
      <c r="D88" s="95">
        <v>13360</v>
      </c>
      <c r="E88" s="95">
        <v>12790</v>
      </c>
      <c r="F88" s="131"/>
    </row>
    <row r="89" spans="1:6" s="117" customFormat="1" ht="14.25" customHeight="1">
      <c r="A89" s="91" t="s">
        <v>269</v>
      </c>
      <c r="B89" s="95" t="s">
        <v>2280</v>
      </c>
      <c r="C89" s="95">
        <v>11680</v>
      </c>
      <c r="D89" s="95">
        <v>11630</v>
      </c>
      <c r="E89" s="95">
        <v>11320</v>
      </c>
      <c r="F89" s="131"/>
    </row>
    <row r="90" spans="1:6" s="117" customFormat="1" ht="14.25" customHeight="1">
      <c r="A90" s="91" t="s">
        <v>269</v>
      </c>
      <c r="B90" s="95" t="s">
        <v>2290</v>
      </c>
      <c r="C90" s="95">
        <v>12890</v>
      </c>
      <c r="D90" s="95">
        <v>12820</v>
      </c>
      <c r="E90" s="95">
        <v>12710</v>
      </c>
      <c r="F90" s="131"/>
    </row>
    <row r="91" spans="1:6" s="117" customFormat="1" ht="14.25" customHeight="1">
      <c r="A91" s="91" t="s">
        <v>269</v>
      </c>
      <c r="B91" s="95" t="s">
        <v>2300</v>
      </c>
      <c r="C91" s="95">
        <v>11410</v>
      </c>
      <c r="D91" s="95">
        <v>11360</v>
      </c>
      <c r="E91" s="95">
        <v>12670</v>
      </c>
      <c r="F91" s="131"/>
    </row>
    <row r="92" spans="1:6" s="117" customFormat="1" ht="14.25" customHeight="1">
      <c r="A92" s="91" t="s">
        <v>269</v>
      </c>
      <c r="B92" s="95" t="s">
        <v>2310</v>
      </c>
      <c r="C92" s="95">
        <v>12770</v>
      </c>
      <c r="D92" s="95">
        <v>12740</v>
      </c>
      <c r="E92" s="95">
        <v>11970</v>
      </c>
      <c r="F92" s="131"/>
    </row>
    <row r="93" spans="1:6" s="117" customFormat="1" ht="14.25" customHeight="1">
      <c r="A93" s="91" t="s">
        <v>269</v>
      </c>
      <c r="B93" s="95" t="s">
        <v>2320</v>
      </c>
      <c r="C93" s="95">
        <v>12740</v>
      </c>
      <c r="D93" s="95">
        <v>12700</v>
      </c>
      <c r="E93" s="95">
        <v>12540</v>
      </c>
      <c r="F93" s="131"/>
    </row>
    <row r="94" spans="1:6" s="117" customFormat="1" ht="14.25" customHeight="1">
      <c r="A94" s="91" t="s">
        <v>269</v>
      </c>
      <c r="B94" s="95" t="s">
        <v>2330</v>
      </c>
      <c r="C94" s="95">
        <v>12020</v>
      </c>
      <c r="D94" s="95">
        <v>11990</v>
      </c>
      <c r="E94" s="95">
        <v>13110</v>
      </c>
      <c r="F94" s="131"/>
    </row>
    <row r="95" spans="1:6" s="117" customFormat="1" ht="14.25" customHeight="1">
      <c r="A95" s="91" t="s">
        <v>269</v>
      </c>
      <c r="B95" s="95" t="s">
        <v>2339</v>
      </c>
      <c r="C95" s="95">
        <v>12620</v>
      </c>
      <c r="D95" s="95">
        <v>12580</v>
      </c>
      <c r="E95" s="95">
        <v>13160</v>
      </c>
      <c r="F95" s="128"/>
    </row>
    <row r="96" spans="1:6" s="117" customFormat="1" ht="14.25" customHeight="1">
      <c r="A96" s="91" t="s">
        <v>269</v>
      </c>
      <c r="B96" s="95" t="s">
        <v>2347</v>
      </c>
      <c r="C96" s="95">
        <v>13200</v>
      </c>
      <c r="D96" s="95">
        <v>13150</v>
      </c>
      <c r="E96" s="95">
        <v>12900</v>
      </c>
      <c r="F96" s="128"/>
    </row>
    <row r="97" spans="1:6" s="117" customFormat="1" ht="14.25" customHeight="1">
      <c r="A97" s="91" t="s">
        <v>269</v>
      </c>
      <c r="B97" s="95" t="s">
        <v>2355</v>
      </c>
      <c r="C97" s="95">
        <v>13270</v>
      </c>
      <c r="D97" s="95">
        <v>13210</v>
      </c>
      <c r="E97" s="95">
        <v>11080</v>
      </c>
      <c r="F97" s="128"/>
    </row>
    <row r="98" spans="1:6" s="117" customFormat="1" ht="14.25" customHeight="1">
      <c r="A98" s="91" t="s">
        <v>269</v>
      </c>
      <c r="B98" s="95" t="s">
        <v>2362</v>
      </c>
      <c r="C98" s="95">
        <v>13010</v>
      </c>
      <c r="D98" s="95">
        <v>12930</v>
      </c>
      <c r="E98" s="95">
        <v>12840</v>
      </c>
      <c r="F98" s="128"/>
    </row>
    <row r="99" spans="1:6" s="117" customFormat="1" ht="14.25" customHeight="1">
      <c r="A99" s="91" t="s">
        <v>269</v>
      </c>
      <c r="B99" s="95" t="s">
        <v>2369</v>
      </c>
      <c r="C99" s="95">
        <v>11190</v>
      </c>
      <c r="D99" s="95">
        <v>11130</v>
      </c>
      <c r="E99" s="95"/>
      <c r="F99" s="128"/>
    </row>
    <row r="100" spans="1:6" s="117" customFormat="1" ht="14.25" customHeight="1">
      <c r="A100" s="91" t="s">
        <v>269</v>
      </c>
      <c r="B100" s="95" t="s">
        <v>2376</v>
      </c>
      <c r="C100" s="95">
        <v>14280</v>
      </c>
      <c r="D100" s="95">
        <v>14180</v>
      </c>
      <c r="E100" s="95"/>
      <c r="F100" s="128"/>
    </row>
    <row r="101" spans="1:6" s="117" customFormat="1" ht="14.25" customHeight="1">
      <c r="A101" s="91" t="s">
        <v>269</v>
      </c>
      <c r="B101" s="95" t="s">
        <v>2383</v>
      </c>
      <c r="C101" s="95">
        <v>12960</v>
      </c>
      <c r="D101" s="95">
        <v>12890</v>
      </c>
      <c r="E101" s="95"/>
      <c r="F101" s="128"/>
    </row>
    <row r="102" spans="1:6" s="117" customFormat="1" ht="14.25" customHeight="1">
      <c r="A102" s="91" t="s">
        <v>269</v>
      </c>
      <c r="B102" s="95" t="s">
        <v>2390</v>
      </c>
      <c r="C102" s="95"/>
      <c r="D102" s="95"/>
      <c r="E102" s="95"/>
      <c r="F102" s="128">
        <v>3100</v>
      </c>
    </row>
    <row r="103" spans="1:6" s="117" customFormat="1" ht="14.25" customHeight="1">
      <c r="A103" s="91" t="s">
        <v>269</v>
      </c>
      <c r="B103" s="95" t="s">
        <v>2395</v>
      </c>
      <c r="C103" s="95"/>
      <c r="D103" s="95"/>
      <c r="E103" s="95"/>
      <c r="F103" s="128">
        <v>2320</v>
      </c>
    </row>
    <row r="104" spans="1:6" s="117" customFormat="1" ht="14.25" customHeight="1">
      <c r="A104" s="91" t="s">
        <v>269</v>
      </c>
      <c r="B104" s="95" t="s">
        <v>2400</v>
      </c>
      <c r="C104" s="95"/>
      <c r="D104" s="95"/>
      <c r="E104" s="95"/>
      <c r="F104" s="128">
        <v>2320</v>
      </c>
    </row>
    <row r="105" spans="1:6" s="117" customFormat="1" ht="14.25" customHeight="1">
      <c r="A105" s="91" t="s">
        <v>269</v>
      </c>
      <c r="B105" s="95" t="s">
        <v>2405</v>
      </c>
      <c r="C105" s="95"/>
      <c r="D105" s="95"/>
      <c r="E105" s="95"/>
      <c r="F105" s="128">
        <v>2320</v>
      </c>
    </row>
    <row r="106" spans="1:6" s="117" customFormat="1" ht="14.25" customHeight="1">
      <c r="A106" s="91" t="s">
        <v>269</v>
      </c>
      <c r="B106" s="95" t="s">
        <v>2410</v>
      </c>
      <c r="C106" s="95"/>
      <c r="D106" s="95"/>
      <c r="E106" s="95"/>
      <c r="F106" s="128">
        <v>2320</v>
      </c>
    </row>
    <row r="107" spans="1:6" s="117" customFormat="1" ht="14.25" customHeight="1">
      <c r="A107" s="91" t="s">
        <v>269</v>
      </c>
      <c r="B107" s="95" t="s">
        <v>2415</v>
      </c>
      <c r="C107" s="95"/>
      <c r="D107" s="95"/>
      <c r="E107" s="95"/>
      <c r="F107" s="128">
        <v>2280</v>
      </c>
    </row>
    <row r="108" spans="1:6" s="117" customFormat="1" ht="14.25" customHeight="1">
      <c r="A108" s="91" t="s">
        <v>269</v>
      </c>
      <c r="B108" s="95" t="s">
        <v>2420</v>
      </c>
      <c r="C108" s="95"/>
      <c r="D108" s="95"/>
      <c r="E108" s="95"/>
      <c r="F108" s="128">
        <v>2280</v>
      </c>
    </row>
    <row r="109" spans="1:6" s="117" customFormat="1" ht="14.25" customHeight="1">
      <c r="A109" s="91" t="s">
        <v>269</v>
      </c>
      <c r="B109" s="106" t="s">
        <v>2425</v>
      </c>
      <c r="C109" s="106"/>
      <c r="D109" s="106"/>
      <c r="E109" s="106"/>
      <c r="F109" s="130">
        <v>2280</v>
      </c>
    </row>
    <row r="110" spans="1:6" s="117" customFormat="1" ht="14.25" customHeight="1">
      <c r="A110" s="91" t="s">
        <v>275</v>
      </c>
      <c r="B110" s="92" t="s">
        <v>2137</v>
      </c>
      <c r="C110" s="92">
        <v>10520</v>
      </c>
      <c r="D110" s="92">
        <v>10490</v>
      </c>
      <c r="E110" s="92">
        <v>10760</v>
      </c>
      <c r="F110" s="125">
        <v>2160</v>
      </c>
    </row>
    <row r="111" spans="1:6" s="117" customFormat="1" ht="14.25" customHeight="1">
      <c r="A111" s="91" t="s">
        <v>275</v>
      </c>
      <c r="B111" s="95" t="s">
        <v>2150</v>
      </c>
      <c r="C111" s="95">
        <v>10090</v>
      </c>
      <c r="D111" s="95">
        <v>10060</v>
      </c>
      <c r="E111" s="95">
        <v>10300</v>
      </c>
      <c r="F111" s="128">
        <v>2010</v>
      </c>
    </row>
    <row r="112" spans="1:6" s="117" customFormat="1" ht="14.25" customHeight="1">
      <c r="A112" s="91" t="s">
        <v>275</v>
      </c>
      <c r="B112" s="95" t="s">
        <v>2164</v>
      </c>
      <c r="C112" s="95">
        <v>9910</v>
      </c>
      <c r="D112" s="95">
        <v>9850</v>
      </c>
      <c r="E112" s="95">
        <v>9960</v>
      </c>
      <c r="F112" s="128">
        <v>2090</v>
      </c>
    </row>
    <row r="113" spans="1:6" s="117" customFormat="1" ht="14.25" customHeight="1">
      <c r="A113" s="91" t="s">
        <v>275</v>
      </c>
      <c r="B113" s="95" t="s">
        <v>2176</v>
      </c>
      <c r="C113" s="95">
        <v>11430</v>
      </c>
      <c r="D113" s="95">
        <v>11400</v>
      </c>
      <c r="E113" s="95">
        <v>11710</v>
      </c>
      <c r="F113" s="128">
        <v>2050</v>
      </c>
    </row>
    <row r="114" spans="1:6" s="117" customFormat="1" ht="14.25" customHeight="1">
      <c r="A114" s="91" t="s">
        <v>275</v>
      </c>
      <c r="B114" s="95" t="s">
        <v>2188</v>
      </c>
      <c r="C114" s="95">
        <v>11390</v>
      </c>
      <c r="D114" s="95">
        <v>11350</v>
      </c>
      <c r="E114" s="95">
        <v>11640</v>
      </c>
      <c r="F114" s="128">
        <v>1620</v>
      </c>
    </row>
    <row r="115" spans="1:6" s="117" customFormat="1" ht="14.25" customHeight="1">
      <c r="A115" s="91" t="s">
        <v>275</v>
      </c>
      <c r="B115" s="95" t="s">
        <v>2199</v>
      </c>
      <c r="C115" s="95">
        <v>9930</v>
      </c>
      <c r="D115" s="95">
        <v>9900</v>
      </c>
      <c r="E115" s="95">
        <v>10160</v>
      </c>
      <c r="F115" s="128">
        <v>1580</v>
      </c>
    </row>
    <row r="116" spans="1:6" s="117" customFormat="1" ht="14.25" customHeight="1">
      <c r="A116" s="91" t="s">
        <v>275</v>
      </c>
      <c r="B116" s="95" t="s">
        <v>2210</v>
      </c>
      <c r="C116" s="95">
        <v>9150</v>
      </c>
      <c r="D116" s="95">
        <v>9120</v>
      </c>
      <c r="E116" s="95">
        <v>9380</v>
      </c>
      <c r="F116" s="128">
        <v>1750</v>
      </c>
    </row>
    <row r="117" spans="1:6" s="117" customFormat="1" ht="14.25" customHeight="1">
      <c r="A117" s="91" t="s">
        <v>275</v>
      </c>
      <c r="B117" s="95" t="s">
        <v>2221</v>
      </c>
      <c r="C117" s="95">
        <v>10680</v>
      </c>
      <c r="D117" s="95">
        <v>10650</v>
      </c>
      <c r="E117" s="95">
        <v>10970</v>
      </c>
      <c r="F117" s="128">
        <v>1730</v>
      </c>
    </row>
    <row r="118" spans="1:6" s="117" customFormat="1" ht="14.25" customHeight="1">
      <c r="A118" s="91" t="s">
        <v>275</v>
      </c>
      <c r="B118" s="95" t="s">
        <v>2231</v>
      </c>
      <c r="C118" s="95">
        <v>10080</v>
      </c>
      <c r="D118" s="95">
        <v>10050</v>
      </c>
      <c r="E118" s="95">
        <v>10350</v>
      </c>
      <c r="F118" s="128">
        <v>1920</v>
      </c>
    </row>
    <row r="119" spans="1:6" s="117" customFormat="1" ht="14.25" customHeight="1">
      <c r="A119" s="91" t="s">
        <v>275</v>
      </c>
      <c r="B119" s="95" t="s">
        <v>2241</v>
      </c>
      <c r="C119" s="95">
        <v>9450</v>
      </c>
      <c r="D119" s="95">
        <v>9410</v>
      </c>
      <c r="E119" s="95">
        <v>9680</v>
      </c>
      <c r="F119" s="128">
        <v>1880</v>
      </c>
    </row>
    <row r="120" spans="1:6" s="117" customFormat="1" ht="14.25" customHeight="1">
      <c r="A120" s="91" t="s">
        <v>275</v>
      </c>
      <c r="B120" s="95" t="s">
        <v>2251</v>
      </c>
      <c r="C120" s="95">
        <v>8730</v>
      </c>
      <c r="D120" s="95">
        <v>8700</v>
      </c>
      <c r="E120" s="95">
        <v>8950</v>
      </c>
      <c r="F120" s="128">
        <v>1830</v>
      </c>
    </row>
    <row r="121" spans="1:6" s="117" customFormat="1" ht="14.25" customHeight="1">
      <c r="A121" s="91" t="s">
        <v>275</v>
      </c>
      <c r="B121" s="95" t="s">
        <v>2261</v>
      </c>
      <c r="C121" s="95">
        <v>10070</v>
      </c>
      <c r="D121" s="95">
        <v>10040</v>
      </c>
      <c r="E121" s="95">
        <v>10270</v>
      </c>
      <c r="F121" s="128">
        <v>1960</v>
      </c>
    </row>
    <row r="122" spans="1:6" s="117" customFormat="1" ht="14.25" customHeight="1">
      <c r="A122" s="91" t="s">
        <v>275</v>
      </c>
      <c r="B122" s="95" t="s">
        <v>2271</v>
      </c>
      <c r="C122" s="95">
        <v>10500</v>
      </c>
      <c r="D122" s="95">
        <v>10470</v>
      </c>
      <c r="E122" s="95">
        <v>10780</v>
      </c>
      <c r="F122" s="128">
        <v>2180</v>
      </c>
    </row>
    <row r="123" spans="1:6" s="117" customFormat="1" ht="14.25" customHeight="1">
      <c r="A123" s="91" t="s">
        <v>275</v>
      </c>
      <c r="B123" s="95" t="s">
        <v>2281</v>
      </c>
      <c r="C123" s="95">
        <v>10390</v>
      </c>
      <c r="D123" s="95">
        <v>10360</v>
      </c>
      <c r="E123" s="95">
        <v>10660</v>
      </c>
      <c r="F123" s="128">
        <v>2040</v>
      </c>
    </row>
    <row r="124" spans="1:6" s="117" customFormat="1" ht="14.25" customHeight="1">
      <c r="A124" s="91" t="s">
        <v>275</v>
      </c>
      <c r="B124" s="95" t="s">
        <v>2291</v>
      </c>
      <c r="C124" s="95">
        <v>10390</v>
      </c>
      <c r="D124" s="95">
        <v>10360</v>
      </c>
      <c r="E124" s="95">
        <v>10680</v>
      </c>
      <c r="F124" s="131"/>
    </row>
    <row r="125" spans="1:6" s="117" customFormat="1" ht="14.25" customHeight="1">
      <c r="A125" s="91" t="s">
        <v>275</v>
      </c>
      <c r="B125" s="95" t="s">
        <v>2301</v>
      </c>
      <c r="C125" s="95">
        <v>10440</v>
      </c>
      <c r="D125" s="95">
        <v>10410</v>
      </c>
      <c r="E125" s="95">
        <v>10710</v>
      </c>
      <c r="F125" s="131"/>
    </row>
    <row r="126" spans="1:6" s="117" customFormat="1" ht="14.25" customHeight="1">
      <c r="A126" s="91" t="s">
        <v>275</v>
      </c>
      <c r="B126" s="95" t="s">
        <v>2311</v>
      </c>
      <c r="C126" s="95">
        <v>10780</v>
      </c>
      <c r="D126" s="95">
        <v>10750</v>
      </c>
      <c r="E126" s="95">
        <v>11080</v>
      </c>
      <c r="F126" s="131"/>
    </row>
    <row r="127" spans="1:6" s="117" customFormat="1" ht="14.25" customHeight="1">
      <c r="A127" s="91" t="s">
        <v>275</v>
      </c>
      <c r="B127" s="95" t="s">
        <v>2321</v>
      </c>
      <c r="C127" s="95">
        <v>10100</v>
      </c>
      <c r="D127" s="95">
        <v>10070</v>
      </c>
      <c r="E127" s="95">
        <v>10350</v>
      </c>
      <c r="F127" s="131"/>
    </row>
    <row r="128" spans="1:6" s="117" customFormat="1" ht="14.25" customHeight="1">
      <c r="A128" s="91" t="s">
        <v>275</v>
      </c>
      <c r="B128" s="95" t="s">
        <v>2331</v>
      </c>
      <c r="C128" s="95">
        <v>9200</v>
      </c>
      <c r="D128" s="95">
        <v>9160</v>
      </c>
      <c r="E128" s="95">
        <v>9660</v>
      </c>
      <c r="F128" s="131"/>
    </row>
    <row r="129" spans="1:6" s="117" customFormat="1" ht="14.25" customHeight="1">
      <c r="A129" s="91" t="s">
        <v>275</v>
      </c>
      <c r="B129" s="95" t="s">
        <v>2340</v>
      </c>
      <c r="C129" s="95">
        <v>10340</v>
      </c>
      <c r="D129" s="95">
        <v>10310</v>
      </c>
      <c r="E129" s="95">
        <v>10580</v>
      </c>
      <c r="F129" s="131"/>
    </row>
    <row r="130" spans="1:6" s="117" customFormat="1" ht="14.25" customHeight="1">
      <c r="A130" s="91" t="s">
        <v>275</v>
      </c>
      <c r="B130" s="95" t="s">
        <v>2348</v>
      </c>
      <c r="C130" s="95">
        <v>9680</v>
      </c>
      <c r="D130" s="95">
        <v>9660</v>
      </c>
      <c r="E130" s="95">
        <v>9950</v>
      </c>
      <c r="F130" s="131"/>
    </row>
    <row r="131" spans="1:6" s="117" customFormat="1" ht="14.25" customHeight="1">
      <c r="A131" s="91" t="s">
        <v>275</v>
      </c>
      <c r="B131" s="95" t="s">
        <v>2356</v>
      </c>
      <c r="C131" s="95">
        <v>9540</v>
      </c>
      <c r="D131" s="95">
        <v>9510</v>
      </c>
      <c r="E131" s="95">
        <v>9790</v>
      </c>
      <c r="F131" s="131"/>
    </row>
    <row r="132" spans="1:6" s="117" customFormat="1" ht="14.25" customHeight="1">
      <c r="A132" s="91" t="s">
        <v>275</v>
      </c>
      <c r="B132" s="95" t="s">
        <v>2363</v>
      </c>
      <c r="C132" s="95">
        <v>9320</v>
      </c>
      <c r="D132" s="95">
        <v>9290</v>
      </c>
      <c r="E132" s="95">
        <v>9570</v>
      </c>
      <c r="F132" s="131"/>
    </row>
    <row r="133" spans="1:6" s="117" customFormat="1" ht="14.25" customHeight="1">
      <c r="A133" s="91" t="s">
        <v>275</v>
      </c>
      <c r="B133" s="95" t="s">
        <v>2370</v>
      </c>
      <c r="C133" s="95">
        <v>10310</v>
      </c>
      <c r="D133" s="95">
        <v>10280</v>
      </c>
      <c r="E133" s="95">
        <v>10530</v>
      </c>
      <c r="F133" s="131"/>
    </row>
    <row r="134" spans="1:6" s="117" customFormat="1" ht="14.25" customHeight="1">
      <c r="A134" s="91" t="s">
        <v>275</v>
      </c>
      <c r="B134" s="95" t="s">
        <v>2377</v>
      </c>
      <c r="C134" s="95">
        <v>10370</v>
      </c>
      <c r="D134" s="95">
        <v>10310</v>
      </c>
      <c r="E134" s="95">
        <v>10240</v>
      </c>
      <c r="F134" s="128">
        <v>2060</v>
      </c>
    </row>
    <row r="135" spans="1:6" s="117" customFormat="1" ht="14.25" customHeight="1">
      <c r="A135" s="91" t="s">
        <v>275</v>
      </c>
      <c r="B135" s="95" t="s">
        <v>2384</v>
      </c>
      <c r="C135" s="95">
        <v>9300</v>
      </c>
      <c r="D135" s="95">
        <v>9270</v>
      </c>
      <c r="E135" s="95">
        <v>9350</v>
      </c>
      <c r="F135" s="131"/>
    </row>
    <row r="136" spans="1:6" s="117" customFormat="1" ht="14.25" customHeight="1">
      <c r="A136" s="91" t="s">
        <v>275</v>
      </c>
      <c r="B136" s="95" t="s">
        <v>2391</v>
      </c>
      <c r="C136" s="95">
        <v>10160</v>
      </c>
      <c r="D136" s="95">
        <v>10110</v>
      </c>
      <c r="E136" s="95">
        <v>10080</v>
      </c>
      <c r="F136" s="131"/>
    </row>
    <row r="137" spans="1:6" s="117" customFormat="1" ht="14.25" customHeight="1">
      <c r="A137" s="91" t="s">
        <v>275</v>
      </c>
      <c r="B137" s="95" t="s">
        <v>2396</v>
      </c>
      <c r="C137" s="95">
        <v>9200</v>
      </c>
      <c r="D137" s="95">
        <v>9170</v>
      </c>
      <c r="E137" s="95">
        <v>9450</v>
      </c>
      <c r="F137" s="131"/>
    </row>
    <row r="138" spans="1:6" s="117" customFormat="1" ht="14.25" customHeight="1">
      <c r="A138" s="91" t="s">
        <v>275</v>
      </c>
      <c r="B138" s="95" t="s">
        <v>2401</v>
      </c>
      <c r="C138" s="95">
        <v>9690</v>
      </c>
      <c r="D138" s="95">
        <v>9660</v>
      </c>
      <c r="E138" s="95">
        <v>9840</v>
      </c>
      <c r="F138" s="131"/>
    </row>
    <row r="139" spans="1:6" s="117" customFormat="1" ht="14.25" customHeight="1">
      <c r="A139" s="91" t="s">
        <v>275</v>
      </c>
      <c r="B139" s="95" t="s">
        <v>2406</v>
      </c>
      <c r="C139" s="95">
        <v>10290</v>
      </c>
      <c r="D139" s="95">
        <v>10260</v>
      </c>
      <c r="E139" s="95">
        <v>10550</v>
      </c>
      <c r="F139" s="128">
        <v>1700</v>
      </c>
    </row>
    <row r="140" spans="1:6" s="117" customFormat="1" ht="14.25" customHeight="1">
      <c r="A140" s="91" t="s">
        <v>275</v>
      </c>
      <c r="B140" s="95" t="s">
        <v>2411</v>
      </c>
      <c r="C140" s="95">
        <v>9740</v>
      </c>
      <c r="D140" s="95">
        <v>9710</v>
      </c>
      <c r="E140" s="95">
        <v>10000</v>
      </c>
      <c r="F140" s="128">
        <v>2000</v>
      </c>
    </row>
    <row r="141" spans="1:6" s="117" customFormat="1" ht="14.25" customHeight="1">
      <c r="A141" s="91" t="s">
        <v>275</v>
      </c>
      <c r="B141" s="95" t="s">
        <v>2416</v>
      </c>
      <c r="C141" s="95">
        <v>9810</v>
      </c>
      <c r="D141" s="95">
        <v>9770</v>
      </c>
      <c r="E141" s="95">
        <v>10060</v>
      </c>
      <c r="F141" s="131"/>
    </row>
    <row r="142" spans="1:6" s="117" customFormat="1" ht="14.25" customHeight="1">
      <c r="A142" s="91" t="s">
        <v>275</v>
      </c>
      <c r="B142" s="95" t="s">
        <v>2421</v>
      </c>
      <c r="C142" s="95">
        <v>9300</v>
      </c>
      <c r="D142" s="95">
        <v>9270</v>
      </c>
      <c r="E142" s="95">
        <v>9530</v>
      </c>
      <c r="F142" s="131"/>
    </row>
    <row r="143" spans="1:6" s="117" customFormat="1" ht="14.25" customHeight="1">
      <c r="A143" s="91" t="s">
        <v>275</v>
      </c>
      <c r="B143" s="95" t="s">
        <v>2426</v>
      </c>
      <c r="C143" s="95">
        <v>10080</v>
      </c>
      <c r="D143" s="95">
        <v>10050</v>
      </c>
      <c r="E143" s="95">
        <v>10340</v>
      </c>
      <c r="F143" s="131"/>
    </row>
    <row r="144" spans="1:6" s="117" customFormat="1" ht="14.25" customHeight="1">
      <c r="A144" s="91" t="s">
        <v>275</v>
      </c>
      <c r="B144" s="95" t="s">
        <v>2430</v>
      </c>
      <c r="C144" s="95">
        <v>9820</v>
      </c>
      <c r="D144" s="95">
        <v>9750</v>
      </c>
      <c r="E144" s="95">
        <v>9900</v>
      </c>
      <c r="F144" s="131"/>
    </row>
    <row r="145" spans="1:6" s="117" customFormat="1" ht="14.25" customHeight="1">
      <c r="A145" s="91" t="s">
        <v>275</v>
      </c>
      <c r="B145" s="95" t="s">
        <v>2434</v>
      </c>
      <c r="C145" s="95"/>
      <c r="D145" s="95"/>
      <c r="E145" s="95"/>
      <c r="F145" s="128">
        <v>1740</v>
      </c>
    </row>
    <row r="146" spans="1:6" s="117" customFormat="1" ht="14.25" customHeight="1">
      <c r="A146" s="91" t="s">
        <v>275</v>
      </c>
      <c r="B146" s="95" t="s">
        <v>2438</v>
      </c>
      <c r="C146" s="95"/>
      <c r="D146" s="95"/>
      <c r="E146" s="95"/>
      <c r="F146" s="128">
        <v>1740</v>
      </c>
    </row>
    <row r="147" spans="1:6" s="117" customFormat="1" ht="14.25" customHeight="1">
      <c r="A147" s="91" t="s">
        <v>275</v>
      </c>
      <c r="B147" s="95" t="s">
        <v>2442</v>
      </c>
      <c r="C147" s="95"/>
      <c r="D147" s="95"/>
      <c r="E147" s="95"/>
      <c r="F147" s="128">
        <v>1740</v>
      </c>
    </row>
    <row r="148" spans="1:6" s="117" customFormat="1" ht="14.25" customHeight="1">
      <c r="A148" s="91" t="s">
        <v>275</v>
      </c>
      <c r="B148" s="95" t="s">
        <v>2446</v>
      </c>
      <c r="C148" s="95"/>
      <c r="D148" s="95"/>
      <c r="E148" s="95"/>
      <c r="F148" s="128">
        <v>1740</v>
      </c>
    </row>
    <row r="149" spans="1:6" s="117" customFormat="1" ht="14.25" customHeight="1">
      <c r="A149" s="91" t="s">
        <v>275</v>
      </c>
      <c r="B149" s="95" t="s">
        <v>2450</v>
      </c>
      <c r="C149" s="95"/>
      <c r="D149" s="95"/>
      <c r="E149" s="95"/>
      <c r="F149" s="128">
        <v>1740</v>
      </c>
    </row>
    <row r="150" spans="1:6" s="117" customFormat="1" ht="14.25" customHeight="1">
      <c r="A150" s="91" t="s">
        <v>275</v>
      </c>
      <c r="B150" s="95" t="s">
        <v>2453</v>
      </c>
      <c r="C150" s="95"/>
      <c r="D150" s="95"/>
      <c r="E150" s="95"/>
      <c r="F150" s="128">
        <v>1610</v>
      </c>
    </row>
    <row r="151" spans="1:6" s="117" customFormat="1" ht="14.25" customHeight="1">
      <c r="A151" s="91" t="s">
        <v>275</v>
      </c>
      <c r="B151" s="95" t="s">
        <v>2456</v>
      </c>
      <c r="C151" s="95"/>
      <c r="D151" s="95"/>
      <c r="E151" s="95"/>
      <c r="F151" s="128">
        <v>1610</v>
      </c>
    </row>
    <row r="152" spans="1:6" s="117" customFormat="1" ht="14.25" customHeight="1">
      <c r="A152" s="91" t="s">
        <v>275</v>
      </c>
      <c r="B152" s="95" t="s">
        <v>2459</v>
      </c>
      <c r="C152" s="95"/>
      <c r="D152" s="95"/>
      <c r="E152" s="95"/>
      <c r="F152" s="128">
        <v>1610</v>
      </c>
    </row>
    <row r="153" spans="1:6" s="117" customFormat="1" ht="14.25" customHeight="1">
      <c r="A153" s="91" t="s">
        <v>275</v>
      </c>
      <c r="B153" s="95" t="s">
        <v>2462</v>
      </c>
      <c r="C153" s="95"/>
      <c r="D153" s="95"/>
      <c r="E153" s="95"/>
      <c r="F153" s="128">
        <v>1610</v>
      </c>
    </row>
    <row r="154" spans="1:6" s="117" customFormat="1" ht="14.25" customHeight="1">
      <c r="A154" s="91" t="s">
        <v>275</v>
      </c>
      <c r="B154" s="95" t="s">
        <v>2465</v>
      </c>
      <c r="C154" s="95"/>
      <c r="D154" s="95"/>
      <c r="E154" s="95"/>
      <c r="F154" s="128">
        <v>1610</v>
      </c>
    </row>
    <row r="155" spans="1:6" s="117" customFormat="1" ht="14.25" customHeight="1">
      <c r="A155" s="91" t="s">
        <v>275</v>
      </c>
      <c r="B155" s="95" t="s">
        <v>2468</v>
      </c>
      <c r="C155" s="95"/>
      <c r="D155" s="95"/>
      <c r="E155" s="95"/>
      <c r="F155" s="128">
        <v>1800</v>
      </c>
    </row>
    <row r="156" spans="1:6" s="117" customFormat="1" ht="14.25" customHeight="1">
      <c r="A156" s="91" t="s">
        <v>275</v>
      </c>
      <c r="B156" s="95" t="s">
        <v>2470</v>
      </c>
      <c r="C156" s="95"/>
      <c r="D156" s="95"/>
      <c r="E156" s="95"/>
      <c r="F156" s="128">
        <v>1910</v>
      </c>
    </row>
    <row r="157" spans="1:6" s="117" customFormat="1" ht="14.25" customHeight="1">
      <c r="A157" s="91" t="s">
        <v>275</v>
      </c>
      <c r="B157" s="106" t="s">
        <v>2472</v>
      </c>
      <c r="C157" s="106"/>
      <c r="D157" s="106"/>
      <c r="E157" s="106"/>
      <c r="F157" s="130">
        <v>1500</v>
      </c>
    </row>
    <row r="158" spans="1:6" s="117" customFormat="1" ht="14.25" customHeight="1">
      <c r="A158" s="91" t="s">
        <v>280</v>
      </c>
      <c r="B158" s="92" t="s">
        <v>2138</v>
      </c>
      <c r="C158" s="92">
        <v>8170</v>
      </c>
      <c r="D158" s="92">
        <v>8140</v>
      </c>
      <c r="E158" s="92">
        <v>8590</v>
      </c>
      <c r="F158" s="125">
        <v>1450</v>
      </c>
    </row>
    <row r="159" spans="1:6" s="117" customFormat="1" ht="14.25" customHeight="1">
      <c r="A159" s="91" t="s">
        <v>280</v>
      </c>
      <c r="B159" s="95" t="s">
        <v>2151</v>
      </c>
      <c r="C159" s="95">
        <v>7410</v>
      </c>
      <c r="D159" s="95">
        <v>7370</v>
      </c>
      <c r="E159" s="95">
        <v>8030</v>
      </c>
      <c r="F159" s="128">
        <v>1510</v>
      </c>
    </row>
    <row r="160" spans="1:6" s="117" customFormat="1" ht="14.25" customHeight="1">
      <c r="A160" s="91" t="s">
        <v>280</v>
      </c>
      <c r="B160" s="95" t="s">
        <v>2165</v>
      </c>
      <c r="C160" s="95">
        <v>7240</v>
      </c>
      <c r="D160" s="95">
        <v>7210</v>
      </c>
      <c r="E160" s="95">
        <v>7860</v>
      </c>
      <c r="F160" s="128">
        <v>1370</v>
      </c>
    </row>
    <row r="161" spans="1:6" s="117" customFormat="1" ht="14.25" customHeight="1">
      <c r="A161" s="91" t="s">
        <v>280</v>
      </c>
      <c r="B161" s="95" t="s">
        <v>2177</v>
      </c>
      <c r="C161" s="95">
        <v>7720</v>
      </c>
      <c r="D161" s="95">
        <v>7690</v>
      </c>
      <c r="E161" s="95">
        <v>8200</v>
      </c>
      <c r="F161" s="128">
        <v>1190</v>
      </c>
    </row>
    <row r="162" spans="1:6" s="117" customFormat="1" ht="14.25" customHeight="1">
      <c r="A162" s="91" t="s">
        <v>280</v>
      </c>
      <c r="B162" s="95" t="s">
        <v>2189</v>
      </c>
      <c r="C162" s="95">
        <v>6900</v>
      </c>
      <c r="D162" s="95">
        <v>6870</v>
      </c>
      <c r="E162" s="95">
        <v>7500</v>
      </c>
      <c r="F162" s="128">
        <v>1390</v>
      </c>
    </row>
    <row r="163" spans="1:6" s="117" customFormat="1" ht="14.25" customHeight="1">
      <c r="A163" s="91" t="s">
        <v>280</v>
      </c>
      <c r="B163" s="95" t="s">
        <v>2200</v>
      </c>
      <c r="C163" s="95">
        <v>7120</v>
      </c>
      <c r="D163" s="95">
        <v>7090</v>
      </c>
      <c r="E163" s="95">
        <v>7690</v>
      </c>
      <c r="F163" s="128">
        <v>1230</v>
      </c>
    </row>
    <row r="164" spans="1:6" s="117" customFormat="1" ht="14.25" customHeight="1">
      <c r="A164" s="91" t="s">
        <v>280</v>
      </c>
      <c r="B164" s="95" t="s">
        <v>2211</v>
      </c>
      <c r="C164" s="95">
        <v>6560</v>
      </c>
      <c r="D164" s="95">
        <v>6530</v>
      </c>
      <c r="E164" s="95">
        <v>7110</v>
      </c>
      <c r="F164" s="128">
        <v>1340</v>
      </c>
    </row>
    <row r="165" spans="1:6" s="117" customFormat="1" ht="14.25" customHeight="1">
      <c r="A165" s="91" t="s">
        <v>280</v>
      </c>
      <c r="B165" s="95" t="s">
        <v>2222</v>
      </c>
      <c r="C165" s="95">
        <v>7450</v>
      </c>
      <c r="D165" s="95">
        <v>7430</v>
      </c>
      <c r="E165" s="95">
        <v>8110</v>
      </c>
      <c r="F165" s="128">
        <v>1290</v>
      </c>
    </row>
    <row r="166" spans="1:6" s="117" customFormat="1" ht="14.25" customHeight="1">
      <c r="A166" s="91" t="s">
        <v>280</v>
      </c>
      <c r="B166" s="95" t="s">
        <v>2232</v>
      </c>
      <c r="C166" s="95">
        <v>7490</v>
      </c>
      <c r="D166" s="95">
        <v>7460</v>
      </c>
      <c r="E166" s="95">
        <v>8150</v>
      </c>
      <c r="F166" s="128">
        <v>1350</v>
      </c>
    </row>
    <row r="167" spans="1:6" s="117" customFormat="1" ht="14.25" customHeight="1">
      <c r="A167" s="91" t="s">
        <v>280</v>
      </c>
      <c r="B167" s="95" t="s">
        <v>2242</v>
      </c>
      <c r="C167" s="95">
        <v>7540</v>
      </c>
      <c r="D167" s="95">
        <v>7510</v>
      </c>
      <c r="E167" s="95">
        <v>8030</v>
      </c>
      <c r="F167" s="131"/>
    </row>
    <row r="168" spans="1:6" s="117" customFormat="1" ht="14.25" customHeight="1">
      <c r="A168" s="91" t="s">
        <v>280</v>
      </c>
      <c r="B168" s="95" t="s">
        <v>2252</v>
      </c>
      <c r="C168" s="95">
        <v>7210</v>
      </c>
      <c r="D168" s="95">
        <v>7180</v>
      </c>
      <c r="E168" s="95">
        <v>7830</v>
      </c>
      <c r="F168" s="131"/>
    </row>
    <row r="169" spans="1:6" s="117" customFormat="1" ht="14.25" customHeight="1">
      <c r="A169" s="91" t="s">
        <v>280</v>
      </c>
      <c r="B169" s="95" t="s">
        <v>2262</v>
      </c>
      <c r="C169" s="95">
        <v>7040</v>
      </c>
      <c r="D169" s="95">
        <v>7020</v>
      </c>
      <c r="E169" s="95">
        <v>7670</v>
      </c>
      <c r="F169" s="131"/>
    </row>
    <row r="170" spans="1:6" s="117" customFormat="1" ht="14.25" customHeight="1">
      <c r="A170" s="91" t="s">
        <v>280</v>
      </c>
      <c r="B170" s="95" t="s">
        <v>2272</v>
      </c>
      <c r="C170" s="95">
        <v>8040</v>
      </c>
      <c r="D170" s="95">
        <v>7190</v>
      </c>
      <c r="E170" s="95">
        <v>7850</v>
      </c>
      <c r="F170" s="131"/>
    </row>
    <row r="171" spans="1:6" s="117" customFormat="1" ht="14.25" customHeight="1">
      <c r="A171" s="91" t="s">
        <v>280</v>
      </c>
      <c r="B171" s="95" t="s">
        <v>2282</v>
      </c>
      <c r="C171" s="95">
        <v>7860</v>
      </c>
      <c r="D171" s="95">
        <v>7720</v>
      </c>
      <c r="E171" s="95">
        <v>8150</v>
      </c>
      <c r="F171" s="128">
        <v>1110</v>
      </c>
    </row>
    <row r="172" spans="1:6" s="117" customFormat="1" ht="14.25" customHeight="1">
      <c r="A172" s="91" t="s">
        <v>280</v>
      </c>
      <c r="B172" s="95" t="s">
        <v>2292</v>
      </c>
      <c r="C172" s="95">
        <v>7210</v>
      </c>
      <c r="D172" s="95">
        <v>7170</v>
      </c>
      <c r="E172" s="95">
        <v>7320</v>
      </c>
      <c r="F172" s="131"/>
    </row>
    <row r="173" spans="1:6" s="117" customFormat="1" ht="14.25" customHeight="1">
      <c r="A173" s="91" t="s">
        <v>280</v>
      </c>
      <c r="B173" s="95" t="s">
        <v>2302</v>
      </c>
      <c r="C173" s="95">
        <v>6860</v>
      </c>
      <c r="D173" s="95">
        <v>6810</v>
      </c>
      <c r="E173" s="95">
        <v>7440</v>
      </c>
      <c r="F173" s="131"/>
    </row>
    <row r="174" spans="1:6" s="117" customFormat="1" ht="14.25" customHeight="1">
      <c r="A174" s="91" t="s">
        <v>280</v>
      </c>
      <c r="B174" s="95" t="s">
        <v>2312</v>
      </c>
      <c r="C174" s="95">
        <v>7120</v>
      </c>
      <c r="D174" s="95">
        <v>7090</v>
      </c>
      <c r="E174" s="95">
        <v>7500</v>
      </c>
      <c r="F174" s="128">
        <v>1490</v>
      </c>
    </row>
    <row r="175" spans="1:6" s="117" customFormat="1" ht="14.25" customHeight="1">
      <c r="A175" s="91" t="s">
        <v>280</v>
      </c>
      <c r="B175" s="95" t="s">
        <v>2322</v>
      </c>
      <c r="C175" s="95">
        <v>7850</v>
      </c>
      <c r="D175" s="95">
        <v>7820</v>
      </c>
      <c r="E175" s="95">
        <v>8120</v>
      </c>
      <c r="F175" s="128">
        <v>1530</v>
      </c>
    </row>
    <row r="176" spans="1:6" s="117" customFormat="1" ht="14.25" customHeight="1">
      <c r="A176" s="91" t="s">
        <v>280</v>
      </c>
      <c r="B176" s="95" t="s">
        <v>2332</v>
      </c>
      <c r="C176" s="95">
        <v>7620</v>
      </c>
      <c r="D176" s="95">
        <v>7570</v>
      </c>
      <c r="E176" s="95">
        <v>7990</v>
      </c>
      <c r="F176" s="128">
        <v>1480</v>
      </c>
    </row>
    <row r="177" spans="1:6" s="117" customFormat="1" ht="14.25" customHeight="1">
      <c r="A177" s="91" t="s">
        <v>280</v>
      </c>
      <c r="B177" s="95" t="s">
        <v>2341</v>
      </c>
      <c r="C177" s="95">
        <v>8590</v>
      </c>
      <c r="D177" s="95">
        <v>8570</v>
      </c>
      <c r="E177" s="95">
        <v>8740</v>
      </c>
      <c r="F177" s="128">
        <v>1540</v>
      </c>
    </row>
    <row r="178" spans="1:6" s="117" customFormat="1" ht="14.25" customHeight="1">
      <c r="A178" s="91" t="s">
        <v>280</v>
      </c>
      <c r="B178" s="95" t="s">
        <v>2349</v>
      </c>
      <c r="C178" s="95">
        <v>7510</v>
      </c>
      <c r="D178" s="95">
        <v>7470</v>
      </c>
      <c r="E178" s="95">
        <v>8090</v>
      </c>
      <c r="F178" s="128">
        <v>1320</v>
      </c>
    </row>
    <row r="179" spans="1:6" s="117" customFormat="1" ht="14.25" customHeight="1">
      <c r="A179" s="91" t="s">
        <v>280</v>
      </c>
      <c r="B179" s="95" t="s">
        <v>2357</v>
      </c>
      <c r="C179" s="95">
        <v>6380</v>
      </c>
      <c r="D179" s="95">
        <v>6340</v>
      </c>
      <c r="E179" s="95">
        <v>6810</v>
      </c>
      <c r="F179" s="131"/>
    </row>
    <row r="180" spans="1:6" s="117" customFormat="1" ht="14.25" customHeight="1">
      <c r="A180" s="91" t="s">
        <v>280</v>
      </c>
      <c r="B180" s="95" t="s">
        <v>2364</v>
      </c>
      <c r="C180" s="95">
        <v>7830</v>
      </c>
      <c r="D180" s="95">
        <v>7800</v>
      </c>
      <c r="E180" s="95">
        <v>7780</v>
      </c>
      <c r="F180" s="128">
        <v>1440</v>
      </c>
    </row>
    <row r="181" spans="1:6" s="117" customFormat="1" ht="14.25" customHeight="1">
      <c r="A181" s="91" t="s">
        <v>280</v>
      </c>
      <c r="B181" s="95" t="s">
        <v>2371</v>
      </c>
      <c r="C181" s="95">
        <v>7110</v>
      </c>
      <c r="D181" s="95">
        <v>7080</v>
      </c>
      <c r="E181" s="95">
        <v>7730</v>
      </c>
      <c r="F181" s="128">
        <v>1350</v>
      </c>
    </row>
    <row r="182" spans="1:6" s="117" customFormat="1" ht="14.25" customHeight="1">
      <c r="A182" s="91" t="s">
        <v>280</v>
      </c>
      <c r="B182" s="95" t="s">
        <v>2378</v>
      </c>
      <c r="C182" s="95">
        <v>7310</v>
      </c>
      <c r="D182" s="95">
        <v>7280</v>
      </c>
      <c r="E182" s="95">
        <v>7950</v>
      </c>
      <c r="F182" s="128">
        <v>1220</v>
      </c>
    </row>
    <row r="183" spans="1:6" s="117" customFormat="1" ht="14.25" customHeight="1">
      <c r="A183" s="91" t="s">
        <v>280</v>
      </c>
      <c r="B183" s="95" t="s">
        <v>2385</v>
      </c>
      <c r="C183" s="95">
        <v>7470</v>
      </c>
      <c r="D183" s="95">
        <v>7440</v>
      </c>
      <c r="E183" s="95">
        <v>7880</v>
      </c>
      <c r="F183" s="131"/>
    </row>
    <row r="184" spans="1:6" s="117" customFormat="1" ht="14.25" customHeight="1">
      <c r="A184" s="91" t="s">
        <v>280</v>
      </c>
      <c r="B184" s="95" t="s">
        <v>2392</v>
      </c>
      <c r="C184" s="95">
        <v>6960</v>
      </c>
      <c r="D184" s="95">
        <v>6930</v>
      </c>
      <c r="E184" s="95">
        <v>7570</v>
      </c>
      <c r="F184" s="131"/>
    </row>
    <row r="185" spans="1:6" s="117" customFormat="1" ht="14.25" customHeight="1">
      <c r="A185" s="91" t="s">
        <v>280</v>
      </c>
      <c r="B185" s="95" t="s">
        <v>2397</v>
      </c>
      <c r="C185" s="95">
        <v>7260</v>
      </c>
      <c r="D185" s="95">
        <v>7230</v>
      </c>
      <c r="E185" s="95">
        <v>7710</v>
      </c>
      <c r="F185" s="128">
        <v>1360</v>
      </c>
    </row>
    <row r="186" spans="1:6" s="117" customFormat="1" ht="14.25" customHeight="1">
      <c r="A186" s="91" t="s">
        <v>280</v>
      </c>
      <c r="B186" s="95" t="s">
        <v>2402</v>
      </c>
      <c r="C186" s="95"/>
      <c r="D186" s="95"/>
      <c r="E186" s="95"/>
      <c r="F186" s="128">
        <v>1560</v>
      </c>
    </row>
    <row r="187" spans="1:6" s="117" customFormat="1" ht="14.25" customHeight="1">
      <c r="A187" s="91" t="s">
        <v>280</v>
      </c>
      <c r="B187" s="95" t="s">
        <v>2407</v>
      </c>
      <c r="C187" s="95"/>
      <c r="D187" s="95"/>
      <c r="E187" s="95"/>
      <c r="F187" s="128">
        <v>1560</v>
      </c>
    </row>
    <row r="188" spans="1:6" s="117" customFormat="1" ht="14.25" customHeight="1">
      <c r="A188" s="91" t="s">
        <v>280</v>
      </c>
      <c r="B188" s="95" t="s">
        <v>2412</v>
      </c>
      <c r="C188" s="95"/>
      <c r="D188" s="95"/>
      <c r="E188" s="95"/>
      <c r="F188" s="128">
        <v>1560</v>
      </c>
    </row>
    <row r="189" spans="1:6" s="117" customFormat="1" ht="14.25" customHeight="1">
      <c r="A189" s="91" t="s">
        <v>280</v>
      </c>
      <c r="B189" s="95" t="s">
        <v>2417</v>
      </c>
      <c r="C189" s="95"/>
      <c r="D189" s="95"/>
      <c r="E189" s="95"/>
      <c r="F189" s="128">
        <v>1320</v>
      </c>
    </row>
    <row r="190" spans="1:6" s="117" customFormat="1" ht="14.25" customHeight="1">
      <c r="A190" s="91" t="s">
        <v>280</v>
      </c>
      <c r="B190" s="95" t="s">
        <v>2422</v>
      </c>
      <c r="C190" s="95"/>
      <c r="D190" s="95"/>
      <c r="E190" s="95"/>
      <c r="F190" s="128">
        <v>1320</v>
      </c>
    </row>
    <row r="191" spans="1:6" s="117" customFormat="1" ht="14.25" customHeight="1">
      <c r="A191" s="91" t="s">
        <v>280</v>
      </c>
      <c r="B191" s="95" t="s">
        <v>2427</v>
      </c>
      <c r="C191" s="95"/>
      <c r="D191" s="95"/>
      <c r="E191" s="95"/>
      <c r="F191" s="128">
        <v>1320</v>
      </c>
    </row>
    <row r="192" spans="1:6" s="117" customFormat="1" ht="14.25" customHeight="1">
      <c r="A192" s="91" t="s">
        <v>280</v>
      </c>
      <c r="B192" s="95" t="s">
        <v>2431</v>
      </c>
      <c r="C192" s="95"/>
      <c r="D192" s="95"/>
      <c r="E192" s="95"/>
      <c r="F192" s="128">
        <v>1100</v>
      </c>
    </row>
    <row r="193" spans="1:6" s="117" customFormat="1" ht="14.25" customHeight="1">
      <c r="A193" s="91" t="s">
        <v>280</v>
      </c>
      <c r="B193" s="95" t="s">
        <v>2435</v>
      </c>
      <c r="C193" s="95"/>
      <c r="D193" s="95"/>
      <c r="E193" s="95"/>
      <c r="F193" s="128">
        <v>1100</v>
      </c>
    </row>
    <row r="194" spans="1:6" s="117" customFormat="1" ht="14.25" customHeight="1">
      <c r="A194" s="91" t="s">
        <v>280</v>
      </c>
      <c r="B194" s="95" t="s">
        <v>2439</v>
      </c>
      <c r="C194" s="95"/>
      <c r="D194" s="95"/>
      <c r="E194" s="95"/>
      <c r="F194" s="128">
        <v>1080</v>
      </c>
    </row>
    <row r="195" spans="1:6" s="117" customFormat="1" ht="14.25" customHeight="1">
      <c r="A195" s="91" t="s">
        <v>280</v>
      </c>
      <c r="B195" s="95" t="s">
        <v>2443</v>
      </c>
      <c r="C195" s="95"/>
      <c r="D195" s="95"/>
      <c r="E195" s="95"/>
      <c r="F195" s="128">
        <v>1270</v>
      </c>
    </row>
    <row r="196" spans="1:6" s="117" customFormat="1" ht="14.25" customHeight="1">
      <c r="A196" s="91" t="s">
        <v>280</v>
      </c>
      <c r="B196" s="95" t="s">
        <v>2447</v>
      </c>
      <c r="C196" s="95"/>
      <c r="D196" s="95"/>
      <c r="E196" s="95"/>
      <c r="F196" s="128">
        <v>1150</v>
      </c>
    </row>
    <row r="197" spans="1:6" s="117" customFormat="1" ht="14.25" customHeight="1">
      <c r="A197" s="91" t="s">
        <v>280</v>
      </c>
      <c r="B197" s="95" t="s">
        <v>2451</v>
      </c>
      <c r="C197" s="95"/>
      <c r="D197" s="95"/>
      <c r="E197" s="95"/>
      <c r="F197" s="128">
        <v>1330</v>
      </c>
    </row>
    <row r="198" spans="1:6" s="117" customFormat="1" ht="14.25" customHeight="1">
      <c r="A198" s="91" t="s">
        <v>280</v>
      </c>
      <c r="B198" s="95" t="s">
        <v>2454</v>
      </c>
      <c r="C198" s="95"/>
      <c r="D198" s="95"/>
      <c r="E198" s="95"/>
      <c r="F198" s="128">
        <v>1170</v>
      </c>
    </row>
    <row r="199" spans="1:6" s="117" customFormat="1" ht="14.25" customHeight="1">
      <c r="A199" s="91" t="s">
        <v>280</v>
      </c>
      <c r="B199" s="95" t="s">
        <v>2457</v>
      </c>
      <c r="C199" s="95"/>
      <c r="D199" s="95"/>
      <c r="E199" s="95"/>
      <c r="F199" s="128">
        <v>1120</v>
      </c>
    </row>
    <row r="200" spans="1:6" s="117" customFormat="1" ht="14.25" customHeight="1">
      <c r="A200" s="91" t="s">
        <v>280</v>
      </c>
      <c r="B200" s="95" t="s">
        <v>2460</v>
      </c>
      <c r="C200" s="95"/>
      <c r="D200" s="95"/>
      <c r="E200" s="95"/>
      <c r="F200" s="128">
        <v>1120</v>
      </c>
    </row>
    <row r="201" spans="1:6" s="117" customFormat="1" ht="14.25" customHeight="1">
      <c r="A201" s="91" t="s">
        <v>280</v>
      </c>
      <c r="B201" s="95" t="s">
        <v>2463</v>
      </c>
      <c r="C201" s="95"/>
      <c r="D201" s="95"/>
      <c r="E201" s="95"/>
      <c r="F201" s="128">
        <v>1540</v>
      </c>
    </row>
    <row r="202" spans="1:6" s="117" customFormat="1" ht="14.25" customHeight="1">
      <c r="A202" s="91" t="s">
        <v>280</v>
      </c>
      <c r="B202" s="95" t="s">
        <v>2466</v>
      </c>
      <c r="C202" s="95"/>
      <c r="D202" s="95"/>
      <c r="E202" s="95"/>
      <c r="F202" s="128">
        <v>1310</v>
      </c>
    </row>
    <row r="203" spans="1:6" s="117" customFormat="1" ht="14.25" customHeight="1">
      <c r="A203" s="91" t="s">
        <v>280</v>
      </c>
      <c r="B203" s="95" t="s">
        <v>2469</v>
      </c>
      <c r="C203" s="95"/>
      <c r="D203" s="95"/>
      <c r="E203" s="95"/>
      <c r="F203" s="128">
        <v>1310</v>
      </c>
    </row>
    <row r="204" spans="1:6" s="117" customFormat="1" ht="14.25" customHeight="1">
      <c r="A204" s="91" t="s">
        <v>280</v>
      </c>
      <c r="B204" s="95" t="s">
        <v>2471</v>
      </c>
      <c r="C204" s="95"/>
      <c r="D204" s="95"/>
      <c r="E204" s="95"/>
      <c r="F204" s="128">
        <v>1080</v>
      </c>
    </row>
    <row r="205" spans="1:6" s="117" customFormat="1" ht="14.25" customHeight="1">
      <c r="A205" s="91" t="s">
        <v>280</v>
      </c>
      <c r="B205" s="95" t="s">
        <v>2473</v>
      </c>
      <c r="C205" s="95"/>
      <c r="D205" s="95"/>
      <c r="E205" s="95"/>
      <c r="F205" s="128">
        <v>1080</v>
      </c>
    </row>
    <row r="206" spans="1:6" s="117" customFormat="1" ht="14.25" customHeight="1">
      <c r="A206" s="91" t="s">
        <v>285</v>
      </c>
      <c r="B206" s="92" t="s">
        <v>2139</v>
      </c>
      <c r="C206" s="92">
        <v>5450</v>
      </c>
      <c r="D206" s="92">
        <v>5430</v>
      </c>
      <c r="E206" s="92">
        <v>5700</v>
      </c>
      <c r="F206" s="125">
        <v>1020</v>
      </c>
    </row>
    <row r="207" spans="1:6" s="117" customFormat="1" ht="14.25" customHeight="1">
      <c r="A207" s="91" t="s">
        <v>285</v>
      </c>
      <c r="B207" s="95" t="s">
        <v>2152</v>
      </c>
      <c r="C207" s="95">
        <v>5860</v>
      </c>
      <c r="D207" s="95">
        <v>5820</v>
      </c>
      <c r="E207" s="95">
        <v>6050</v>
      </c>
      <c r="F207" s="128">
        <v>1080</v>
      </c>
    </row>
    <row r="208" spans="1:6" s="117" customFormat="1" ht="14.25" customHeight="1">
      <c r="A208" s="91" t="s">
        <v>285</v>
      </c>
      <c r="B208" s="95" t="s">
        <v>2166</v>
      </c>
      <c r="C208" s="95">
        <v>4630</v>
      </c>
      <c r="D208" s="95">
        <v>4600</v>
      </c>
      <c r="E208" s="95">
        <v>4840</v>
      </c>
      <c r="F208" s="128">
        <v>900</v>
      </c>
    </row>
    <row r="209" spans="1:6" s="117" customFormat="1" ht="14.25" customHeight="1">
      <c r="A209" s="91" t="s">
        <v>285</v>
      </c>
      <c r="B209" s="95" t="s">
        <v>2178</v>
      </c>
      <c r="C209" s="95">
        <v>5320</v>
      </c>
      <c r="D209" s="95">
        <v>5270</v>
      </c>
      <c r="E209" s="95">
        <v>5540</v>
      </c>
      <c r="F209" s="128">
        <v>980</v>
      </c>
    </row>
    <row r="210" spans="1:6" s="117" customFormat="1" ht="14.25" customHeight="1">
      <c r="A210" s="91" t="s">
        <v>285</v>
      </c>
      <c r="B210" s="95" t="s">
        <v>2190</v>
      </c>
      <c r="C210" s="95">
        <v>5760</v>
      </c>
      <c r="D210" s="95">
        <v>5710</v>
      </c>
      <c r="E210" s="95">
        <v>6010</v>
      </c>
      <c r="F210" s="128">
        <v>870</v>
      </c>
    </row>
    <row r="211" spans="1:6" s="117" customFormat="1" ht="14.25" customHeight="1">
      <c r="A211" s="91" t="s">
        <v>285</v>
      </c>
      <c r="B211" s="95" t="s">
        <v>2201</v>
      </c>
      <c r="C211" s="95">
        <v>4160</v>
      </c>
      <c r="D211" s="95">
        <v>4100</v>
      </c>
      <c r="E211" s="95">
        <v>4270</v>
      </c>
      <c r="F211" s="128">
        <v>790</v>
      </c>
    </row>
    <row r="212" spans="1:6" s="117" customFormat="1" ht="14.25" customHeight="1">
      <c r="A212" s="91" t="s">
        <v>285</v>
      </c>
      <c r="B212" s="95" t="s">
        <v>2212</v>
      </c>
      <c r="C212" s="95">
        <v>4880</v>
      </c>
      <c r="D212" s="95">
        <v>4850</v>
      </c>
      <c r="E212" s="95">
        <v>5110</v>
      </c>
      <c r="F212" s="128">
        <v>940</v>
      </c>
    </row>
    <row r="213" spans="1:6" s="117" customFormat="1" ht="14.25" customHeight="1">
      <c r="A213" s="91" t="s">
        <v>285</v>
      </c>
      <c r="B213" s="95" t="s">
        <v>2223</v>
      </c>
      <c r="C213" s="95">
        <v>4640</v>
      </c>
      <c r="D213" s="95">
        <v>4590</v>
      </c>
      <c r="E213" s="95">
        <v>4700</v>
      </c>
      <c r="F213" s="128">
        <v>1030</v>
      </c>
    </row>
    <row r="214" spans="1:6" s="117" customFormat="1" ht="14.25" customHeight="1">
      <c r="A214" s="91" t="s">
        <v>285</v>
      </c>
      <c r="B214" s="95" t="s">
        <v>2233</v>
      </c>
      <c r="C214" s="95">
        <v>4540</v>
      </c>
      <c r="D214" s="95">
        <v>4490</v>
      </c>
      <c r="E214" s="95">
        <v>4610</v>
      </c>
      <c r="F214" s="131"/>
    </row>
    <row r="215" spans="1:6" s="117" customFormat="1" ht="14.25" customHeight="1">
      <c r="A215" s="91" t="s">
        <v>285</v>
      </c>
      <c r="B215" s="95" t="s">
        <v>2243</v>
      </c>
      <c r="C215" s="95">
        <v>5280</v>
      </c>
      <c r="D215" s="95">
        <v>5250</v>
      </c>
      <c r="E215" s="95">
        <v>5520</v>
      </c>
      <c r="F215" s="128">
        <v>1000</v>
      </c>
    </row>
    <row r="216" spans="1:6" s="117" customFormat="1" ht="14.25" customHeight="1">
      <c r="A216" s="91" t="s">
        <v>285</v>
      </c>
      <c r="B216" s="95" t="s">
        <v>2253</v>
      </c>
      <c r="C216" s="95">
        <v>5100</v>
      </c>
      <c r="D216" s="95">
        <v>5050</v>
      </c>
      <c r="E216" s="95">
        <v>5300</v>
      </c>
      <c r="F216" s="128">
        <v>950</v>
      </c>
    </row>
    <row r="217" spans="1:6" s="117" customFormat="1" ht="14.25" customHeight="1">
      <c r="A217" s="91" t="s">
        <v>285</v>
      </c>
      <c r="B217" s="95" t="s">
        <v>2263</v>
      </c>
      <c r="C217" s="95">
        <v>5370</v>
      </c>
      <c r="D217" s="95">
        <v>5320</v>
      </c>
      <c r="E217" s="95">
        <v>5410</v>
      </c>
      <c r="F217" s="128">
        <v>950</v>
      </c>
    </row>
    <row r="218" spans="1:6" s="117" customFormat="1" ht="14.25" customHeight="1">
      <c r="A218" s="91" t="s">
        <v>285</v>
      </c>
      <c r="B218" s="95" t="s">
        <v>2273</v>
      </c>
      <c r="C218" s="95">
        <v>5540</v>
      </c>
      <c r="D218" s="95">
        <v>5480</v>
      </c>
      <c r="E218" s="95">
        <v>5740</v>
      </c>
      <c r="F218" s="128">
        <v>1020</v>
      </c>
    </row>
    <row r="219" spans="1:6" s="117" customFormat="1" ht="14.25" customHeight="1">
      <c r="A219" s="91" t="s">
        <v>285</v>
      </c>
      <c r="B219" s="95" t="s">
        <v>2283</v>
      </c>
      <c r="C219" s="95">
        <v>5140</v>
      </c>
      <c r="D219" s="95">
        <v>5100</v>
      </c>
      <c r="E219" s="95">
        <v>5350</v>
      </c>
      <c r="F219" s="128">
        <v>1120</v>
      </c>
    </row>
    <row r="220" spans="1:6" s="117" customFormat="1" ht="14.25" customHeight="1">
      <c r="A220" s="91" t="s">
        <v>285</v>
      </c>
      <c r="B220" s="95" t="s">
        <v>2293</v>
      </c>
      <c r="C220" s="95">
        <v>5040</v>
      </c>
      <c r="D220" s="95">
        <v>5000</v>
      </c>
      <c r="E220" s="95">
        <v>5240</v>
      </c>
      <c r="F220" s="128">
        <v>980</v>
      </c>
    </row>
    <row r="221" spans="1:6" s="117" customFormat="1" ht="14.25" customHeight="1">
      <c r="A221" s="91" t="s">
        <v>285</v>
      </c>
      <c r="B221" s="95" t="s">
        <v>2303</v>
      </c>
      <c r="C221" s="134"/>
      <c r="D221" s="134"/>
      <c r="E221" s="134"/>
      <c r="F221" s="128">
        <v>1070</v>
      </c>
    </row>
    <row r="222" spans="1:6" s="117" customFormat="1" ht="14.25" customHeight="1">
      <c r="A222" s="91" t="s">
        <v>285</v>
      </c>
      <c r="B222" s="95" t="s">
        <v>2313</v>
      </c>
      <c r="C222" s="134"/>
      <c r="D222" s="134"/>
      <c r="E222" s="134"/>
      <c r="F222" s="128">
        <v>870</v>
      </c>
    </row>
    <row r="223" spans="1:6" s="117" customFormat="1" ht="14.25" customHeight="1">
      <c r="A223" s="91" t="s">
        <v>285</v>
      </c>
      <c r="B223" s="95" t="s">
        <v>2323</v>
      </c>
      <c r="C223" s="134"/>
      <c r="D223" s="134"/>
      <c r="E223" s="134"/>
      <c r="F223" s="128">
        <v>940</v>
      </c>
    </row>
    <row r="224" spans="1:6" s="117" customFormat="1" ht="14.25" customHeight="1">
      <c r="A224" s="91" t="s">
        <v>285</v>
      </c>
      <c r="B224" s="95" t="s">
        <v>2333</v>
      </c>
      <c r="C224" s="134"/>
      <c r="D224" s="134"/>
      <c r="E224" s="134"/>
      <c r="F224" s="128">
        <v>990</v>
      </c>
    </row>
    <row r="225" spans="1:6" s="117" customFormat="1" ht="14.25" customHeight="1">
      <c r="A225" s="91" t="s">
        <v>285</v>
      </c>
      <c r="B225" s="95" t="s">
        <v>2342</v>
      </c>
      <c r="C225" s="95">
        <v>5730</v>
      </c>
      <c r="D225" s="95">
        <v>5680</v>
      </c>
      <c r="E225" s="95">
        <v>6020</v>
      </c>
      <c r="F225" s="128">
        <v>1000</v>
      </c>
    </row>
    <row r="226" spans="1:6" s="117" customFormat="1" ht="14.25" customHeight="1">
      <c r="A226" s="91" t="s">
        <v>285</v>
      </c>
      <c r="B226" s="95" t="s">
        <v>2350</v>
      </c>
      <c r="C226" s="95">
        <v>4970</v>
      </c>
      <c r="D226" s="95">
        <v>4940</v>
      </c>
      <c r="E226" s="95">
        <v>5180</v>
      </c>
      <c r="F226" s="128">
        <v>960</v>
      </c>
    </row>
    <row r="227" spans="1:6" s="117" customFormat="1" ht="14.25" customHeight="1">
      <c r="A227" s="91" t="s">
        <v>285</v>
      </c>
      <c r="B227" s="95" t="s">
        <v>2358</v>
      </c>
      <c r="C227" s="95">
        <v>5550</v>
      </c>
      <c r="D227" s="95">
        <v>5500</v>
      </c>
      <c r="E227" s="95">
        <v>5780</v>
      </c>
      <c r="F227" s="128">
        <v>940</v>
      </c>
    </row>
    <row r="228" spans="1:6" s="117" customFormat="1" ht="14.25" customHeight="1">
      <c r="A228" s="91" t="s">
        <v>285</v>
      </c>
      <c r="B228" s="95" t="s">
        <v>2365</v>
      </c>
      <c r="C228" s="95">
        <v>5460</v>
      </c>
      <c r="D228" s="95">
        <v>5420</v>
      </c>
      <c r="E228" s="95">
        <v>5690</v>
      </c>
      <c r="F228" s="128">
        <v>910</v>
      </c>
    </row>
    <row r="229" spans="1:6" s="117" customFormat="1" ht="14.25" customHeight="1">
      <c r="A229" s="91" t="s">
        <v>285</v>
      </c>
      <c r="B229" s="95" t="s">
        <v>2372</v>
      </c>
      <c r="C229" s="95">
        <v>5310</v>
      </c>
      <c r="D229" s="95">
        <v>5270</v>
      </c>
      <c r="E229" s="95">
        <v>5510</v>
      </c>
      <c r="F229" s="131"/>
    </row>
    <row r="230" spans="1:6" s="117" customFormat="1" ht="14.25" customHeight="1">
      <c r="A230" s="91" t="s">
        <v>285</v>
      </c>
      <c r="B230" s="95" t="s">
        <v>2379</v>
      </c>
      <c r="C230" s="95">
        <v>4540</v>
      </c>
      <c r="D230" s="95">
        <v>4500</v>
      </c>
      <c r="E230" s="95">
        <v>4730</v>
      </c>
      <c r="F230" s="131"/>
    </row>
    <row r="231" spans="1:6" s="117" customFormat="1" ht="14.25" customHeight="1">
      <c r="A231" s="91" t="s">
        <v>285</v>
      </c>
      <c r="B231" s="95" t="s">
        <v>2386</v>
      </c>
      <c r="C231" s="95">
        <v>4480</v>
      </c>
      <c r="D231" s="95">
        <v>4410</v>
      </c>
      <c r="E231" s="95">
        <v>4640</v>
      </c>
      <c r="F231" s="131"/>
    </row>
    <row r="232" spans="1:6" s="117" customFormat="1" ht="14.25" customHeight="1">
      <c r="A232" s="91" t="s">
        <v>285</v>
      </c>
      <c r="B232" s="95" t="s">
        <v>2393</v>
      </c>
      <c r="C232" s="95">
        <v>5670</v>
      </c>
      <c r="D232" s="95">
        <v>5600</v>
      </c>
      <c r="E232" s="95">
        <v>5890</v>
      </c>
      <c r="F232" s="128">
        <v>1150</v>
      </c>
    </row>
    <row r="233" spans="1:6" s="117" customFormat="1" ht="14.25" customHeight="1">
      <c r="A233" s="91" t="s">
        <v>285</v>
      </c>
      <c r="B233" s="95" t="s">
        <v>2398</v>
      </c>
      <c r="C233" s="95">
        <v>4590</v>
      </c>
      <c r="D233" s="95">
        <v>4500</v>
      </c>
      <c r="E233" s="95">
        <v>4600</v>
      </c>
      <c r="F233" s="131"/>
    </row>
    <row r="234" spans="1:6" s="117" customFormat="1" ht="14.25" customHeight="1">
      <c r="A234" s="91" t="s">
        <v>285</v>
      </c>
      <c r="B234" s="95" t="s">
        <v>2403</v>
      </c>
      <c r="C234" s="95">
        <v>3990</v>
      </c>
      <c r="D234" s="95">
        <v>3950</v>
      </c>
      <c r="E234" s="95">
        <v>4180</v>
      </c>
      <c r="F234" s="131"/>
    </row>
    <row r="235" spans="1:6" s="117" customFormat="1" ht="14.25" customHeight="1">
      <c r="A235" s="91" t="s">
        <v>285</v>
      </c>
      <c r="B235" s="95" t="s">
        <v>2408</v>
      </c>
      <c r="C235" s="95">
        <v>5590</v>
      </c>
      <c r="D235" s="95">
        <v>5540</v>
      </c>
      <c r="E235" s="95">
        <v>5810</v>
      </c>
      <c r="F235" s="128">
        <v>970</v>
      </c>
    </row>
    <row r="236" spans="1:6" s="117" customFormat="1" ht="14.25" customHeight="1">
      <c r="A236" s="91" t="s">
        <v>285</v>
      </c>
      <c r="B236" s="95" t="s">
        <v>2413</v>
      </c>
      <c r="C236" s="95"/>
      <c r="D236" s="95"/>
      <c r="E236" s="95"/>
      <c r="F236" s="128">
        <v>1020</v>
      </c>
    </row>
    <row r="237" spans="1:6" s="117" customFormat="1" ht="14.25" customHeight="1">
      <c r="A237" s="91" t="s">
        <v>285</v>
      </c>
      <c r="B237" s="95" t="s">
        <v>2418</v>
      </c>
      <c r="C237" s="95"/>
      <c r="D237" s="95"/>
      <c r="E237" s="95"/>
      <c r="F237" s="128">
        <v>960</v>
      </c>
    </row>
    <row r="238" spans="1:6" s="117" customFormat="1" ht="14.25" customHeight="1">
      <c r="A238" s="91" t="s">
        <v>285</v>
      </c>
      <c r="B238" s="95" t="s">
        <v>2423</v>
      </c>
      <c r="C238" s="95"/>
      <c r="D238" s="95"/>
      <c r="E238" s="95"/>
      <c r="F238" s="128">
        <v>960</v>
      </c>
    </row>
    <row r="239" spans="1:6" s="117" customFormat="1" ht="14.25" customHeight="1">
      <c r="A239" s="91" t="s">
        <v>285</v>
      </c>
      <c r="B239" s="95" t="s">
        <v>2428</v>
      </c>
      <c r="C239" s="95"/>
      <c r="D239" s="95"/>
      <c r="E239" s="95"/>
      <c r="F239" s="128">
        <v>960</v>
      </c>
    </row>
    <row r="240" spans="1:6" s="117" customFormat="1" ht="14.25" customHeight="1">
      <c r="A240" s="91" t="s">
        <v>285</v>
      </c>
      <c r="B240" s="95" t="s">
        <v>2432</v>
      </c>
      <c r="C240" s="95"/>
      <c r="D240" s="95"/>
      <c r="E240" s="95"/>
      <c r="F240" s="128">
        <v>990</v>
      </c>
    </row>
    <row r="241" spans="1:6" s="117" customFormat="1" ht="14.25" customHeight="1">
      <c r="A241" s="91" t="s">
        <v>285</v>
      </c>
      <c r="B241" s="95" t="s">
        <v>2436</v>
      </c>
      <c r="C241" s="95"/>
      <c r="D241" s="95"/>
      <c r="E241" s="95"/>
      <c r="F241" s="128">
        <v>1000</v>
      </c>
    </row>
    <row r="242" spans="1:6" s="117" customFormat="1" ht="14.25" customHeight="1">
      <c r="A242" s="91" t="s">
        <v>285</v>
      </c>
      <c r="B242" s="95" t="s">
        <v>2440</v>
      </c>
      <c r="C242" s="95"/>
      <c r="D242" s="95"/>
      <c r="E242" s="95"/>
      <c r="F242" s="128">
        <v>980</v>
      </c>
    </row>
    <row r="243" spans="1:6" s="117" customFormat="1" ht="14.25" customHeight="1">
      <c r="A243" s="91" t="s">
        <v>285</v>
      </c>
      <c r="B243" s="95" t="s">
        <v>2444</v>
      </c>
      <c r="C243" s="95"/>
      <c r="D243" s="95"/>
      <c r="E243" s="95"/>
      <c r="F243" s="128">
        <v>970</v>
      </c>
    </row>
    <row r="244" spans="1:6" s="117" customFormat="1" ht="14.25" customHeight="1">
      <c r="A244" s="91" t="s">
        <v>285</v>
      </c>
      <c r="B244" s="106" t="s">
        <v>2448</v>
      </c>
      <c r="C244" s="106"/>
      <c r="D244" s="106"/>
      <c r="E244" s="106"/>
      <c r="F244" s="130">
        <v>970</v>
      </c>
    </row>
    <row r="245" spans="1:6" s="117" customFormat="1" ht="14.25" customHeight="1">
      <c r="A245" s="91" t="s">
        <v>288</v>
      </c>
      <c r="B245" s="92" t="s">
        <v>2140</v>
      </c>
      <c r="C245" s="92">
        <v>4050</v>
      </c>
      <c r="D245" s="92">
        <v>4020</v>
      </c>
      <c r="E245" s="92">
        <v>4160</v>
      </c>
      <c r="F245" s="125">
        <v>840</v>
      </c>
    </row>
    <row r="246" spans="1:6" s="117" customFormat="1" ht="14.25" customHeight="1">
      <c r="A246" s="91" t="s">
        <v>288</v>
      </c>
      <c r="B246" s="95" t="s">
        <v>2153</v>
      </c>
      <c r="C246" s="95">
        <v>4010</v>
      </c>
      <c r="D246" s="95">
        <v>3960</v>
      </c>
      <c r="E246" s="95">
        <v>4130</v>
      </c>
      <c r="F246" s="128">
        <v>840</v>
      </c>
    </row>
    <row r="247" spans="1:6" s="117" customFormat="1" ht="14.25" customHeight="1">
      <c r="A247" s="91" t="s">
        <v>288</v>
      </c>
      <c r="B247" s="95" t="s">
        <v>2167</v>
      </c>
      <c r="C247" s="95">
        <v>3170</v>
      </c>
      <c r="D247" s="95">
        <v>3140</v>
      </c>
      <c r="E247" s="95">
        <v>3270</v>
      </c>
      <c r="F247" s="128">
        <v>640</v>
      </c>
    </row>
    <row r="248" spans="1:6" s="117" customFormat="1" ht="14.25" customHeight="1">
      <c r="A248" s="91" t="s">
        <v>288</v>
      </c>
      <c r="B248" s="95" t="s">
        <v>2179</v>
      </c>
      <c r="C248" s="95">
        <v>3140</v>
      </c>
      <c r="D248" s="95">
        <v>3120</v>
      </c>
      <c r="E248" s="95">
        <v>3240</v>
      </c>
      <c r="F248" s="128">
        <v>620</v>
      </c>
    </row>
    <row r="249" spans="1:6" s="117" customFormat="1" ht="14.25" customHeight="1">
      <c r="A249" s="91" t="s">
        <v>288</v>
      </c>
      <c r="B249" s="95" t="s">
        <v>2191</v>
      </c>
      <c r="C249" s="95">
        <v>3200</v>
      </c>
      <c r="D249" s="95">
        <v>3100</v>
      </c>
      <c r="E249" s="95">
        <v>3230</v>
      </c>
      <c r="F249" s="128">
        <v>750</v>
      </c>
    </row>
    <row r="250" spans="1:6" s="117" customFormat="1" ht="14.25" customHeight="1">
      <c r="A250" s="91" t="s">
        <v>288</v>
      </c>
      <c r="B250" s="95" t="s">
        <v>2202</v>
      </c>
      <c r="C250" s="95">
        <v>4060</v>
      </c>
      <c r="D250" s="95">
        <v>4000</v>
      </c>
      <c r="E250" s="95">
        <v>4140</v>
      </c>
      <c r="F250" s="128">
        <v>790</v>
      </c>
    </row>
    <row r="251" spans="1:6" s="117" customFormat="1" ht="14.25" customHeight="1">
      <c r="A251" s="91" t="s">
        <v>288</v>
      </c>
      <c r="B251" s="95" t="s">
        <v>2213</v>
      </c>
      <c r="C251" s="95">
        <v>3990</v>
      </c>
      <c r="D251" s="95">
        <v>3970</v>
      </c>
      <c r="E251" s="95">
        <v>4110</v>
      </c>
      <c r="F251" s="128">
        <v>730</v>
      </c>
    </row>
    <row r="252" spans="1:6" s="117" customFormat="1" ht="14.25" customHeight="1">
      <c r="A252" s="91" t="s">
        <v>288</v>
      </c>
      <c r="B252" s="95" t="s">
        <v>2224</v>
      </c>
      <c r="C252" s="95">
        <v>3560</v>
      </c>
      <c r="D252" s="95">
        <v>3530</v>
      </c>
      <c r="E252" s="95">
        <v>3650</v>
      </c>
      <c r="F252" s="128">
        <v>750</v>
      </c>
    </row>
    <row r="253" spans="1:6" s="117" customFormat="1" ht="14.25" customHeight="1">
      <c r="A253" s="91" t="s">
        <v>288</v>
      </c>
      <c r="B253" s="95" t="s">
        <v>2234</v>
      </c>
      <c r="C253" s="95">
        <v>3780</v>
      </c>
      <c r="D253" s="95">
        <v>3750</v>
      </c>
      <c r="E253" s="95">
        <v>3870</v>
      </c>
      <c r="F253" s="128">
        <v>770</v>
      </c>
    </row>
    <row r="254" spans="1:6" s="117" customFormat="1" ht="14.25" customHeight="1">
      <c r="A254" s="91" t="s">
        <v>288</v>
      </c>
      <c r="B254" s="95" t="s">
        <v>2244</v>
      </c>
      <c r="C254" s="134"/>
      <c r="D254" s="134"/>
      <c r="E254" s="134"/>
      <c r="F254" s="128">
        <v>740</v>
      </c>
    </row>
    <row r="255" spans="1:6" s="117" customFormat="1" ht="14.25" customHeight="1">
      <c r="A255" s="91" t="s">
        <v>288</v>
      </c>
      <c r="B255" s="95" t="s">
        <v>2254</v>
      </c>
      <c r="C255" s="134"/>
      <c r="D255" s="134"/>
      <c r="E255" s="134"/>
      <c r="F255" s="128">
        <v>760</v>
      </c>
    </row>
    <row r="256" spans="1:6" s="117" customFormat="1" ht="14.25" customHeight="1">
      <c r="A256" s="91" t="s">
        <v>288</v>
      </c>
      <c r="B256" s="95" t="s">
        <v>2264</v>
      </c>
      <c r="C256" s="95">
        <v>3760</v>
      </c>
      <c r="D256" s="95">
        <v>3730</v>
      </c>
      <c r="E256" s="95">
        <v>3870</v>
      </c>
      <c r="F256" s="128">
        <v>830</v>
      </c>
    </row>
    <row r="257" spans="1:6" s="117" customFormat="1" ht="14.25" customHeight="1">
      <c r="A257" s="91" t="s">
        <v>288</v>
      </c>
      <c r="B257" s="95" t="s">
        <v>2274</v>
      </c>
      <c r="C257" s="95">
        <v>3570</v>
      </c>
      <c r="D257" s="95">
        <v>3540</v>
      </c>
      <c r="E257" s="95">
        <v>3650</v>
      </c>
      <c r="F257" s="128">
        <v>790</v>
      </c>
    </row>
    <row r="258" spans="1:6" s="117" customFormat="1" ht="14.25" customHeight="1">
      <c r="A258" s="91" t="s">
        <v>288</v>
      </c>
      <c r="B258" s="95" t="s">
        <v>2284</v>
      </c>
      <c r="C258" s="95">
        <v>3410</v>
      </c>
      <c r="D258" s="95">
        <v>3380</v>
      </c>
      <c r="E258" s="95">
        <v>3500</v>
      </c>
      <c r="F258" s="128">
        <v>830</v>
      </c>
    </row>
    <row r="259" spans="1:6" s="117" customFormat="1" ht="14.25" customHeight="1">
      <c r="A259" s="91" t="s">
        <v>288</v>
      </c>
      <c r="B259" s="95" t="s">
        <v>2294</v>
      </c>
      <c r="C259" s="95">
        <v>3870</v>
      </c>
      <c r="D259" s="95">
        <v>3840</v>
      </c>
      <c r="E259" s="95">
        <v>3970</v>
      </c>
      <c r="F259" s="128">
        <v>830</v>
      </c>
    </row>
    <row r="260" spans="1:6" s="117" customFormat="1" ht="14.25" customHeight="1">
      <c r="A260" s="91" t="s">
        <v>288</v>
      </c>
      <c r="B260" s="95" t="s">
        <v>2304</v>
      </c>
      <c r="C260" s="95">
        <v>3700</v>
      </c>
      <c r="D260" s="95">
        <v>3660</v>
      </c>
      <c r="E260" s="95">
        <v>3810</v>
      </c>
      <c r="F260" s="128">
        <v>790</v>
      </c>
    </row>
    <row r="261" spans="1:6" s="117" customFormat="1" ht="14.25" customHeight="1">
      <c r="A261" s="91" t="s">
        <v>288</v>
      </c>
      <c r="B261" s="95" t="s">
        <v>2314</v>
      </c>
      <c r="C261" s="95">
        <v>3470</v>
      </c>
      <c r="D261" s="95">
        <v>3430</v>
      </c>
      <c r="E261" s="95">
        <v>3640</v>
      </c>
      <c r="F261" s="128">
        <v>760</v>
      </c>
    </row>
    <row r="262" spans="1:6" s="117" customFormat="1" ht="14.25" customHeight="1">
      <c r="A262" s="91" t="s">
        <v>288</v>
      </c>
      <c r="B262" s="95" t="s">
        <v>2324</v>
      </c>
      <c r="C262" s="95">
        <v>3510</v>
      </c>
      <c r="D262" s="95">
        <v>3470</v>
      </c>
      <c r="E262" s="95">
        <v>3680</v>
      </c>
      <c r="F262" s="131"/>
    </row>
    <row r="263" spans="1:6" s="117" customFormat="1" ht="14.25" customHeight="1">
      <c r="A263" s="91" t="s">
        <v>288</v>
      </c>
      <c r="B263" s="95" t="s">
        <v>2334</v>
      </c>
      <c r="C263" s="95">
        <v>3960</v>
      </c>
      <c r="D263" s="95">
        <v>3930</v>
      </c>
      <c r="E263" s="95">
        <v>4070</v>
      </c>
      <c r="F263" s="128">
        <v>830</v>
      </c>
    </row>
    <row r="264" spans="1:6" s="117" customFormat="1" ht="14.25" customHeight="1">
      <c r="A264" s="91" t="s">
        <v>288</v>
      </c>
      <c r="B264" s="95" t="s">
        <v>2343</v>
      </c>
      <c r="C264" s="95">
        <v>4010</v>
      </c>
      <c r="D264" s="95">
        <v>3980</v>
      </c>
      <c r="E264" s="95">
        <v>4150</v>
      </c>
      <c r="F264" s="128">
        <v>760</v>
      </c>
    </row>
    <row r="265" spans="1:6" s="117" customFormat="1" ht="14.25" customHeight="1">
      <c r="A265" s="91" t="s">
        <v>288</v>
      </c>
      <c r="B265" s="95" t="s">
        <v>2351</v>
      </c>
      <c r="C265" s="95">
        <v>3910</v>
      </c>
      <c r="D265" s="95">
        <v>3890</v>
      </c>
      <c r="E265" s="95">
        <v>4040</v>
      </c>
      <c r="F265" s="128">
        <v>780</v>
      </c>
    </row>
    <row r="266" spans="1:6" s="117" customFormat="1" ht="14.25" customHeight="1">
      <c r="A266" s="91" t="s">
        <v>288</v>
      </c>
      <c r="B266" s="95" t="s">
        <v>2359</v>
      </c>
      <c r="C266" s="95">
        <v>3930</v>
      </c>
      <c r="D266" s="95">
        <v>3900</v>
      </c>
      <c r="E266" s="95">
        <v>4080</v>
      </c>
      <c r="F266" s="128">
        <v>770</v>
      </c>
    </row>
    <row r="267" spans="1:6" s="117" customFormat="1" ht="14.25" customHeight="1">
      <c r="A267" s="91" t="s">
        <v>288</v>
      </c>
      <c r="B267" s="95" t="s">
        <v>2366</v>
      </c>
      <c r="C267" s="95">
        <v>3800</v>
      </c>
      <c r="D267" s="95">
        <v>3780</v>
      </c>
      <c r="E267" s="95">
        <v>3930</v>
      </c>
      <c r="F267" s="131"/>
    </row>
    <row r="268" spans="1:6" s="117" customFormat="1" ht="14.25" customHeight="1">
      <c r="A268" s="91" t="s">
        <v>288</v>
      </c>
      <c r="B268" s="95" t="s">
        <v>2373</v>
      </c>
      <c r="C268" s="95">
        <v>3460</v>
      </c>
      <c r="D268" s="95">
        <v>3430</v>
      </c>
      <c r="E268" s="95">
        <v>3560</v>
      </c>
      <c r="F268" s="128">
        <v>840</v>
      </c>
    </row>
    <row r="269" spans="1:6" s="117" customFormat="1" ht="14.25" customHeight="1">
      <c r="A269" s="91" t="s">
        <v>288</v>
      </c>
      <c r="B269" s="95" t="s">
        <v>2380</v>
      </c>
      <c r="C269" s="95">
        <v>3210</v>
      </c>
      <c r="D269" s="95">
        <v>3190</v>
      </c>
      <c r="E269" s="95">
        <v>3310</v>
      </c>
      <c r="F269" s="128">
        <v>730</v>
      </c>
    </row>
    <row r="270" spans="1:6" s="117" customFormat="1" ht="14.25" customHeight="1">
      <c r="A270" s="91" t="s">
        <v>288</v>
      </c>
      <c r="B270" s="95" t="s">
        <v>2387</v>
      </c>
      <c r="C270" s="95">
        <v>3240</v>
      </c>
      <c r="D270" s="95">
        <v>3210</v>
      </c>
      <c r="E270" s="95">
        <v>3390</v>
      </c>
      <c r="F270" s="128">
        <v>820</v>
      </c>
    </row>
    <row r="271" spans="1:6" s="117" customFormat="1" ht="14.25" customHeight="1">
      <c r="A271" s="91" t="s">
        <v>288</v>
      </c>
      <c r="B271" s="95" t="s">
        <v>2394</v>
      </c>
      <c r="C271" s="95">
        <v>3300</v>
      </c>
      <c r="D271" s="95">
        <v>3270</v>
      </c>
      <c r="E271" s="95">
        <v>3380</v>
      </c>
      <c r="F271" s="128">
        <v>750</v>
      </c>
    </row>
    <row r="272" spans="1:6" s="117" customFormat="1" ht="14.25" customHeight="1">
      <c r="A272" s="91" t="s">
        <v>288</v>
      </c>
      <c r="B272" s="95" t="s">
        <v>2399</v>
      </c>
      <c r="C272" s="134"/>
      <c r="D272" s="134"/>
      <c r="E272" s="134"/>
      <c r="F272" s="128">
        <v>740</v>
      </c>
    </row>
    <row r="273" spans="1:6" s="117" customFormat="1" ht="14.25" customHeight="1">
      <c r="A273" s="91" t="s">
        <v>288</v>
      </c>
      <c r="B273" s="95" t="s">
        <v>2404</v>
      </c>
      <c r="C273" s="95">
        <v>3130</v>
      </c>
      <c r="D273" s="95">
        <v>3100</v>
      </c>
      <c r="E273" s="95">
        <v>3230</v>
      </c>
      <c r="F273" s="128">
        <v>700</v>
      </c>
    </row>
    <row r="274" spans="1:6" s="117" customFormat="1" ht="14.25" customHeight="1">
      <c r="A274" s="91" t="s">
        <v>288</v>
      </c>
      <c r="B274" s="95" t="s">
        <v>2409</v>
      </c>
      <c r="C274" s="95">
        <v>3460</v>
      </c>
      <c r="D274" s="95">
        <v>3430</v>
      </c>
      <c r="E274" s="95">
        <v>3560</v>
      </c>
      <c r="F274" s="128">
        <v>690</v>
      </c>
    </row>
    <row r="275" spans="1:6" s="117" customFormat="1" ht="14.25" customHeight="1">
      <c r="A275" s="91" t="s">
        <v>288</v>
      </c>
      <c r="B275" s="95" t="s">
        <v>2414</v>
      </c>
      <c r="C275" s="95">
        <v>4040</v>
      </c>
      <c r="D275" s="95">
        <v>4020</v>
      </c>
      <c r="E275" s="95">
        <v>4160</v>
      </c>
      <c r="F275" s="128">
        <v>820</v>
      </c>
    </row>
    <row r="276" spans="1:6" s="117" customFormat="1" ht="14.25" customHeight="1">
      <c r="A276" s="91" t="s">
        <v>288</v>
      </c>
      <c r="B276" s="95" t="s">
        <v>2419</v>
      </c>
      <c r="C276" s="95">
        <v>3270</v>
      </c>
      <c r="D276" s="95">
        <v>3240</v>
      </c>
      <c r="E276" s="95">
        <v>3350</v>
      </c>
      <c r="F276" s="128">
        <v>680</v>
      </c>
    </row>
    <row r="277" spans="1:6" s="117" customFormat="1" ht="14.25" customHeight="1">
      <c r="A277" s="91" t="s">
        <v>288</v>
      </c>
      <c r="B277" s="95" t="s">
        <v>2424</v>
      </c>
      <c r="C277" s="95">
        <v>2930</v>
      </c>
      <c r="D277" s="95">
        <v>2900</v>
      </c>
      <c r="E277" s="95">
        <v>3000</v>
      </c>
      <c r="F277" s="128">
        <v>640</v>
      </c>
    </row>
    <row r="278" spans="1:6" s="117" customFormat="1" ht="14.25" customHeight="1">
      <c r="A278" s="91" t="s">
        <v>288</v>
      </c>
      <c r="B278" s="95" t="s">
        <v>2429</v>
      </c>
      <c r="C278" s="95">
        <v>4080</v>
      </c>
      <c r="D278" s="95">
        <v>4030</v>
      </c>
      <c r="E278" s="95">
        <v>4140</v>
      </c>
      <c r="F278" s="128">
        <v>850</v>
      </c>
    </row>
    <row r="279" spans="1:6" s="117" customFormat="1" ht="14.25" customHeight="1">
      <c r="A279" s="91" t="s">
        <v>288</v>
      </c>
      <c r="B279" s="95" t="s">
        <v>2433</v>
      </c>
      <c r="C279" s="95"/>
      <c r="D279" s="95"/>
      <c r="E279" s="95"/>
      <c r="F279" s="128">
        <v>760</v>
      </c>
    </row>
    <row r="280" spans="1:6" s="117" customFormat="1" ht="14.25" customHeight="1">
      <c r="A280" s="91" t="s">
        <v>288</v>
      </c>
      <c r="B280" s="95" t="s">
        <v>2437</v>
      </c>
      <c r="C280" s="95"/>
      <c r="D280" s="95"/>
      <c r="E280" s="95"/>
      <c r="F280" s="128">
        <v>760</v>
      </c>
    </row>
    <row r="281" spans="1:6" s="117" customFormat="1" ht="14.25" customHeight="1">
      <c r="A281" s="91" t="s">
        <v>288</v>
      </c>
      <c r="B281" s="95" t="s">
        <v>2441</v>
      </c>
      <c r="C281" s="95"/>
      <c r="D281" s="95"/>
      <c r="E281" s="95"/>
      <c r="F281" s="128">
        <v>780</v>
      </c>
    </row>
    <row r="282" spans="1:6" s="117" customFormat="1" ht="14.25" customHeight="1">
      <c r="A282" s="91" t="s">
        <v>288</v>
      </c>
      <c r="B282" s="95" t="s">
        <v>2445</v>
      </c>
      <c r="C282" s="95"/>
      <c r="D282" s="95"/>
      <c r="E282" s="95"/>
      <c r="F282" s="128">
        <v>730</v>
      </c>
    </row>
    <row r="283" spans="1:6" s="117" customFormat="1" ht="14.25" customHeight="1">
      <c r="A283" s="91" t="s">
        <v>288</v>
      </c>
      <c r="B283" s="95" t="s">
        <v>2449</v>
      </c>
      <c r="C283" s="95"/>
      <c r="D283" s="95"/>
      <c r="E283" s="95"/>
      <c r="F283" s="128">
        <v>770</v>
      </c>
    </row>
    <row r="284" spans="1:6" s="117" customFormat="1" ht="14.25" customHeight="1">
      <c r="A284" s="91" t="s">
        <v>288</v>
      </c>
      <c r="B284" s="95" t="s">
        <v>2452</v>
      </c>
      <c r="C284" s="95"/>
      <c r="D284" s="95"/>
      <c r="E284" s="95"/>
      <c r="F284" s="128">
        <v>640</v>
      </c>
    </row>
    <row r="285" spans="1:6" s="117" customFormat="1" ht="14.25" customHeight="1">
      <c r="A285" s="91" t="s">
        <v>288</v>
      </c>
      <c r="B285" s="95" t="s">
        <v>2455</v>
      </c>
      <c r="C285" s="95"/>
      <c r="D285" s="95"/>
      <c r="E285" s="95"/>
      <c r="F285" s="128">
        <v>640</v>
      </c>
    </row>
    <row r="286" spans="1:6" s="117" customFormat="1" ht="14.25" customHeight="1">
      <c r="A286" s="91" t="s">
        <v>288</v>
      </c>
      <c r="B286" s="95" t="s">
        <v>2458</v>
      </c>
      <c r="C286" s="95"/>
      <c r="D286" s="95"/>
      <c r="E286" s="95"/>
      <c r="F286" s="128">
        <v>850</v>
      </c>
    </row>
    <row r="287" spans="1:6" s="117" customFormat="1" ht="14.25" customHeight="1">
      <c r="A287" s="91" t="s">
        <v>288</v>
      </c>
      <c r="B287" s="95" t="s">
        <v>2461</v>
      </c>
      <c r="C287" s="95"/>
      <c r="D287" s="95"/>
      <c r="E287" s="95"/>
      <c r="F287" s="128">
        <v>760</v>
      </c>
    </row>
    <row r="288" spans="1:6" s="117" customFormat="1" ht="14.25" customHeight="1">
      <c r="A288" s="91" t="s">
        <v>288</v>
      </c>
      <c r="B288" s="95" t="s">
        <v>2464</v>
      </c>
      <c r="C288" s="95"/>
      <c r="D288" s="95"/>
      <c r="E288" s="95"/>
      <c r="F288" s="128">
        <v>830</v>
      </c>
    </row>
    <row r="289" spans="1:6" s="117" customFormat="1" ht="14.25" customHeight="1">
      <c r="A289" s="91" t="s">
        <v>288</v>
      </c>
      <c r="B289" s="106" t="s">
        <v>2467</v>
      </c>
      <c r="C289" s="106"/>
      <c r="D289" s="106"/>
      <c r="E289" s="106"/>
      <c r="F289" s="130">
        <v>680</v>
      </c>
    </row>
    <row r="290" spans="1:6" s="117" customFormat="1" ht="14.25" customHeight="1">
      <c r="A290" s="91" t="s">
        <v>291</v>
      </c>
      <c r="B290" s="92" t="s">
        <v>2141</v>
      </c>
      <c r="C290" s="92">
        <v>2770</v>
      </c>
      <c r="D290" s="92">
        <v>2740</v>
      </c>
      <c r="E290" s="92">
        <v>2720</v>
      </c>
      <c r="F290" s="135"/>
    </row>
    <row r="291" spans="1:6" s="117" customFormat="1" ht="14.25" customHeight="1">
      <c r="A291" s="91" t="s">
        <v>291</v>
      </c>
      <c r="B291" s="95" t="s">
        <v>2154</v>
      </c>
      <c r="C291" s="95">
        <v>2670</v>
      </c>
      <c r="D291" s="95">
        <v>2640</v>
      </c>
      <c r="E291" s="95">
        <v>2620</v>
      </c>
      <c r="F291" s="131"/>
    </row>
    <row r="292" spans="1:6" s="117" customFormat="1" ht="14.25" customHeight="1">
      <c r="A292" s="91" t="s">
        <v>291</v>
      </c>
      <c r="B292" s="95" t="s">
        <v>2168</v>
      </c>
      <c r="C292" s="95">
        <v>2180</v>
      </c>
      <c r="D292" s="95">
        <v>2140</v>
      </c>
      <c r="E292" s="95">
        <v>2120</v>
      </c>
      <c r="F292" s="128">
        <v>490</v>
      </c>
    </row>
    <row r="293" spans="1:6" s="117" customFormat="1" ht="14.25" customHeight="1">
      <c r="A293" s="91" t="s">
        <v>291</v>
      </c>
      <c r="B293" s="95" t="s">
        <v>2474</v>
      </c>
      <c r="C293" s="95"/>
      <c r="D293" s="95"/>
      <c r="E293" s="95"/>
      <c r="F293" s="128">
        <v>470</v>
      </c>
    </row>
    <row r="294" spans="1:6" s="117" customFormat="1" ht="14.25" customHeight="1">
      <c r="A294" s="91" t="s">
        <v>291</v>
      </c>
      <c r="B294" s="95" t="s">
        <v>2180</v>
      </c>
      <c r="C294" s="95">
        <v>2730</v>
      </c>
      <c r="D294" s="95">
        <v>2700</v>
      </c>
      <c r="E294" s="95">
        <v>2680</v>
      </c>
      <c r="F294" s="128">
        <v>490</v>
      </c>
    </row>
    <row r="295" spans="1:6" s="117" customFormat="1" ht="14.25" customHeight="1">
      <c r="A295" s="91" t="s">
        <v>291</v>
      </c>
      <c r="B295" s="95" t="s">
        <v>2192</v>
      </c>
      <c r="C295" s="95">
        <v>2380</v>
      </c>
      <c r="D295" s="95">
        <v>2350</v>
      </c>
      <c r="E295" s="95">
        <v>2330</v>
      </c>
      <c r="F295" s="128">
        <v>530</v>
      </c>
    </row>
    <row r="296" spans="1:6" s="117" customFormat="1" ht="14.25" customHeight="1">
      <c r="A296" s="91" t="s">
        <v>291</v>
      </c>
      <c r="B296" s="95" t="s">
        <v>2203</v>
      </c>
      <c r="C296" s="95">
        <v>2650</v>
      </c>
      <c r="D296" s="95">
        <v>2620</v>
      </c>
      <c r="E296" s="95">
        <v>2590</v>
      </c>
      <c r="F296" s="128">
        <v>590</v>
      </c>
    </row>
    <row r="297" spans="1:6" s="117" customFormat="1" ht="14.25" customHeight="1">
      <c r="A297" s="91" t="s">
        <v>291</v>
      </c>
      <c r="B297" s="95" t="s">
        <v>2214</v>
      </c>
      <c r="C297" s="95">
        <v>2700</v>
      </c>
      <c r="D297" s="95">
        <v>2670</v>
      </c>
      <c r="E297" s="95">
        <v>2650</v>
      </c>
      <c r="F297" s="128">
        <v>630</v>
      </c>
    </row>
    <row r="298" spans="1:6" s="117" customFormat="1" ht="14.25" customHeight="1">
      <c r="A298" s="91" t="s">
        <v>291</v>
      </c>
      <c r="B298" s="95" t="s">
        <v>2225</v>
      </c>
      <c r="C298" s="95">
        <v>2650</v>
      </c>
      <c r="D298" s="95">
        <v>2620</v>
      </c>
      <c r="E298" s="95">
        <v>2590</v>
      </c>
      <c r="F298" s="128">
        <v>640</v>
      </c>
    </row>
    <row r="299" spans="1:6" s="117" customFormat="1" ht="14.25" customHeight="1">
      <c r="A299" s="91" t="s">
        <v>291</v>
      </c>
      <c r="B299" s="95" t="s">
        <v>2235</v>
      </c>
      <c r="C299" s="95">
        <v>2500</v>
      </c>
      <c r="D299" s="95">
        <v>2480</v>
      </c>
      <c r="E299" s="95">
        <v>2460</v>
      </c>
      <c r="F299" s="131"/>
    </row>
    <row r="300" spans="1:6" s="117" customFormat="1" ht="14.25" customHeight="1">
      <c r="A300" s="91" t="s">
        <v>291</v>
      </c>
      <c r="B300" s="95" t="s">
        <v>2245</v>
      </c>
      <c r="C300" s="95">
        <v>2760</v>
      </c>
      <c r="D300" s="95">
        <v>2730</v>
      </c>
      <c r="E300" s="95">
        <v>2700</v>
      </c>
      <c r="F300" s="128">
        <v>630</v>
      </c>
    </row>
    <row r="301" spans="1:6" s="117" customFormat="1" ht="14.25" customHeight="1">
      <c r="A301" s="91" t="s">
        <v>291</v>
      </c>
      <c r="B301" s="95" t="s">
        <v>2255</v>
      </c>
      <c r="C301" s="95">
        <v>2510</v>
      </c>
      <c r="D301" s="95">
        <v>2480</v>
      </c>
      <c r="E301" s="95">
        <v>2460</v>
      </c>
      <c r="F301" s="131"/>
    </row>
    <row r="302" spans="1:6" s="117" customFormat="1" ht="14.25" customHeight="1">
      <c r="A302" s="91" t="s">
        <v>291</v>
      </c>
      <c r="B302" s="95" t="s">
        <v>2265</v>
      </c>
      <c r="C302" s="95">
        <v>2480</v>
      </c>
      <c r="D302" s="95">
        <v>2450</v>
      </c>
      <c r="E302" s="95">
        <v>2420</v>
      </c>
      <c r="F302" s="128">
        <v>600</v>
      </c>
    </row>
    <row r="303" spans="1:6" s="117" customFormat="1" ht="14.25" customHeight="1">
      <c r="A303" s="91" t="s">
        <v>291</v>
      </c>
      <c r="B303" s="95" t="s">
        <v>2275</v>
      </c>
      <c r="C303" s="95">
        <v>2270</v>
      </c>
      <c r="D303" s="95">
        <v>2240</v>
      </c>
      <c r="E303" s="95">
        <v>2210</v>
      </c>
      <c r="F303" s="128">
        <v>540</v>
      </c>
    </row>
    <row r="304" spans="1:6" s="117" customFormat="1" ht="14.25" customHeight="1">
      <c r="A304" s="91" t="s">
        <v>291</v>
      </c>
      <c r="B304" s="95" t="s">
        <v>2285</v>
      </c>
      <c r="C304" s="95">
        <v>2310</v>
      </c>
      <c r="D304" s="95">
        <v>2290</v>
      </c>
      <c r="E304" s="95">
        <v>2270</v>
      </c>
      <c r="F304" s="131"/>
    </row>
    <row r="305" spans="1:6" s="117" customFormat="1" ht="14.25" customHeight="1">
      <c r="A305" s="91" t="s">
        <v>291</v>
      </c>
      <c r="B305" s="95" t="s">
        <v>2295</v>
      </c>
      <c r="C305" s="95">
        <v>2490</v>
      </c>
      <c r="D305" s="95">
        <v>2470</v>
      </c>
      <c r="E305" s="95">
        <v>2440</v>
      </c>
      <c r="F305" s="128">
        <v>560</v>
      </c>
    </row>
    <row r="306" spans="1:6" s="117" customFormat="1" ht="14.25" customHeight="1">
      <c r="A306" s="91" t="s">
        <v>291</v>
      </c>
      <c r="B306" s="95" t="s">
        <v>2305</v>
      </c>
      <c r="C306" s="95">
        <v>2420</v>
      </c>
      <c r="D306" s="95">
        <v>2400</v>
      </c>
      <c r="E306" s="95">
        <v>2380</v>
      </c>
      <c r="F306" s="131"/>
    </row>
    <row r="307" spans="1:6" s="117" customFormat="1" ht="14.25" customHeight="1">
      <c r="A307" s="91" t="s">
        <v>291</v>
      </c>
      <c r="B307" s="95" t="s">
        <v>2315</v>
      </c>
      <c r="C307" s="95">
        <v>2770</v>
      </c>
      <c r="D307" s="95">
        <v>2740</v>
      </c>
      <c r="E307" s="95">
        <v>2710</v>
      </c>
      <c r="F307" s="128">
        <v>650</v>
      </c>
    </row>
    <row r="308" spans="1:6" s="117" customFormat="1" ht="14.25" customHeight="1">
      <c r="A308" s="91" t="s">
        <v>291</v>
      </c>
      <c r="B308" s="95" t="s">
        <v>2325</v>
      </c>
      <c r="C308" s="95">
        <v>2610</v>
      </c>
      <c r="D308" s="95">
        <v>2580</v>
      </c>
      <c r="E308" s="95">
        <v>2550</v>
      </c>
      <c r="F308" s="128">
        <v>580</v>
      </c>
    </row>
    <row r="309" spans="1:6" s="117" customFormat="1" ht="14.25" customHeight="1">
      <c r="A309" s="91" t="s">
        <v>291</v>
      </c>
      <c r="B309" s="95" t="s">
        <v>2335</v>
      </c>
      <c r="C309" s="95">
        <v>2690</v>
      </c>
      <c r="D309" s="95">
        <v>2670</v>
      </c>
      <c r="E309" s="95">
        <v>2650</v>
      </c>
      <c r="F309" s="131"/>
    </row>
    <row r="310" spans="1:6" s="117" customFormat="1" ht="14.25" customHeight="1">
      <c r="A310" s="91" t="s">
        <v>291</v>
      </c>
      <c r="B310" s="95" t="s">
        <v>2344</v>
      </c>
      <c r="C310" s="95">
        <v>2360</v>
      </c>
      <c r="D310" s="95">
        <v>2330</v>
      </c>
      <c r="E310" s="95">
        <v>2310</v>
      </c>
      <c r="F310" s="128">
        <v>560</v>
      </c>
    </row>
    <row r="311" spans="1:6" s="117" customFormat="1" ht="14.25" customHeight="1">
      <c r="A311" s="91" t="s">
        <v>291</v>
      </c>
      <c r="B311" s="95" t="s">
        <v>2352</v>
      </c>
      <c r="C311" s="95">
        <v>1970</v>
      </c>
      <c r="D311" s="95">
        <v>1950</v>
      </c>
      <c r="E311" s="95">
        <v>1920</v>
      </c>
      <c r="F311" s="128">
        <v>470</v>
      </c>
    </row>
    <row r="312" spans="1:6" s="117" customFormat="1" ht="14.25" customHeight="1">
      <c r="A312" s="91" t="s">
        <v>291</v>
      </c>
      <c r="B312" s="95" t="s">
        <v>2360</v>
      </c>
      <c r="C312" s="95">
        <v>2230</v>
      </c>
      <c r="D312" s="95">
        <v>2200</v>
      </c>
      <c r="E312" s="95">
        <v>2170</v>
      </c>
      <c r="F312" s="128">
        <v>460</v>
      </c>
    </row>
    <row r="313" spans="1:6" s="117" customFormat="1" ht="14.25" customHeight="1">
      <c r="A313" s="91" t="s">
        <v>291</v>
      </c>
      <c r="B313" s="95" t="s">
        <v>2367</v>
      </c>
      <c r="C313" s="95">
        <v>2770</v>
      </c>
      <c r="D313" s="95">
        <v>2740</v>
      </c>
      <c r="E313" s="95">
        <v>2710</v>
      </c>
      <c r="F313" s="128">
        <v>610</v>
      </c>
    </row>
    <row r="314" spans="1:6" s="117" customFormat="1" ht="14.25" customHeight="1">
      <c r="A314" s="91" t="s">
        <v>291</v>
      </c>
      <c r="B314" s="95" t="s">
        <v>2374</v>
      </c>
      <c r="C314" s="95"/>
      <c r="D314" s="95"/>
      <c r="E314" s="95"/>
      <c r="F314" s="128">
        <v>490</v>
      </c>
    </row>
    <row r="315" spans="1:6" s="117" customFormat="1" ht="14.25" customHeight="1">
      <c r="A315" s="91" t="s">
        <v>291</v>
      </c>
      <c r="B315" s="95" t="s">
        <v>2381</v>
      </c>
      <c r="C315" s="95"/>
      <c r="D315" s="95"/>
      <c r="E315" s="95"/>
      <c r="F315" s="128">
        <v>520</v>
      </c>
    </row>
    <row r="316" spans="1:6" s="117" customFormat="1" ht="14.25" customHeight="1">
      <c r="A316" s="91" t="s">
        <v>291</v>
      </c>
      <c r="B316" s="106" t="s">
        <v>2388</v>
      </c>
      <c r="C316" s="106"/>
      <c r="D316" s="106"/>
      <c r="E316" s="106"/>
      <c r="F316" s="130">
        <v>460</v>
      </c>
    </row>
    <row r="317" spans="1:6" s="117" customFormat="1" ht="14.25" customHeight="1">
      <c r="A317" s="91" t="s">
        <v>294</v>
      </c>
      <c r="B317" s="92" t="s">
        <v>2142</v>
      </c>
      <c r="C317" s="92">
        <v>1200</v>
      </c>
      <c r="D317" s="92">
        <v>1180</v>
      </c>
      <c r="E317" s="92">
        <v>1160</v>
      </c>
      <c r="F317" s="125">
        <v>370</v>
      </c>
    </row>
    <row r="318" spans="1:6" s="117" customFormat="1" ht="14.25" customHeight="1">
      <c r="A318" s="91" t="s">
        <v>294</v>
      </c>
      <c r="B318" s="95" t="s">
        <v>2155</v>
      </c>
      <c r="C318" s="95">
        <v>1090</v>
      </c>
      <c r="D318" s="95">
        <v>1060</v>
      </c>
      <c r="E318" s="95">
        <v>1040</v>
      </c>
      <c r="F318" s="131"/>
    </row>
    <row r="319" spans="1:6" s="117" customFormat="1" ht="14.25" customHeight="1">
      <c r="A319" s="91" t="s">
        <v>294</v>
      </c>
      <c r="B319" s="95" t="s">
        <v>2169</v>
      </c>
      <c r="C319" s="95">
        <v>1520</v>
      </c>
      <c r="D319" s="95">
        <v>1470</v>
      </c>
      <c r="E319" s="95">
        <v>1440</v>
      </c>
      <c r="F319" s="128">
        <v>370</v>
      </c>
    </row>
    <row r="320" spans="1:6" s="117" customFormat="1" ht="14.25" customHeight="1">
      <c r="A320" s="91" t="s">
        <v>294</v>
      </c>
      <c r="B320" s="95" t="s">
        <v>2181</v>
      </c>
      <c r="C320" s="95">
        <v>1360</v>
      </c>
      <c r="D320" s="95">
        <v>1300</v>
      </c>
      <c r="E320" s="95">
        <v>1270</v>
      </c>
      <c r="F320" s="131"/>
    </row>
    <row r="321" spans="1:6" s="117" customFormat="1" ht="14.25" customHeight="1">
      <c r="A321" s="91" t="s">
        <v>294</v>
      </c>
      <c r="B321" s="95" t="s">
        <v>2193</v>
      </c>
      <c r="C321" s="95">
        <v>1750</v>
      </c>
      <c r="D321" s="95">
        <v>1690</v>
      </c>
      <c r="E321" s="95">
        <v>1660</v>
      </c>
      <c r="F321" s="131"/>
    </row>
    <row r="322" spans="1:6" s="117" customFormat="1" ht="14.25" customHeight="1">
      <c r="A322" s="91" t="s">
        <v>294</v>
      </c>
      <c r="B322" s="95" t="s">
        <v>2204</v>
      </c>
      <c r="C322" s="95">
        <v>1650</v>
      </c>
      <c r="D322" s="95">
        <v>1610</v>
      </c>
      <c r="E322" s="95">
        <v>1580</v>
      </c>
      <c r="F322" s="128">
        <v>500</v>
      </c>
    </row>
    <row r="323" spans="1:6" s="117" customFormat="1" ht="14.25" customHeight="1">
      <c r="A323" s="91" t="s">
        <v>294</v>
      </c>
      <c r="B323" s="95" t="s">
        <v>2215</v>
      </c>
      <c r="C323" s="95">
        <v>1780</v>
      </c>
      <c r="D323" s="95">
        <v>1740</v>
      </c>
      <c r="E323" s="95">
        <v>1720</v>
      </c>
      <c r="F323" s="131"/>
    </row>
    <row r="324" spans="1:6" s="117" customFormat="1" ht="14.25" customHeight="1">
      <c r="A324" s="91" t="s">
        <v>294</v>
      </c>
      <c r="B324" s="95" t="s">
        <v>2226</v>
      </c>
      <c r="C324" s="95">
        <v>1650</v>
      </c>
      <c r="D324" s="95">
        <v>1610</v>
      </c>
      <c r="E324" s="95">
        <v>1580</v>
      </c>
      <c r="F324" s="131"/>
    </row>
    <row r="325" spans="1:6" s="117" customFormat="1" ht="14.25" customHeight="1">
      <c r="A325" s="91" t="s">
        <v>294</v>
      </c>
      <c r="B325" s="95" t="s">
        <v>2236</v>
      </c>
      <c r="C325" s="95">
        <v>1330</v>
      </c>
      <c r="D325" s="95">
        <v>1270</v>
      </c>
      <c r="E325" s="95">
        <v>1240</v>
      </c>
      <c r="F325" s="128">
        <v>430</v>
      </c>
    </row>
    <row r="326" spans="1:6" s="117" customFormat="1" ht="14.25" customHeight="1">
      <c r="A326" s="91" t="s">
        <v>294</v>
      </c>
      <c r="B326" s="95" t="s">
        <v>2246</v>
      </c>
      <c r="C326" s="95">
        <v>1470</v>
      </c>
      <c r="D326" s="95">
        <v>1430</v>
      </c>
      <c r="E326" s="95">
        <v>1400</v>
      </c>
      <c r="F326" s="131"/>
    </row>
    <row r="327" spans="1:6" s="117" customFormat="1" ht="14.25" customHeight="1">
      <c r="A327" s="91" t="s">
        <v>294</v>
      </c>
      <c r="B327" s="95" t="s">
        <v>2256</v>
      </c>
      <c r="C327" s="95">
        <v>1420</v>
      </c>
      <c r="D327" s="95">
        <v>1380</v>
      </c>
      <c r="E327" s="95">
        <v>1360</v>
      </c>
      <c r="F327" s="128">
        <v>420</v>
      </c>
    </row>
    <row r="328" spans="1:6" s="117" customFormat="1" ht="14.25" customHeight="1">
      <c r="A328" s="91" t="s">
        <v>294</v>
      </c>
      <c r="B328" s="95" t="s">
        <v>2266</v>
      </c>
      <c r="C328" s="95">
        <v>1400</v>
      </c>
      <c r="D328" s="95">
        <v>1360</v>
      </c>
      <c r="E328" s="95">
        <v>1330</v>
      </c>
      <c r="F328" s="128">
        <v>460</v>
      </c>
    </row>
    <row r="329" spans="1:6" s="117" customFormat="1" ht="14.25" customHeight="1">
      <c r="A329" s="91" t="s">
        <v>294</v>
      </c>
      <c r="B329" s="95" t="s">
        <v>2276</v>
      </c>
      <c r="C329" s="95">
        <v>1640</v>
      </c>
      <c r="D329" s="95">
        <v>1610</v>
      </c>
      <c r="E329" s="95">
        <v>1580</v>
      </c>
      <c r="F329" s="128">
        <v>410</v>
      </c>
    </row>
    <row r="330" spans="1:6" s="117" customFormat="1" ht="14.25" customHeight="1">
      <c r="A330" s="91" t="s">
        <v>294</v>
      </c>
      <c r="B330" s="95" t="s">
        <v>2286</v>
      </c>
      <c r="C330" s="95">
        <v>1260</v>
      </c>
      <c r="D330" s="95">
        <v>1220</v>
      </c>
      <c r="E330" s="95">
        <v>1200</v>
      </c>
      <c r="F330" s="131"/>
    </row>
    <row r="331" spans="1:6" s="117" customFormat="1" ht="14.25" customHeight="1">
      <c r="A331" s="91" t="s">
        <v>294</v>
      </c>
      <c r="B331" s="95" t="s">
        <v>2296</v>
      </c>
      <c r="C331" s="95">
        <v>1620</v>
      </c>
      <c r="D331" s="95">
        <v>1560</v>
      </c>
      <c r="E331" s="95">
        <v>1530</v>
      </c>
      <c r="F331" s="128">
        <v>490</v>
      </c>
    </row>
    <row r="332" spans="1:6" s="117" customFormat="1" ht="14.25" customHeight="1">
      <c r="A332" s="91" t="s">
        <v>294</v>
      </c>
      <c r="B332" s="95" t="s">
        <v>2306</v>
      </c>
      <c r="C332" s="95">
        <v>1520</v>
      </c>
      <c r="D332" s="95">
        <v>1470</v>
      </c>
      <c r="E332" s="95">
        <v>1440</v>
      </c>
      <c r="F332" s="128">
        <v>440</v>
      </c>
    </row>
    <row r="333" spans="1:6" s="117" customFormat="1" ht="14.25" customHeight="1">
      <c r="A333" s="91" t="s">
        <v>294</v>
      </c>
      <c r="B333" s="95" t="s">
        <v>2316</v>
      </c>
      <c r="C333" s="95">
        <v>1370</v>
      </c>
      <c r="D333" s="95">
        <v>1320</v>
      </c>
      <c r="E333" s="95">
        <v>1300</v>
      </c>
      <c r="F333" s="128">
        <v>460</v>
      </c>
    </row>
    <row r="334" spans="1:6" s="117" customFormat="1" ht="14.25" customHeight="1">
      <c r="A334" s="91" t="s">
        <v>294</v>
      </c>
      <c r="B334" s="95" t="s">
        <v>2326</v>
      </c>
      <c r="C334" s="95">
        <v>1410</v>
      </c>
      <c r="D334" s="95">
        <v>1340</v>
      </c>
      <c r="E334" s="95">
        <v>1310</v>
      </c>
      <c r="F334" s="128">
        <v>410</v>
      </c>
    </row>
    <row r="335" spans="1:6" s="117" customFormat="1" ht="14.25" customHeight="1">
      <c r="A335" s="91" t="s">
        <v>294</v>
      </c>
      <c r="B335" s="95" t="s">
        <v>2336</v>
      </c>
      <c r="C335" s="95">
        <v>1260</v>
      </c>
      <c r="D335" s="95">
        <v>1220</v>
      </c>
      <c r="E335" s="95">
        <v>1200</v>
      </c>
      <c r="F335" s="131"/>
    </row>
    <row r="336" spans="1:6" s="117" customFormat="1" ht="14.25" customHeight="1">
      <c r="A336" s="91" t="s">
        <v>294</v>
      </c>
      <c r="B336" s="95" t="s">
        <v>2345</v>
      </c>
      <c r="C336" s="95">
        <v>1160</v>
      </c>
      <c r="D336" s="95">
        <v>1140</v>
      </c>
      <c r="E336" s="95">
        <v>1120</v>
      </c>
      <c r="F336" s="128">
        <v>430</v>
      </c>
    </row>
    <row r="337" spans="1:6" s="117" customFormat="1" ht="14.25" customHeight="1">
      <c r="A337" s="91" t="s">
        <v>294</v>
      </c>
      <c r="B337" s="106" t="s">
        <v>2353</v>
      </c>
      <c r="C337" s="106"/>
      <c r="D337" s="106"/>
      <c r="E337" s="106"/>
      <c r="F337" s="130">
        <v>380</v>
      </c>
    </row>
    <row r="338" spans="1:6" s="117" customFormat="1" ht="14.25" customHeight="1">
      <c r="A338" s="91" t="s">
        <v>297</v>
      </c>
      <c r="B338" s="92" t="s">
        <v>2143</v>
      </c>
      <c r="C338" s="92">
        <v>880</v>
      </c>
      <c r="D338" s="92">
        <v>850</v>
      </c>
      <c r="E338" s="92">
        <v>830</v>
      </c>
      <c r="F338" s="135"/>
    </row>
    <row r="339" spans="1:6" s="117" customFormat="1" ht="14.25" customHeight="1">
      <c r="A339" s="91" t="s">
        <v>297</v>
      </c>
      <c r="B339" s="95" t="s">
        <v>2156</v>
      </c>
      <c r="C339" s="95">
        <v>830</v>
      </c>
      <c r="D339" s="95">
        <v>800</v>
      </c>
      <c r="E339" s="95">
        <v>780</v>
      </c>
      <c r="F339" s="131"/>
    </row>
    <row r="340" spans="1:6" s="117" customFormat="1" ht="14.25" customHeight="1">
      <c r="A340" s="91" t="s">
        <v>297</v>
      </c>
      <c r="B340" s="95" t="s">
        <v>2170</v>
      </c>
      <c r="C340" s="95">
        <v>980</v>
      </c>
      <c r="D340" s="95">
        <v>950</v>
      </c>
      <c r="E340" s="95">
        <v>920</v>
      </c>
      <c r="F340" s="131"/>
    </row>
    <row r="341" spans="1:6" s="117" customFormat="1" ht="14.25" customHeight="1">
      <c r="A341" s="91" t="s">
        <v>297</v>
      </c>
      <c r="B341" s="95" t="s">
        <v>2182</v>
      </c>
      <c r="C341" s="95">
        <v>760</v>
      </c>
      <c r="D341" s="95">
        <v>720</v>
      </c>
      <c r="E341" s="95">
        <v>690</v>
      </c>
      <c r="F341" s="128">
        <v>350</v>
      </c>
    </row>
    <row r="342" spans="1:6" s="117" customFormat="1" ht="14.25" customHeight="1">
      <c r="A342" s="91" t="s">
        <v>297</v>
      </c>
      <c r="B342" s="95" t="s">
        <v>2194</v>
      </c>
      <c r="C342" s="95">
        <v>910</v>
      </c>
      <c r="D342" s="95">
        <v>870</v>
      </c>
      <c r="E342" s="95">
        <v>850</v>
      </c>
      <c r="F342" s="128">
        <v>370</v>
      </c>
    </row>
    <row r="343" spans="1:6" s="117" customFormat="1" ht="14.25" customHeight="1">
      <c r="A343" s="91" t="s">
        <v>297</v>
      </c>
      <c r="B343" s="95" t="s">
        <v>2205</v>
      </c>
      <c r="C343" s="95">
        <v>800</v>
      </c>
      <c r="D343" s="95">
        <v>760</v>
      </c>
      <c r="E343" s="95">
        <v>730</v>
      </c>
      <c r="F343" s="128">
        <v>340</v>
      </c>
    </row>
    <row r="344" spans="1:6" s="117" customFormat="1" ht="14.25" customHeight="1">
      <c r="A344" s="91" t="s">
        <v>297</v>
      </c>
      <c r="B344" s="106" t="s">
        <v>2216</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97" t="s">
        <v>2475</v>
      </c>
      <c r="B1" s="3297"/>
    </row>
    <row r="2" spans="1:6">
      <c r="A2" s="87"/>
      <c r="B2" s="87"/>
    </row>
    <row r="3" spans="1:6">
      <c r="A3" s="87"/>
      <c r="B3" s="87"/>
      <c r="C3" s="88" t="s">
        <v>1727</v>
      </c>
      <c r="D3" s="88" t="s">
        <v>1728</v>
      </c>
      <c r="E3" s="88" t="s">
        <v>1729</v>
      </c>
      <c r="F3" s="88" t="s">
        <v>468</v>
      </c>
    </row>
    <row r="4" spans="1:6">
      <c r="A4" s="89" t="s">
        <v>2144</v>
      </c>
      <c r="B4" s="90" t="s">
        <v>2157</v>
      </c>
      <c r="C4" s="88"/>
      <c r="D4" s="88"/>
      <c r="E4" s="88"/>
      <c r="F4" s="88"/>
    </row>
    <row r="5" spans="1:6">
      <c r="A5" s="91" t="s">
        <v>232</v>
      </c>
      <c r="B5" s="92" t="s">
        <v>2132</v>
      </c>
      <c r="C5" s="93">
        <v>8.8999999999999996E-2</v>
      </c>
      <c r="D5" s="93">
        <v>7.3999999999999996E-2</v>
      </c>
      <c r="E5" s="93">
        <v>7.4999999999999997E-2</v>
      </c>
      <c r="F5" s="94">
        <v>0.1</v>
      </c>
    </row>
    <row r="6" spans="1:6">
      <c r="A6" s="91" t="s">
        <v>232</v>
      </c>
      <c r="B6" s="95" t="s">
        <v>2145</v>
      </c>
      <c r="C6" s="96">
        <v>0.1</v>
      </c>
      <c r="D6" s="96">
        <v>9.0999999999999998E-2</v>
      </c>
      <c r="E6" s="96">
        <v>9.0999999999999998E-2</v>
      </c>
      <c r="F6" s="97">
        <v>0.1</v>
      </c>
    </row>
    <row r="7" spans="1:6">
      <c r="A7" s="91" t="s">
        <v>232</v>
      </c>
      <c r="B7" s="98" t="s">
        <v>2159</v>
      </c>
      <c r="C7" s="96">
        <v>8.5999999999999993E-2</v>
      </c>
      <c r="D7" s="96">
        <v>9.6000000000000002E-2</v>
      </c>
      <c r="E7" s="96">
        <v>7.5999999999999998E-2</v>
      </c>
      <c r="F7" s="97">
        <v>0.1</v>
      </c>
    </row>
    <row r="8" spans="1:6">
      <c r="A8" s="91" t="s">
        <v>232</v>
      </c>
      <c r="B8" s="95" t="s">
        <v>2171</v>
      </c>
      <c r="C8" s="96">
        <v>9.9000000000000005E-2</v>
      </c>
      <c r="D8" s="96">
        <v>9.8000000000000004E-2</v>
      </c>
      <c r="E8" s="96">
        <v>9.8000000000000004E-2</v>
      </c>
      <c r="F8" s="97">
        <v>0.1</v>
      </c>
    </row>
    <row r="9" spans="1:6">
      <c r="A9" s="99" t="s">
        <v>232</v>
      </c>
      <c r="B9" s="100" t="s">
        <v>2183</v>
      </c>
      <c r="C9" s="101">
        <v>0.05</v>
      </c>
      <c r="D9" s="102"/>
      <c r="E9" s="102"/>
      <c r="F9" s="103"/>
    </row>
    <row r="10" spans="1:6">
      <c r="A10" s="91" t="s">
        <v>243</v>
      </c>
      <c r="B10" s="92" t="s">
        <v>2133</v>
      </c>
      <c r="C10" s="93">
        <v>8.8999999999999996E-2</v>
      </c>
      <c r="D10" s="93">
        <v>7.2999999999999995E-2</v>
      </c>
      <c r="E10" s="93">
        <v>8.2000000000000003E-2</v>
      </c>
      <c r="F10" s="94">
        <v>0.1</v>
      </c>
    </row>
    <row r="11" spans="1:6">
      <c r="A11" s="91" t="s">
        <v>243</v>
      </c>
      <c r="B11" s="98" t="s">
        <v>2146</v>
      </c>
      <c r="C11" s="96">
        <v>8.8999999999999996E-2</v>
      </c>
      <c r="D11" s="96">
        <v>7.2999999999999995E-2</v>
      </c>
      <c r="E11" s="96">
        <v>8.2000000000000003E-2</v>
      </c>
      <c r="F11" s="97">
        <v>0.1</v>
      </c>
    </row>
    <row r="12" spans="1:6">
      <c r="A12" s="91" t="s">
        <v>243</v>
      </c>
      <c r="B12" s="98" t="s">
        <v>2160</v>
      </c>
      <c r="C12" s="96">
        <v>6.0999999999999999E-2</v>
      </c>
      <c r="D12" s="96">
        <v>7.0999999999999994E-2</v>
      </c>
      <c r="E12" s="96">
        <v>9.6000000000000002E-2</v>
      </c>
      <c r="F12" s="97">
        <v>0.1</v>
      </c>
    </row>
    <row r="13" spans="1:6">
      <c r="A13" s="91" t="s">
        <v>243</v>
      </c>
      <c r="B13" s="98" t="s">
        <v>2172</v>
      </c>
      <c r="C13" s="96">
        <v>6.9000000000000006E-2</v>
      </c>
      <c r="D13" s="96">
        <v>6.5000000000000002E-2</v>
      </c>
      <c r="E13" s="96">
        <v>6.6000000000000003E-2</v>
      </c>
      <c r="F13" s="97">
        <v>0.1</v>
      </c>
    </row>
    <row r="14" spans="1:6">
      <c r="A14" s="91" t="s">
        <v>243</v>
      </c>
      <c r="B14" s="98" t="s">
        <v>2184</v>
      </c>
      <c r="C14" s="96">
        <v>0.1</v>
      </c>
      <c r="D14" s="96">
        <v>6.5000000000000002E-2</v>
      </c>
      <c r="E14" s="96">
        <v>7.0000000000000007E-2</v>
      </c>
      <c r="F14" s="97">
        <v>0.1</v>
      </c>
    </row>
    <row r="15" spans="1:6">
      <c r="A15" s="91" t="s">
        <v>243</v>
      </c>
      <c r="B15" s="98" t="s">
        <v>2195</v>
      </c>
      <c r="C15" s="96">
        <v>9.8000000000000004E-2</v>
      </c>
      <c r="D15" s="96">
        <v>8.8999999999999996E-2</v>
      </c>
      <c r="E15" s="96">
        <v>8.8999999999999996E-2</v>
      </c>
      <c r="F15" s="97">
        <v>0.1</v>
      </c>
    </row>
    <row r="16" spans="1:6">
      <c r="A16" s="91" t="s">
        <v>243</v>
      </c>
      <c r="B16" s="98" t="s">
        <v>2206</v>
      </c>
      <c r="C16" s="96">
        <v>7.0000000000000007E-2</v>
      </c>
      <c r="D16" s="96">
        <v>9.2999999999999999E-2</v>
      </c>
      <c r="E16" s="96">
        <v>9.6000000000000002E-2</v>
      </c>
      <c r="F16" s="97">
        <v>0.1</v>
      </c>
    </row>
    <row r="17" spans="1:6">
      <c r="A17" s="91" t="s">
        <v>243</v>
      </c>
      <c r="B17" s="98" t="s">
        <v>2217</v>
      </c>
      <c r="C17" s="96">
        <v>9.5000000000000001E-2</v>
      </c>
      <c r="D17" s="96">
        <v>0.1</v>
      </c>
      <c r="E17" s="96">
        <v>0.1</v>
      </c>
      <c r="F17" s="104"/>
    </row>
    <row r="18" spans="1:6">
      <c r="A18" s="91" t="s">
        <v>243</v>
      </c>
      <c r="B18" s="98" t="s">
        <v>2227</v>
      </c>
      <c r="C18" s="96">
        <v>7.3999999999999996E-2</v>
      </c>
      <c r="D18" s="96">
        <v>9.9000000000000005E-2</v>
      </c>
      <c r="E18" s="96">
        <v>0.1</v>
      </c>
      <c r="F18" s="104"/>
    </row>
    <row r="19" spans="1:6">
      <c r="A19" s="91" t="s">
        <v>243</v>
      </c>
      <c r="B19" s="98" t="s">
        <v>2237</v>
      </c>
      <c r="C19" s="96">
        <v>9.9000000000000005E-2</v>
      </c>
      <c r="D19" s="96">
        <v>7.5999999999999998E-2</v>
      </c>
      <c r="E19" s="96">
        <v>8.6999999999999994E-2</v>
      </c>
      <c r="F19" s="104"/>
    </row>
    <row r="20" spans="1:6">
      <c r="A20" s="91" t="s">
        <v>243</v>
      </c>
      <c r="B20" s="98" t="s">
        <v>2247</v>
      </c>
      <c r="C20" s="96">
        <v>9.8000000000000004E-2</v>
      </c>
      <c r="D20" s="96">
        <v>8.5000000000000006E-2</v>
      </c>
      <c r="E20" s="96">
        <v>8.2000000000000003E-2</v>
      </c>
      <c r="F20" s="104"/>
    </row>
    <row r="21" spans="1:6">
      <c r="A21" s="91" t="s">
        <v>243</v>
      </c>
      <c r="B21" s="98" t="s">
        <v>2257</v>
      </c>
      <c r="C21" s="96">
        <v>6.6000000000000003E-2</v>
      </c>
      <c r="D21" s="96">
        <v>6.4000000000000001E-2</v>
      </c>
      <c r="E21" s="96">
        <v>6.5000000000000002E-2</v>
      </c>
      <c r="F21" s="104"/>
    </row>
    <row r="22" spans="1:6">
      <c r="A22" s="91" t="s">
        <v>243</v>
      </c>
      <c r="B22" s="98" t="s">
        <v>2267</v>
      </c>
      <c r="C22" s="96">
        <v>0.08</v>
      </c>
      <c r="D22" s="96">
        <v>9.8000000000000004E-2</v>
      </c>
      <c r="E22" s="96">
        <v>9.8000000000000004E-2</v>
      </c>
      <c r="F22" s="104"/>
    </row>
    <row r="23" spans="1:6">
      <c r="A23" s="91" t="s">
        <v>243</v>
      </c>
      <c r="B23" s="98" t="s">
        <v>2277</v>
      </c>
      <c r="C23" s="96">
        <v>9.9000000000000005E-2</v>
      </c>
      <c r="D23" s="96">
        <v>9.8000000000000004E-2</v>
      </c>
      <c r="E23" s="96">
        <v>9.0999999999999998E-2</v>
      </c>
      <c r="F23" s="104"/>
    </row>
    <row r="24" spans="1:6">
      <c r="A24" s="91" t="s">
        <v>243</v>
      </c>
      <c r="B24" s="98" t="s">
        <v>2287</v>
      </c>
      <c r="C24" s="96">
        <v>8.8999999999999996E-2</v>
      </c>
      <c r="D24" s="96">
        <v>9.7000000000000003E-2</v>
      </c>
      <c r="E24" s="96">
        <v>7.0000000000000007E-2</v>
      </c>
      <c r="F24" s="104"/>
    </row>
    <row r="25" spans="1:6">
      <c r="A25" s="91" t="s">
        <v>243</v>
      </c>
      <c r="B25" s="98" t="s">
        <v>2297</v>
      </c>
      <c r="C25" s="96">
        <v>8.8999999999999996E-2</v>
      </c>
      <c r="D25" s="96">
        <v>0.1</v>
      </c>
      <c r="E25" s="96">
        <v>8.1000000000000003E-2</v>
      </c>
      <c r="F25" s="104"/>
    </row>
    <row r="26" spans="1:6">
      <c r="A26" s="91" t="s">
        <v>243</v>
      </c>
      <c r="B26" s="98" t="s">
        <v>2307</v>
      </c>
      <c r="C26" s="105"/>
      <c r="D26" s="96">
        <v>9.6000000000000002E-2</v>
      </c>
      <c r="E26" s="96">
        <v>9.2999999999999999E-2</v>
      </c>
      <c r="F26" s="104"/>
    </row>
    <row r="27" spans="1:6">
      <c r="A27" s="91" t="s">
        <v>243</v>
      </c>
      <c r="B27" s="98" t="s">
        <v>2317</v>
      </c>
      <c r="C27" s="105"/>
      <c r="D27" s="96">
        <v>7.5999999999999998E-2</v>
      </c>
      <c r="E27" s="96">
        <v>9.1999999999999998E-2</v>
      </c>
      <c r="F27" s="104"/>
    </row>
    <row r="28" spans="1:6">
      <c r="A28" s="99" t="s">
        <v>243</v>
      </c>
      <c r="B28" s="100" t="s">
        <v>2327</v>
      </c>
      <c r="C28" s="102"/>
      <c r="D28" s="101">
        <v>7.5999999999999998E-2</v>
      </c>
      <c r="E28" s="101">
        <v>9.1999999999999998E-2</v>
      </c>
      <c r="F28" s="103"/>
    </row>
    <row r="29" spans="1:6">
      <c r="A29" s="91" t="s">
        <v>253</v>
      </c>
      <c r="B29" s="92" t="s">
        <v>2134</v>
      </c>
      <c r="C29" s="93">
        <v>6.4000000000000001E-2</v>
      </c>
      <c r="D29" s="93">
        <v>6.5000000000000002E-2</v>
      </c>
      <c r="E29" s="93">
        <v>6.9000000000000006E-2</v>
      </c>
      <c r="F29" s="94">
        <v>0.1</v>
      </c>
    </row>
    <row r="30" spans="1:6">
      <c r="A30" s="91" t="s">
        <v>253</v>
      </c>
      <c r="B30" s="98" t="s">
        <v>2147</v>
      </c>
      <c r="C30" s="96">
        <v>6.4000000000000001E-2</v>
      </c>
      <c r="D30" s="96">
        <v>9.9000000000000005E-2</v>
      </c>
      <c r="E30" s="96">
        <v>0.1</v>
      </c>
      <c r="F30" s="97">
        <v>0.1</v>
      </c>
    </row>
    <row r="31" spans="1:6">
      <c r="A31" s="91" t="s">
        <v>253</v>
      </c>
      <c r="B31" s="98" t="s">
        <v>2161</v>
      </c>
      <c r="C31" s="96">
        <v>0.1</v>
      </c>
      <c r="D31" s="96">
        <v>9.5000000000000001E-2</v>
      </c>
      <c r="E31" s="96">
        <v>8.8999999999999996E-2</v>
      </c>
      <c r="F31" s="97">
        <v>0.1</v>
      </c>
    </row>
    <row r="32" spans="1:6">
      <c r="A32" s="91" t="s">
        <v>253</v>
      </c>
      <c r="B32" s="98" t="s">
        <v>2173</v>
      </c>
      <c r="C32" s="96">
        <v>0.05</v>
      </c>
      <c r="D32" s="96">
        <v>0.05</v>
      </c>
      <c r="E32" s="96">
        <v>8.7999999999999995E-2</v>
      </c>
      <c r="F32" s="97">
        <v>0.1</v>
      </c>
    </row>
    <row r="33" spans="1:6">
      <c r="A33" s="91" t="s">
        <v>253</v>
      </c>
      <c r="B33" s="98" t="s">
        <v>2185</v>
      </c>
      <c r="C33" s="96">
        <v>7.4999999999999997E-2</v>
      </c>
      <c r="D33" s="96">
        <v>9.4E-2</v>
      </c>
      <c r="E33" s="96">
        <v>9.7000000000000003E-2</v>
      </c>
      <c r="F33" s="97">
        <v>0.1</v>
      </c>
    </row>
    <row r="34" spans="1:6">
      <c r="A34" s="91" t="s">
        <v>253</v>
      </c>
      <c r="B34" s="98" t="s">
        <v>2196</v>
      </c>
      <c r="C34" s="96">
        <v>9.8000000000000004E-2</v>
      </c>
      <c r="D34" s="96">
        <v>8.5999999999999993E-2</v>
      </c>
      <c r="E34" s="96">
        <v>9.7000000000000003E-2</v>
      </c>
      <c r="F34" s="97">
        <v>0.1</v>
      </c>
    </row>
    <row r="35" spans="1:6">
      <c r="A35" s="91" t="s">
        <v>253</v>
      </c>
      <c r="B35" s="98" t="s">
        <v>2207</v>
      </c>
      <c r="C35" s="96">
        <v>5.8999999999999997E-2</v>
      </c>
      <c r="D35" s="96">
        <v>6.5000000000000002E-2</v>
      </c>
      <c r="E35" s="96">
        <v>7.0000000000000007E-2</v>
      </c>
      <c r="F35" s="97">
        <v>0.1</v>
      </c>
    </row>
    <row r="36" spans="1:6">
      <c r="A36" s="91" t="s">
        <v>253</v>
      </c>
      <c r="B36" s="98" t="s">
        <v>2218</v>
      </c>
      <c r="C36" s="96">
        <v>6.3E-2</v>
      </c>
      <c r="D36" s="96">
        <v>0.1</v>
      </c>
      <c r="E36" s="96">
        <v>0.1</v>
      </c>
      <c r="F36" s="97">
        <v>0.1</v>
      </c>
    </row>
    <row r="37" spans="1:6">
      <c r="A37" s="91" t="s">
        <v>253</v>
      </c>
      <c r="B37" s="98" t="s">
        <v>2228</v>
      </c>
      <c r="C37" s="96">
        <v>7.3999999999999996E-2</v>
      </c>
      <c r="D37" s="96">
        <v>0.1</v>
      </c>
      <c r="E37" s="96">
        <v>0.1</v>
      </c>
      <c r="F37" s="97">
        <v>0.1</v>
      </c>
    </row>
    <row r="38" spans="1:6">
      <c r="A38" s="91" t="s">
        <v>253</v>
      </c>
      <c r="B38" s="98" t="s">
        <v>2238</v>
      </c>
      <c r="C38" s="96">
        <v>0.1</v>
      </c>
      <c r="D38" s="96">
        <v>9.6000000000000002E-2</v>
      </c>
      <c r="E38" s="96">
        <v>9.6000000000000002E-2</v>
      </c>
      <c r="F38" s="104"/>
    </row>
    <row r="39" spans="1:6">
      <c r="A39" s="91" t="s">
        <v>253</v>
      </c>
      <c r="B39" s="98" t="s">
        <v>2248</v>
      </c>
      <c r="C39" s="96">
        <v>0.1</v>
      </c>
      <c r="D39" s="96">
        <v>9.6000000000000002E-2</v>
      </c>
      <c r="E39" s="96">
        <v>9.6000000000000002E-2</v>
      </c>
      <c r="F39" s="104"/>
    </row>
    <row r="40" spans="1:6">
      <c r="A40" s="91" t="s">
        <v>253</v>
      </c>
      <c r="B40" s="98" t="s">
        <v>2258</v>
      </c>
      <c r="C40" s="96">
        <v>9.6000000000000002E-2</v>
      </c>
      <c r="D40" s="96">
        <v>0.1</v>
      </c>
      <c r="E40" s="96">
        <v>9.9000000000000005E-2</v>
      </c>
      <c r="F40" s="104"/>
    </row>
    <row r="41" spans="1:6">
      <c r="A41" s="91" t="s">
        <v>253</v>
      </c>
      <c r="B41" s="98" t="s">
        <v>2268</v>
      </c>
      <c r="C41" s="96">
        <v>9.6000000000000002E-2</v>
      </c>
      <c r="D41" s="96">
        <v>9.8000000000000004E-2</v>
      </c>
      <c r="E41" s="96">
        <v>9.8000000000000004E-2</v>
      </c>
      <c r="F41" s="104"/>
    </row>
    <row r="42" spans="1:6">
      <c r="A42" s="91" t="s">
        <v>253</v>
      </c>
      <c r="B42" s="98" t="s">
        <v>2278</v>
      </c>
      <c r="C42" s="96">
        <v>0.1</v>
      </c>
      <c r="D42" s="96">
        <v>8.7999999999999995E-2</v>
      </c>
      <c r="E42" s="96">
        <v>0.1</v>
      </c>
      <c r="F42" s="104"/>
    </row>
    <row r="43" spans="1:6">
      <c r="A43" s="91" t="s">
        <v>253</v>
      </c>
      <c r="B43" s="98" t="s">
        <v>2288</v>
      </c>
      <c r="C43" s="96">
        <v>9.8000000000000004E-2</v>
      </c>
      <c r="D43" s="96">
        <v>9.7000000000000003E-2</v>
      </c>
      <c r="E43" s="96">
        <v>9.6000000000000002E-2</v>
      </c>
      <c r="F43" s="104"/>
    </row>
    <row r="44" spans="1:6">
      <c r="A44" s="91" t="s">
        <v>253</v>
      </c>
      <c r="B44" s="98" t="s">
        <v>2298</v>
      </c>
      <c r="C44" s="96">
        <v>8.5999999999999993E-2</v>
      </c>
      <c r="D44" s="96">
        <v>7.9000000000000001E-2</v>
      </c>
      <c r="E44" s="96">
        <v>7.0999999999999994E-2</v>
      </c>
      <c r="F44" s="104"/>
    </row>
    <row r="45" spans="1:6">
      <c r="A45" s="91" t="s">
        <v>253</v>
      </c>
      <c r="B45" s="98" t="s">
        <v>2308</v>
      </c>
      <c r="C45" s="96">
        <v>9.8000000000000004E-2</v>
      </c>
      <c r="D45" s="96">
        <v>9.6000000000000002E-2</v>
      </c>
      <c r="E45" s="96">
        <v>9.6000000000000002E-2</v>
      </c>
      <c r="F45" s="104"/>
    </row>
    <row r="46" spans="1:6">
      <c r="A46" s="91" t="s">
        <v>253</v>
      </c>
      <c r="B46" s="98" t="s">
        <v>2318</v>
      </c>
      <c r="C46" s="96">
        <v>8.5999999999999993E-2</v>
      </c>
      <c r="D46" s="96">
        <v>9.8000000000000004E-2</v>
      </c>
      <c r="E46" s="96">
        <v>8.7999999999999995E-2</v>
      </c>
      <c r="F46" s="104"/>
    </row>
    <row r="47" spans="1:6">
      <c r="A47" s="91" t="s">
        <v>253</v>
      </c>
      <c r="B47" s="98" t="s">
        <v>2328</v>
      </c>
      <c r="C47" s="96">
        <v>9.6000000000000002E-2</v>
      </c>
      <c r="D47" s="105"/>
      <c r="E47" s="96">
        <v>6.9000000000000006E-2</v>
      </c>
      <c r="F47" s="104"/>
    </row>
    <row r="48" spans="1:6">
      <c r="A48" s="99" t="s">
        <v>253</v>
      </c>
      <c r="B48" s="100" t="s">
        <v>2337</v>
      </c>
      <c r="C48" s="101">
        <v>9.8000000000000004E-2</v>
      </c>
      <c r="D48" s="102"/>
      <c r="E48" s="101">
        <v>9.5000000000000001E-2</v>
      </c>
      <c r="F48" s="103"/>
    </row>
    <row r="49" spans="1:6">
      <c r="A49" s="91" t="s">
        <v>261</v>
      </c>
      <c r="B49" s="92" t="s">
        <v>2135</v>
      </c>
      <c r="C49" s="93">
        <v>9.7000000000000003E-2</v>
      </c>
      <c r="D49" s="93">
        <v>9.5000000000000001E-2</v>
      </c>
      <c r="E49" s="93">
        <v>9.7000000000000003E-2</v>
      </c>
      <c r="F49" s="94">
        <v>0.1</v>
      </c>
    </row>
    <row r="50" spans="1:6">
      <c r="A50" s="91" t="s">
        <v>261</v>
      </c>
      <c r="B50" s="95" t="s">
        <v>2148</v>
      </c>
      <c r="C50" s="96">
        <v>7.4999999999999997E-2</v>
      </c>
      <c r="D50" s="96">
        <v>9.5000000000000001E-2</v>
      </c>
      <c r="E50" s="96">
        <v>0.1</v>
      </c>
      <c r="F50" s="97">
        <v>0.1</v>
      </c>
    </row>
    <row r="51" spans="1:6">
      <c r="A51" s="91" t="s">
        <v>261</v>
      </c>
      <c r="B51" s="95" t="s">
        <v>2162</v>
      </c>
      <c r="C51" s="96">
        <v>9.8000000000000004E-2</v>
      </c>
      <c r="D51" s="96">
        <v>8.8999999999999996E-2</v>
      </c>
      <c r="E51" s="96">
        <v>0.1</v>
      </c>
      <c r="F51" s="97">
        <v>0.1</v>
      </c>
    </row>
    <row r="52" spans="1:6">
      <c r="A52" s="91" t="s">
        <v>261</v>
      </c>
      <c r="B52" s="95" t="s">
        <v>2174</v>
      </c>
      <c r="C52" s="96">
        <v>9.8000000000000004E-2</v>
      </c>
      <c r="D52" s="96">
        <v>9.7000000000000003E-2</v>
      </c>
      <c r="E52" s="96">
        <v>8.1000000000000003E-2</v>
      </c>
      <c r="F52" s="97">
        <v>0.1</v>
      </c>
    </row>
    <row r="53" spans="1:6">
      <c r="A53" s="91" t="s">
        <v>261</v>
      </c>
      <c r="B53" s="95" t="s">
        <v>2186</v>
      </c>
      <c r="C53" s="96">
        <v>9.7000000000000003E-2</v>
      </c>
      <c r="D53" s="96">
        <v>7.5999999999999998E-2</v>
      </c>
      <c r="E53" s="96">
        <v>7.0999999999999994E-2</v>
      </c>
      <c r="F53" s="97">
        <v>0.1</v>
      </c>
    </row>
    <row r="54" spans="1:6">
      <c r="A54" s="91" t="s">
        <v>261</v>
      </c>
      <c r="B54" s="95" t="s">
        <v>2197</v>
      </c>
      <c r="C54" s="96">
        <v>7.5999999999999998E-2</v>
      </c>
      <c r="D54" s="96">
        <v>0.1</v>
      </c>
      <c r="E54" s="96">
        <v>9.9000000000000005E-2</v>
      </c>
      <c r="F54" s="97">
        <v>0.1</v>
      </c>
    </row>
    <row r="55" spans="1:6">
      <c r="A55" s="91" t="s">
        <v>261</v>
      </c>
      <c r="B55" s="95" t="s">
        <v>2208</v>
      </c>
      <c r="C55" s="96">
        <v>0.1</v>
      </c>
      <c r="D55" s="96">
        <v>0.1</v>
      </c>
      <c r="E55" s="96">
        <v>9.6000000000000002E-2</v>
      </c>
      <c r="F55" s="97">
        <v>0.1</v>
      </c>
    </row>
    <row r="56" spans="1:6">
      <c r="A56" s="91" t="s">
        <v>261</v>
      </c>
      <c r="B56" s="95" t="s">
        <v>2219</v>
      </c>
      <c r="C56" s="96">
        <v>0.1</v>
      </c>
      <c r="D56" s="96">
        <v>9.6000000000000002E-2</v>
      </c>
      <c r="E56" s="96">
        <v>5.1999999999999998E-2</v>
      </c>
      <c r="F56" s="97">
        <v>0.1</v>
      </c>
    </row>
    <row r="57" spans="1:6">
      <c r="A57" s="91" t="s">
        <v>261</v>
      </c>
      <c r="B57" s="95" t="s">
        <v>2229</v>
      </c>
      <c r="C57" s="96">
        <v>9.7000000000000003E-2</v>
      </c>
      <c r="D57" s="96">
        <v>9.6000000000000002E-2</v>
      </c>
      <c r="E57" s="96">
        <v>9.6000000000000002E-2</v>
      </c>
      <c r="F57" s="97">
        <v>0.1</v>
      </c>
    </row>
    <row r="58" spans="1:6">
      <c r="A58" s="91" t="s">
        <v>261</v>
      </c>
      <c r="B58" s="95" t="s">
        <v>2239</v>
      </c>
      <c r="C58" s="96">
        <v>9.6000000000000002E-2</v>
      </c>
      <c r="D58" s="96">
        <v>9.9000000000000005E-2</v>
      </c>
      <c r="E58" s="96">
        <v>9.6000000000000002E-2</v>
      </c>
      <c r="F58" s="97">
        <v>0.1</v>
      </c>
    </row>
    <row r="59" spans="1:6">
      <c r="A59" s="91" t="s">
        <v>261</v>
      </c>
      <c r="B59" s="95" t="s">
        <v>2249</v>
      </c>
      <c r="C59" s="96">
        <v>7.1999999999999995E-2</v>
      </c>
      <c r="D59" s="96">
        <v>9.6000000000000002E-2</v>
      </c>
      <c r="E59" s="96">
        <v>7.0999999999999994E-2</v>
      </c>
      <c r="F59" s="97">
        <v>0.1</v>
      </c>
    </row>
    <row r="60" spans="1:6">
      <c r="A60" s="91" t="s">
        <v>261</v>
      </c>
      <c r="B60" s="95" t="s">
        <v>2259</v>
      </c>
      <c r="C60" s="96">
        <v>9.6000000000000002E-2</v>
      </c>
      <c r="D60" s="96">
        <v>8.8999999999999996E-2</v>
      </c>
      <c r="E60" s="96">
        <v>9.6000000000000002E-2</v>
      </c>
      <c r="F60" s="97">
        <v>0.1</v>
      </c>
    </row>
    <row r="61" spans="1:6">
      <c r="A61" s="91" t="s">
        <v>261</v>
      </c>
      <c r="B61" s="95" t="s">
        <v>2269</v>
      </c>
      <c r="C61" s="96">
        <v>8.8999999999999996E-2</v>
      </c>
      <c r="D61" s="96">
        <v>9.8000000000000004E-2</v>
      </c>
      <c r="E61" s="96">
        <v>8.7999999999999995E-2</v>
      </c>
      <c r="F61" s="104"/>
    </row>
    <row r="62" spans="1:6">
      <c r="A62" s="91" t="s">
        <v>261</v>
      </c>
      <c r="B62" s="95" t="s">
        <v>2279</v>
      </c>
      <c r="C62" s="96">
        <v>9.8000000000000004E-2</v>
      </c>
      <c r="D62" s="96">
        <v>9.2999999999999999E-2</v>
      </c>
      <c r="E62" s="96">
        <v>9.7000000000000003E-2</v>
      </c>
      <c r="F62" s="104"/>
    </row>
    <row r="63" spans="1:6">
      <c r="A63" s="91" t="s">
        <v>261</v>
      </c>
      <c r="B63" s="95" t="s">
        <v>2289</v>
      </c>
      <c r="C63" s="96">
        <v>9.6000000000000002E-2</v>
      </c>
      <c r="D63" s="96">
        <v>9.8000000000000004E-2</v>
      </c>
      <c r="E63" s="96">
        <v>0.09</v>
      </c>
      <c r="F63" s="104"/>
    </row>
    <row r="64" spans="1:6">
      <c r="A64" s="91" t="s">
        <v>261</v>
      </c>
      <c r="B64" s="95" t="s">
        <v>2299</v>
      </c>
      <c r="C64" s="96">
        <v>9.9000000000000005E-2</v>
      </c>
      <c r="D64" s="96">
        <v>9.7000000000000003E-2</v>
      </c>
      <c r="E64" s="96">
        <v>9.9000000000000005E-2</v>
      </c>
      <c r="F64" s="104"/>
    </row>
    <row r="65" spans="1:6">
      <c r="A65" s="91" t="s">
        <v>261</v>
      </c>
      <c r="B65" s="95" t="s">
        <v>2309</v>
      </c>
      <c r="C65" s="96">
        <v>9.8000000000000004E-2</v>
      </c>
      <c r="D65" s="96">
        <v>9.6000000000000002E-2</v>
      </c>
      <c r="E65" s="96">
        <v>9.6000000000000002E-2</v>
      </c>
      <c r="F65" s="104"/>
    </row>
    <row r="66" spans="1:6">
      <c r="A66" s="91" t="s">
        <v>261</v>
      </c>
      <c r="B66" s="95" t="s">
        <v>2319</v>
      </c>
      <c r="C66" s="96">
        <v>9.6000000000000002E-2</v>
      </c>
      <c r="D66" s="96">
        <v>9.1999999999999998E-2</v>
      </c>
      <c r="E66" s="96">
        <v>9.6000000000000002E-2</v>
      </c>
      <c r="F66" s="104"/>
    </row>
    <row r="67" spans="1:6">
      <c r="A67" s="91" t="s">
        <v>261</v>
      </c>
      <c r="B67" s="95" t="s">
        <v>2329</v>
      </c>
      <c r="C67" s="96">
        <v>9.4E-2</v>
      </c>
      <c r="D67" s="96">
        <v>0.1</v>
      </c>
      <c r="E67" s="96">
        <v>8.7999999999999995E-2</v>
      </c>
      <c r="F67" s="104"/>
    </row>
    <row r="68" spans="1:6">
      <c r="A68" s="91" t="s">
        <v>261</v>
      </c>
      <c r="B68" s="95" t="s">
        <v>2338</v>
      </c>
      <c r="C68" s="96">
        <v>0.1</v>
      </c>
      <c r="D68" s="96">
        <v>8.7999999999999995E-2</v>
      </c>
      <c r="E68" s="96">
        <v>9.7000000000000003E-2</v>
      </c>
      <c r="F68" s="104"/>
    </row>
    <row r="69" spans="1:6">
      <c r="A69" s="91" t="s">
        <v>261</v>
      </c>
      <c r="B69" s="95" t="s">
        <v>2346</v>
      </c>
      <c r="C69" s="96">
        <v>6.4000000000000001E-2</v>
      </c>
      <c r="D69" s="96">
        <v>0.1</v>
      </c>
      <c r="E69" s="96">
        <v>0.1</v>
      </c>
      <c r="F69" s="104"/>
    </row>
    <row r="70" spans="1:6">
      <c r="A70" s="91" t="s">
        <v>261</v>
      </c>
      <c r="B70" s="95" t="s">
        <v>2354</v>
      </c>
      <c r="C70" s="96">
        <v>9.0999999999999998E-2</v>
      </c>
      <c r="D70" s="105"/>
      <c r="E70" s="105"/>
      <c r="F70" s="104"/>
    </row>
    <row r="71" spans="1:6">
      <c r="A71" s="91" t="s">
        <v>261</v>
      </c>
      <c r="B71" s="95" t="s">
        <v>2361</v>
      </c>
      <c r="C71" s="96">
        <v>0.1</v>
      </c>
      <c r="D71" s="105"/>
      <c r="E71" s="105"/>
      <c r="F71" s="104"/>
    </row>
    <row r="72" spans="1:6">
      <c r="A72" s="91" t="s">
        <v>261</v>
      </c>
      <c r="B72" s="95" t="s">
        <v>2368</v>
      </c>
      <c r="C72" s="105"/>
      <c r="D72" s="105"/>
      <c r="E72" s="105"/>
      <c r="F72" s="97">
        <v>0.05</v>
      </c>
    </row>
    <row r="73" spans="1:6">
      <c r="A73" s="91" t="s">
        <v>261</v>
      </c>
      <c r="B73" s="95" t="s">
        <v>2375</v>
      </c>
      <c r="C73" s="105"/>
      <c r="D73" s="105"/>
      <c r="E73" s="105"/>
      <c r="F73" s="97">
        <v>0.05</v>
      </c>
    </row>
    <row r="74" spans="1:6">
      <c r="A74" s="91" t="s">
        <v>261</v>
      </c>
      <c r="B74" s="95" t="s">
        <v>2382</v>
      </c>
      <c r="C74" s="105"/>
      <c r="D74" s="105"/>
      <c r="E74" s="105"/>
      <c r="F74" s="97">
        <v>0.05</v>
      </c>
    </row>
    <row r="75" spans="1:6">
      <c r="A75" s="99" t="s">
        <v>261</v>
      </c>
      <c r="B75" s="106" t="s">
        <v>2389</v>
      </c>
      <c r="C75" s="102"/>
      <c r="D75" s="102"/>
      <c r="E75" s="102"/>
      <c r="F75" s="107">
        <v>0.05</v>
      </c>
    </row>
    <row r="76" spans="1:6">
      <c r="A76" s="91" t="s">
        <v>269</v>
      </c>
      <c r="B76" s="92" t="s">
        <v>2136</v>
      </c>
      <c r="C76" s="93">
        <v>0.1</v>
      </c>
      <c r="D76" s="93">
        <v>0.1</v>
      </c>
      <c r="E76" s="93">
        <v>0.1</v>
      </c>
      <c r="F76" s="94">
        <v>0.1</v>
      </c>
    </row>
    <row r="77" spans="1:6">
      <c r="A77" s="91" t="s">
        <v>269</v>
      </c>
      <c r="B77" s="95" t="s">
        <v>2149</v>
      </c>
      <c r="C77" s="96">
        <v>8.7999999999999995E-2</v>
      </c>
      <c r="D77" s="96">
        <v>8.6999999999999994E-2</v>
      </c>
      <c r="E77" s="96">
        <v>7.9000000000000001E-2</v>
      </c>
      <c r="F77" s="97">
        <v>0.1</v>
      </c>
    </row>
    <row r="78" spans="1:6">
      <c r="A78" s="91" t="s">
        <v>269</v>
      </c>
      <c r="B78" s="95" t="s">
        <v>2163</v>
      </c>
      <c r="C78" s="96">
        <v>8.6999999999999994E-2</v>
      </c>
      <c r="D78" s="96">
        <v>8.4000000000000005E-2</v>
      </c>
      <c r="E78" s="96">
        <v>9.6000000000000002E-2</v>
      </c>
      <c r="F78" s="97">
        <v>0.1</v>
      </c>
    </row>
    <row r="79" spans="1:6">
      <c r="A79" s="91" t="s">
        <v>269</v>
      </c>
      <c r="B79" s="95" t="s">
        <v>2175</v>
      </c>
      <c r="C79" s="96">
        <v>9.8000000000000004E-2</v>
      </c>
      <c r="D79" s="96">
        <v>9.8000000000000004E-2</v>
      </c>
      <c r="E79" s="96">
        <v>9.0999999999999998E-2</v>
      </c>
      <c r="F79" s="97">
        <v>0.1</v>
      </c>
    </row>
    <row r="80" spans="1:6">
      <c r="A80" s="91" t="s">
        <v>269</v>
      </c>
      <c r="B80" s="95" t="s">
        <v>2187</v>
      </c>
      <c r="C80" s="96">
        <v>9.6000000000000002E-2</v>
      </c>
      <c r="D80" s="96">
        <v>9.6000000000000002E-2</v>
      </c>
      <c r="E80" s="96">
        <v>0.1</v>
      </c>
      <c r="F80" s="97">
        <v>0.1</v>
      </c>
    </row>
    <row r="81" spans="1:6">
      <c r="A81" s="91" t="s">
        <v>269</v>
      </c>
      <c r="B81" s="95" t="s">
        <v>2198</v>
      </c>
      <c r="C81" s="96">
        <v>9.9000000000000005E-2</v>
      </c>
      <c r="D81" s="96">
        <v>9.9000000000000005E-2</v>
      </c>
      <c r="E81" s="96">
        <v>9.8000000000000004E-2</v>
      </c>
      <c r="F81" s="97">
        <v>0.1</v>
      </c>
    </row>
    <row r="82" spans="1:6">
      <c r="A82" s="91" t="s">
        <v>269</v>
      </c>
      <c r="B82" s="95" t="s">
        <v>2209</v>
      </c>
      <c r="C82" s="96">
        <v>9.9000000000000005E-2</v>
      </c>
      <c r="D82" s="96">
        <v>9.9000000000000005E-2</v>
      </c>
      <c r="E82" s="96">
        <v>9.7000000000000003E-2</v>
      </c>
      <c r="F82" s="97">
        <v>0.1</v>
      </c>
    </row>
    <row r="83" spans="1:6">
      <c r="A83" s="91" t="s">
        <v>269</v>
      </c>
      <c r="B83" s="95" t="s">
        <v>2220</v>
      </c>
      <c r="C83" s="96">
        <v>9.8000000000000004E-2</v>
      </c>
      <c r="D83" s="96">
        <v>9.8000000000000004E-2</v>
      </c>
      <c r="E83" s="96">
        <v>9.8000000000000004E-2</v>
      </c>
      <c r="F83" s="97">
        <v>0.1</v>
      </c>
    </row>
    <row r="84" spans="1:6">
      <c r="A84" s="91" t="s">
        <v>269</v>
      </c>
      <c r="B84" s="95" t="s">
        <v>2230</v>
      </c>
      <c r="C84" s="96">
        <v>9.9000000000000005E-2</v>
      </c>
      <c r="D84" s="96">
        <v>9.9000000000000005E-2</v>
      </c>
      <c r="E84" s="96">
        <v>9.9000000000000005E-2</v>
      </c>
      <c r="F84" s="97">
        <v>0.1</v>
      </c>
    </row>
    <row r="85" spans="1:6">
      <c r="A85" s="91" t="s">
        <v>269</v>
      </c>
      <c r="B85" s="95" t="s">
        <v>2240</v>
      </c>
      <c r="C85" s="96">
        <v>9.9000000000000005E-2</v>
      </c>
      <c r="D85" s="96">
        <v>9.9000000000000005E-2</v>
      </c>
      <c r="E85" s="96">
        <v>9.9000000000000005E-2</v>
      </c>
      <c r="F85" s="97">
        <v>0.1</v>
      </c>
    </row>
    <row r="86" spans="1:6">
      <c r="A86" s="91" t="s">
        <v>269</v>
      </c>
      <c r="B86" s="95" t="s">
        <v>2250</v>
      </c>
      <c r="C86" s="96">
        <v>0.1</v>
      </c>
      <c r="D86" s="96">
        <v>0.1</v>
      </c>
      <c r="E86" s="96">
        <v>7.6999999999999999E-2</v>
      </c>
      <c r="F86" s="97">
        <v>0.1</v>
      </c>
    </row>
    <row r="87" spans="1:6">
      <c r="A87" s="91" t="s">
        <v>269</v>
      </c>
      <c r="B87" s="95" t="s">
        <v>2260</v>
      </c>
      <c r="C87" s="96">
        <v>0.1</v>
      </c>
      <c r="D87" s="96">
        <v>0.1</v>
      </c>
      <c r="E87" s="96">
        <v>9.8000000000000004E-2</v>
      </c>
      <c r="F87" s="104"/>
    </row>
    <row r="88" spans="1:6">
      <c r="A88" s="91" t="s">
        <v>269</v>
      </c>
      <c r="B88" s="95" t="s">
        <v>2270</v>
      </c>
      <c r="C88" s="96">
        <v>9.1999999999999998E-2</v>
      </c>
      <c r="D88" s="96">
        <v>8.5000000000000006E-2</v>
      </c>
      <c r="E88" s="96">
        <v>9.6000000000000002E-2</v>
      </c>
      <c r="F88" s="104"/>
    </row>
    <row r="89" spans="1:6">
      <c r="A89" s="91" t="s">
        <v>269</v>
      </c>
      <c r="B89" s="95" t="s">
        <v>2280</v>
      </c>
      <c r="C89" s="96">
        <v>0.1</v>
      </c>
      <c r="D89" s="96">
        <v>0.1</v>
      </c>
      <c r="E89" s="96">
        <v>9.7000000000000003E-2</v>
      </c>
      <c r="F89" s="104"/>
    </row>
    <row r="90" spans="1:6">
      <c r="A90" s="91" t="s">
        <v>269</v>
      </c>
      <c r="B90" s="95" t="s">
        <v>2290</v>
      </c>
      <c r="C90" s="96">
        <v>9.8000000000000004E-2</v>
      </c>
      <c r="D90" s="96">
        <v>9.8000000000000004E-2</v>
      </c>
      <c r="E90" s="96">
        <v>8.7999999999999995E-2</v>
      </c>
      <c r="F90" s="104"/>
    </row>
    <row r="91" spans="1:6">
      <c r="A91" s="91" t="s">
        <v>269</v>
      </c>
      <c r="B91" s="95" t="s">
        <v>2300</v>
      </c>
      <c r="C91" s="96">
        <v>9.9000000000000005E-2</v>
      </c>
      <c r="D91" s="96">
        <v>9.9000000000000005E-2</v>
      </c>
      <c r="E91" s="96">
        <v>9.0999999999999998E-2</v>
      </c>
      <c r="F91" s="104"/>
    </row>
    <row r="92" spans="1:6">
      <c r="A92" s="91" t="s">
        <v>269</v>
      </c>
      <c r="B92" s="95" t="s">
        <v>2310</v>
      </c>
      <c r="C92" s="96">
        <v>9.6000000000000002E-2</v>
      </c>
      <c r="D92" s="96">
        <v>9.6000000000000002E-2</v>
      </c>
      <c r="E92" s="96">
        <v>7.2999999999999995E-2</v>
      </c>
      <c r="F92" s="104"/>
    </row>
    <row r="93" spans="1:6">
      <c r="A93" s="91" t="s">
        <v>269</v>
      </c>
      <c r="B93" s="95" t="s">
        <v>2320</v>
      </c>
      <c r="C93" s="96">
        <v>9.6000000000000002E-2</v>
      </c>
      <c r="D93" s="96">
        <v>9.6000000000000002E-2</v>
      </c>
      <c r="E93" s="96">
        <v>9.9000000000000005E-2</v>
      </c>
      <c r="F93" s="104"/>
    </row>
    <row r="94" spans="1:6">
      <c r="A94" s="91" t="s">
        <v>269</v>
      </c>
      <c r="B94" s="95" t="s">
        <v>2330</v>
      </c>
      <c r="C94" s="96">
        <v>7.5999999999999998E-2</v>
      </c>
      <c r="D94" s="96">
        <v>7.3999999999999996E-2</v>
      </c>
      <c r="E94" s="96">
        <v>9.7000000000000003E-2</v>
      </c>
      <c r="F94" s="104"/>
    </row>
    <row r="95" spans="1:6">
      <c r="A95" s="91" t="s">
        <v>269</v>
      </c>
      <c r="B95" s="95" t="s">
        <v>2339</v>
      </c>
      <c r="C95" s="96">
        <v>9.9000000000000005E-2</v>
      </c>
      <c r="D95" s="96">
        <v>9.4E-2</v>
      </c>
      <c r="E95" s="96">
        <v>9.6000000000000002E-2</v>
      </c>
      <c r="F95" s="104"/>
    </row>
    <row r="96" spans="1:6">
      <c r="A96" s="91" t="s">
        <v>269</v>
      </c>
      <c r="B96" s="95" t="s">
        <v>2347</v>
      </c>
      <c r="C96" s="96">
        <v>9.9000000000000005E-2</v>
      </c>
      <c r="D96" s="96">
        <v>9.9000000000000005E-2</v>
      </c>
      <c r="E96" s="96">
        <v>9.9000000000000005E-2</v>
      </c>
      <c r="F96" s="104"/>
    </row>
    <row r="97" spans="1:6">
      <c r="A97" s="91" t="s">
        <v>269</v>
      </c>
      <c r="B97" s="95" t="s">
        <v>2355</v>
      </c>
      <c r="C97" s="96">
        <v>9.8000000000000004E-2</v>
      </c>
      <c r="D97" s="96">
        <v>9.8000000000000004E-2</v>
      </c>
      <c r="E97" s="96">
        <v>9.7000000000000003E-2</v>
      </c>
      <c r="F97" s="104"/>
    </row>
    <row r="98" spans="1:6">
      <c r="A98" s="91" t="s">
        <v>269</v>
      </c>
      <c r="B98" s="95" t="s">
        <v>2362</v>
      </c>
      <c r="C98" s="96">
        <v>0.1</v>
      </c>
      <c r="D98" s="96">
        <v>0.1</v>
      </c>
      <c r="E98" s="96">
        <v>9.7000000000000003E-2</v>
      </c>
      <c r="F98" s="104"/>
    </row>
    <row r="99" spans="1:6">
      <c r="A99" s="91" t="s">
        <v>269</v>
      </c>
      <c r="B99" s="95" t="s">
        <v>2369</v>
      </c>
      <c r="C99" s="96">
        <v>0.1</v>
      </c>
      <c r="D99" s="96">
        <v>0.1</v>
      </c>
      <c r="E99" s="105"/>
      <c r="F99" s="104"/>
    </row>
    <row r="100" spans="1:6">
      <c r="A100" s="91" t="s">
        <v>269</v>
      </c>
      <c r="B100" s="95" t="s">
        <v>2376</v>
      </c>
      <c r="C100" s="96">
        <v>0.09</v>
      </c>
      <c r="D100" s="96">
        <v>8.8999999999999996E-2</v>
      </c>
      <c r="E100" s="105"/>
      <c r="F100" s="104"/>
    </row>
    <row r="101" spans="1:6">
      <c r="A101" s="91" t="s">
        <v>269</v>
      </c>
      <c r="B101" s="95" t="s">
        <v>2383</v>
      </c>
      <c r="C101" s="96">
        <v>9.8000000000000004E-2</v>
      </c>
      <c r="D101" s="96">
        <v>9.7000000000000003E-2</v>
      </c>
      <c r="E101" s="105"/>
      <c r="F101" s="104"/>
    </row>
    <row r="102" spans="1:6">
      <c r="A102" s="91" t="s">
        <v>269</v>
      </c>
      <c r="B102" s="95" t="s">
        <v>2390</v>
      </c>
      <c r="C102" s="105"/>
      <c r="D102" s="105"/>
      <c r="E102" s="105"/>
      <c r="F102" s="97">
        <v>0.05</v>
      </c>
    </row>
    <row r="103" spans="1:6" ht="24">
      <c r="A103" s="91" t="s">
        <v>269</v>
      </c>
      <c r="B103" s="95" t="s">
        <v>2395</v>
      </c>
      <c r="C103" s="105"/>
      <c r="D103" s="105"/>
      <c r="E103" s="105"/>
      <c r="F103" s="97">
        <v>0.05</v>
      </c>
    </row>
    <row r="104" spans="1:6">
      <c r="A104" s="91" t="s">
        <v>269</v>
      </c>
      <c r="B104" s="95" t="s">
        <v>2400</v>
      </c>
      <c r="C104" s="105"/>
      <c r="D104" s="105"/>
      <c r="E104" s="105"/>
      <c r="F104" s="97">
        <v>0.05</v>
      </c>
    </row>
    <row r="105" spans="1:6">
      <c r="A105" s="91" t="s">
        <v>269</v>
      </c>
      <c r="B105" s="95" t="s">
        <v>2405</v>
      </c>
      <c r="C105" s="105"/>
      <c r="D105" s="105"/>
      <c r="E105" s="105"/>
      <c r="F105" s="97">
        <v>0.05</v>
      </c>
    </row>
    <row r="106" spans="1:6">
      <c r="A106" s="91" t="s">
        <v>269</v>
      </c>
      <c r="B106" s="95" t="s">
        <v>2410</v>
      </c>
      <c r="C106" s="105"/>
      <c r="D106" s="105"/>
      <c r="E106" s="105"/>
      <c r="F106" s="97">
        <v>0.05</v>
      </c>
    </row>
    <row r="107" spans="1:6" ht="24">
      <c r="A107" s="91" t="s">
        <v>269</v>
      </c>
      <c r="B107" s="95" t="s">
        <v>2415</v>
      </c>
      <c r="C107" s="105"/>
      <c r="D107" s="105"/>
      <c r="E107" s="105"/>
      <c r="F107" s="97">
        <v>0.05</v>
      </c>
    </row>
    <row r="108" spans="1:6" ht="24">
      <c r="A108" s="91" t="s">
        <v>269</v>
      </c>
      <c r="B108" s="95" t="s">
        <v>2420</v>
      </c>
      <c r="C108" s="105"/>
      <c r="D108" s="105"/>
      <c r="E108" s="105"/>
      <c r="F108" s="97">
        <v>0.05</v>
      </c>
    </row>
    <row r="109" spans="1:6" ht="24">
      <c r="A109" s="99" t="s">
        <v>269</v>
      </c>
      <c r="B109" s="106" t="s">
        <v>2425</v>
      </c>
      <c r="C109" s="102"/>
      <c r="D109" s="102"/>
      <c r="E109" s="102"/>
      <c r="F109" s="107">
        <v>0.05</v>
      </c>
    </row>
    <row r="110" spans="1:6">
      <c r="A110" s="91" t="s">
        <v>275</v>
      </c>
      <c r="B110" s="92" t="s">
        <v>2137</v>
      </c>
      <c r="C110" s="93">
        <v>0.129</v>
      </c>
      <c r="D110" s="93">
        <v>0.129</v>
      </c>
      <c r="E110" s="93">
        <v>0.126</v>
      </c>
      <c r="F110" s="94">
        <v>0.13</v>
      </c>
    </row>
    <row r="111" spans="1:6">
      <c r="A111" s="91" t="s">
        <v>275</v>
      </c>
      <c r="B111" s="95" t="s">
        <v>2150</v>
      </c>
      <c r="C111" s="96">
        <v>0.11</v>
      </c>
      <c r="D111" s="96">
        <v>0.11</v>
      </c>
      <c r="E111" s="96">
        <v>9.9000000000000005E-2</v>
      </c>
      <c r="F111" s="97">
        <v>0.128</v>
      </c>
    </row>
    <row r="112" spans="1:6">
      <c r="A112" s="91" t="s">
        <v>275</v>
      </c>
      <c r="B112" s="95" t="s">
        <v>2164</v>
      </c>
      <c r="C112" s="96">
        <v>0.125</v>
      </c>
      <c r="D112" s="96">
        <v>0.125</v>
      </c>
      <c r="E112" s="96">
        <v>0.12</v>
      </c>
      <c r="F112" s="97">
        <v>0.125</v>
      </c>
    </row>
    <row r="113" spans="1:6">
      <c r="A113" s="91" t="s">
        <v>275</v>
      </c>
      <c r="B113" s="95" t="s">
        <v>2176</v>
      </c>
      <c r="C113" s="96">
        <v>0.13</v>
      </c>
      <c r="D113" s="96">
        <v>0.13</v>
      </c>
      <c r="E113" s="96">
        <v>0.13</v>
      </c>
      <c r="F113" s="97">
        <v>0.13</v>
      </c>
    </row>
    <row r="114" spans="1:6">
      <c r="A114" s="91" t="s">
        <v>275</v>
      </c>
      <c r="B114" s="95" t="s">
        <v>2188</v>
      </c>
      <c r="C114" s="96">
        <v>0.123</v>
      </c>
      <c r="D114" s="96">
        <v>0.123</v>
      </c>
      <c r="E114" s="96">
        <v>0.12</v>
      </c>
      <c r="F114" s="97">
        <v>0.13</v>
      </c>
    </row>
    <row r="115" spans="1:6">
      <c r="A115" s="91" t="s">
        <v>275</v>
      </c>
      <c r="B115" s="95" t="s">
        <v>2199</v>
      </c>
      <c r="C115" s="96">
        <v>0.125</v>
      </c>
      <c r="D115" s="96">
        <v>0.125</v>
      </c>
      <c r="E115" s="96">
        <v>0.11700000000000001</v>
      </c>
      <c r="F115" s="97">
        <v>0.13</v>
      </c>
    </row>
    <row r="116" spans="1:6">
      <c r="A116" s="91" t="s">
        <v>275</v>
      </c>
      <c r="B116" s="95" t="s">
        <v>2210</v>
      </c>
      <c r="C116" s="96">
        <v>0.11700000000000001</v>
      </c>
      <c r="D116" s="96">
        <v>0.11700000000000001</v>
      </c>
      <c r="E116" s="96">
        <v>8.7999999999999995E-2</v>
      </c>
      <c r="F116" s="97">
        <v>0.13</v>
      </c>
    </row>
    <row r="117" spans="1:6">
      <c r="A117" s="91" t="s">
        <v>275</v>
      </c>
      <c r="B117" s="95" t="s">
        <v>2221</v>
      </c>
      <c r="C117" s="96">
        <v>0.13</v>
      </c>
      <c r="D117" s="96">
        <v>0.13</v>
      </c>
      <c r="E117" s="96">
        <v>0.129</v>
      </c>
      <c r="F117" s="97">
        <v>0.13</v>
      </c>
    </row>
    <row r="118" spans="1:6">
      <c r="A118" s="91" t="s">
        <v>275</v>
      </c>
      <c r="B118" s="95" t="s">
        <v>2231</v>
      </c>
      <c r="C118" s="96">
        <v>0.123</v>
      </c>
      <c r="D118" s="96">
        <v>0.123</v>
      </c>
      <c r="E118" s="96">
        <v>0.11600000000000001</v>
      </c>
      <c r="F118" s="97">
        <v>0.13</v>
      </c>
    </row>
    <row r="119" spans="1:6">
      <c r="A119" s="91" t="s">
        <v>275</v>
      </c>
      <c r="B119" s="95" t="s">
        <v>2241</v>
      </c>
      <c r="C119" s="96">
        <v>0.127</v>
      </c>
      <c r="D119" s="96">
        <v>0.127</v>
      </c>
      <c r="E119" s="96">
        <v>0.124</v>
      </c>
      <c r="F119" s="97">
        <v>0.13</v>
      </c>
    </row>
    <row r="120" spans="1:6">
      <c r="A120" s="91" t="s">
        <v>275</v>
      </c>
      <c r="B120" s="95" t="s">
        <v>2251</v>
      </c>
      <c r="C120" s="96">
        <v>0.125</v>
      </c>
      <c r="D120" s="96">
        <v>0.125</v>
      </c>
      <c r="E120" s="96">
        <v>0.122</v>
      </c>
      <c r="F120" s="97">
        <v>0.13</v>
      </c>
    </row>
    <row r="121" spans="1:6">
      <c r="A121" s="91" t="s">
        <v>275</v>
      </c>
      <c r="B121" s="95" t="s">
        <v>2261</v>
      </c>
      <c r="C121" s="96">
        <v>0.13</v>
      </c>
      <c r="D121" s="96">
        <v>0.13</v>
      </c>
      <c r="E121" s="96">
        <v>0.13</v>
      </c>
      <c r="F121" s="97">
        <v>0.13</v>
      </c>
    </row>
    <row r="122" spans="1:6">
      <c r="A122" s="91" t="s">
        <v>275</v>
      </c>
      <c r="B122" s="95" t="s">
        <v>2271</v>
      </c>
      <c r="C122" s="96">
        <v>0.13</v>
      </c>
      <c r="D122" s="96">
        <v>0.13</v>
      </c>
      <c r="E122" s="96">
        <v>0.125</v>
      </c>
      <c r="F122" s="97">
        <v>0.13</v>
      </c>
    </row>
    <row r="123" spans="1:6">
      <c r="A123" s="91" t="s">
        <v>275</v>
      </c>
      <c r="B123" s="95" t="s">
        <v>2281</v>
      </c>
      <c r="C123" s="96">
        <v>0.129</v>
      </c>
      <c r="D123" s="96">
        <v>0.129</v>
      </c>
      <c r="E123" s="96">
        <v>0.123</v>
      </c>
      <c r="F123" s="97">
        <v>0.13</v>
      </c>
    </row>
    <row r="124" spans="1:6">
      <c r="A124" s="91" t="s">
        <v>275</v>
      </c>
      <c r="B124" s="95" t="s">
        <v>2291</v>
      </c>
      <c r="C124" s="96">
        <v>0.10199999999999999</v>
      </c>
      <c r="D124" s="96">
        <v>0.10100000000000001</v>
      </c>
      <c r="E124" s="96">
        <v>0.08</v>
      </c>
      <c r="F124" s="104"/>
    </row>
    <row r="125" spans="1:6">
      <c r="A125" s="91" t="s">
        <v>275</v>
      </c>
      <c r="B125" s="95" t="s">
        <v>2301</v>
      </c>
      <c r="C125" s="96">
        <v>0.13</v>
      </c>
      <c r="D125" s="96">
        <v>0.13</v>
      </c>
      <c r="E125" s="96">
        <v>0.129</v>
      </c>
      <c r="F125" s="104"/>
    </row>
    <row r="126" spans="1:6">
      <c r="A126" s="91" t="s">
        <v>275</v>
      </c>
      <c r="B126" s="95" t="s">
        <v>2311</v>
      </c>
      <c r="C126" s="96">
        <v>0.13</v>
      </c>
      <c r="D126" s="96">
        <v>0.13</v>
      </c>
      <c r="E126" s="96">
        <v>0.126</v>
      </c>
      <c r="F126" s="104"/>
    </row>
    <row r="127" spans="1:6">
      <c r="A127" s="91" t="s">
        <v>275</v>
      </c>
      <c r="B127" s="95" t="s">
        <v>2321</v>
      </c>
      <c r="C127" s="96">
        <v>0.125</v>
      </c>
      <c r="D127" s="96">
        <v>0.125</v>
      </c>
      <c r="E127" s="96">
        <v>0.121</v>
      </c>
      <c r="F127" s="104"/>
    </row>
    <row r="128" spans="1:6">
      <c r="A128" s="91" t="s">
        <v>275</v>
      </c>
      <c r="B128" s="95" t="s">
        <v>2331</v>
      </c>
      <c r="C128" s="96">
        <v>0.12</v>
      </c>
      <c r="D128" s="96">
        <v>0.12</v>
      </c>
      <c r="E128" s="96">
        <v>0.105</v>
      </c>
      <c r="F128" s="104"/>
    </row>
    <row r="129" spans="1:6">
      <c r="A129" s="91" t="s">
        <v>275</v>
      </c>
      <c r="B129" s="95" t="s">
        <v>2340</v>
      </c>
      <c r="C129" s="96">
        <v>0.13</v>
      </c>
      <c r="D129" s="96">
        <v>0.13</v>
      </c>
      <c r="E129" s="96">
        <v>0.126</v>
      </c>
      <c r="F129" s="104"/>
    </row>
    <row r="130" spans="1:6">
      <c r="A130" s="91" t="s">
        <v>275</v>
      </c>
      <c r="B130" s="95" t="s">
        <v>2348</v>
      </c>
      <c r="C130" s="96">
        <v>0.125</v>
      </c>
      <c r="D130" s="96">
        <v>0.125</v>
      </c>
      <c r="E130" s="96">
        <v>0.122</v>
      </c>
      <c r="F130" s="104"/>
    </row>
    <row r="131" spans="1:6">
      <c r="A131" s="91" t="s">
        <v>275</v>
      </c>
      <c r="B131" s="95" t="s">
        <v>2356</v>
      </c>
      <c r="C131" s="96">
        <v>0.127</v>
      </c>
      <c r="D131" s="96">
        <v>0.126</v>
      </c>
      <c r="E131" s="96">
        <v>0.123</v>
      </c>
      <c r="F131" s="104"/>
    </row>
    <row r="132" spans="1:6">
      <c r="A132" s="91" t="s">
        <v>275</v>
      </c>
      <c r="B132" s="95" t="s">
        <v>2363</v>
      </c>
      <c r="C132" s="96">
        <v>9.0999999999999998E-2</v>
      </c>
      <c r="D132" s="96">
        <v>0.121</v>
      </c>
      <c r="E132" s="96">
        <v>9.9000000000000005E-2</v>
      </c>
      <c r="F132" s="104"/>
    </row>
    <row r="133" spans="1:6">
      <c r="A133" s="91" t="s">
        <v>275</v>
      </c>
      <c r="B133" s="95" t="s">
        <v>2370</v>
      </c>
      <c r="C133" s="96">
        <v>0.13</v>
      </c>
      <c r="D133" s="96">
        <v>0.13</v>
      </c>
      <c r="E133" s="96">
        <v>0.129</v>
      </c>
      <c r="F133" s="104"/>
    </row>
    <row r="134" spans="1:6">
      <c r="A134" s="91" t="s">
        <v>275</v>
      </c>
      <c r="B134" s="95" t="s">
        <v>2377</v>
      </c>
      <c r="C134" s="96">
        <v>6.8000000000000005E-2</v>
      </c>
      <c r="D134" s="96">
        <v>6.5000000000000002E-2</v>
      </c>
      <c r="E134" s="96">
        <v>6.5000000000000002E-2</v>
      </c>
      <c r="F134" s="97">
        <v>0.13</v>
      </c>
    </row>
    <row r="135" spans="1:6">
      <c r="A135" s="91" t="s">
        <v>275</v>
      </c>
      <c r="B135" s="95" t="s">
        <v>2384</v>
      </c>
      <c r="C135" s="96">
        <v>0.123</v>
      </c>
      <c r="D135" s="96">
        <v>0.123</v>
      </c>
      <c r="E135" s="96">
        <v>0.11</v>
      </c>
      <c r="F135" s="104"/>
    </row>
    <row r="136" spans="1:6">
      <c r="A136" s="91" t="s">
        <v>275</v>
      </c>
      <c r="B136" s="95" t="s">
        <v>2391</v>
      </c>
      <c r="C136" s="96">
        <v>0.13</v>
      </c>
      <c r="D136" s="96">
        <v>0.13</v>
      </c>
      <c r="E136" s="96">
        <v>0.125</v>
      </c>
      <c r="F136" s="104"/>
    </row>
    <row r="137" spans="1:6">
      <c r="A137" s="91" t="s">
        <v>275</v>
      </c>
      <c r="B137" s="95" t="s">
        <v>2396</v>
      </c>
      <c r="C137" s="96">
        <v>0.121</v>
      </c>
      <c r="D137" s="96">
        <v>0.122</v>
      </c>
      <c r="E137" s="96">
        <v>0.115</v>
      </c>
      <c r="F137" s="104"/>
    </row>
    <row r="138" spans="1:6">
      <c r="A138" s="91" t="s">
        <v>275</v>
      </c>
      <c r="B138" s="95" t="s">
        <v>2401</v>
      </c>
      <c r="C138" s="96">
        <v>0.105</v>
      </c>
      <c r="D138" s="96">
        <v>0.125</v>
      </c>
      <c r="E138" s="96">
        <v>0.112</v>
      </c>
      <c r="F138" s="104"/>
    </row>
    <row r="139" spans="1:6">
      <c r="A139" s="91" t="s">
        <v>275</v>
      </c>
      <c r="B139" s="95" t="s">
        <v>2406</v>
      </c>
      <c r="C139" s="96">
        <v>0.127</v>
      </c>
      <c r="D139" s="96">
        <v>0.127</v>
      </c>
      <c r="E139" s="96">
        <v>0.122</v>
      </c>
      <c r="F139" s="97">
        <v>0.13</v>
      </c>
    </row>
    <row r="140" spans="1:6">
      <c r="A140" s="91" t="s">
        <v>275</v>
      </c>
      <c r="B140" s="95" t="s">
        <v>2411</v>
      </c>
      <c r="C140" s="96">
        <v>0.125</v>
      </c>
      <c r="D140" s="96">
        <v>0.125</v>
      </c>
      <c r="E140" s="96">
        <v>0.11899999999999999</v>
      </c>
      <c r="F140" s="97">
        <v>0.13</v>
      </c>
    </row>
    <row r="141" spans="1:6">
      <c r="A141" s="91" t="s">
        <v>275</v>
      </c>
      <c r="B141" s="95" t="s">
        <v>2416</v>
      </c>
      <c r="C141" s="96">
        <v>0.125</v>
      </c>
      <c r="D141" s="96">
        <v>0.125</v>
      </c>
      <c r="E141" s="96">
        <v>0.11700000000000001</v>
      </c>
      <c r="F141" s="104"/>
    </row>
    <row r="142" spans="1:6">
      <c r="A142" s="91" t="s">
        <v>275</v>
      </c>
      <c r="B142" s="95" t="s">
        <v>2421</v>
      </c>
      <c r="C142" s="96">
        <v>0.125</v>
      </c>
      <c r="D142" s="96">
        <v>0.125</v>
      </c>
      <c r="E142" s="96">
        <v>0.115</v>
      </c>
      <c r="F142" s="104"/>
    </row>
    <row r="143" spans="1:6">
      <c r="A143" s="91" t="s">
        <v>275</v>
      </c>
      <c r="B143" s="95" t="s">
        <v>2426</v>
      </c>
      <c r="C143" s="96">
        <v>0.121</v>
      </c>
      <c r="D143" s="96">
        <v>0.121</v>
      </c>
      <c r="E143" s="96">
        <v>0.108</v>
      </c>
      <c r="F143" s="104"/>
    </row>
    <row r="144" spans="1:6">
      <c r="A144" s="91" t="s">
        <v>275</v>
      </c>
      <c r="B144" s="108" t="s">
        <v>2430</v>
      </c>
      <c r="C144" s="109">
        <v>0.126</v>
      </c>
      <c r="D144" s="109">
        <v>0.126</v>
      </c>
      <c r="E144" s="109">
        <v>0.121</v>
      </c>
      <c r="F144" s="104"/>
    </row>
    <row r="145" spans="1:6">
      <c r="A145" s="99" t="s">
        <v>275</v>
      </c>
      <c r="B145" s="110" t="s">
        <v>2434</v>
      </c>
      <c r="C145" s="111"/>
      <c r="D145" s="111"/>
      <c r="E145" s="111"/>
      <c r="F145" s="112">
        <v>0.05</v>
      </c>
    </row>
    <row r="146" spans="1:6" ht="24">
      <c r="A146" s="113" t="s">
        <v>275</v>
      </c>
      <c r="B146" s="98" t="s">
        <v>2438</v>
      </c>
      <c r="C146" s="105"/>
      <c r="D146" s="105"/>
      <c r="E146" s="105"/>
      <c r="F146" s="114">
        <v>0.05</v>
      </c>
    </row>
    <row r="147" spans="1:6" ht="24">
      <c r="A147" s="91" t="s">
        <v>275</v>
      </c>
      <c r="B147" s="95" t="s">
        <v>2442</v>
      </c>
      <c r="C147" s="105"/>
      <c r="D147" s="105"/>
      <c r="E147" s="105"/>
      <c r="F147" s="97">
        <v>0.05</v>
      </c>
    </row>
    <row r="148" spans="1:6" ht="24">
      <c r="A148" s="91" t="s">
        <v>275</v>
      </c>
      <c r="B148" s="95" t="s">
        <v>2446</v>
      </c>
      <c r="C148" s="105"/>
      <c r="D148" s="105"/>
      <c r="E148" s="105"/>
      <c r="F148" s="97">
        <v>0.05</v>
      </c>
    </row>
    <row r="149" spans="1:6" ht="24">
      <c r="A149" s="91" t="s">
        <v>275</v>
      </c>
      <c r="B149" s="95" t="s">
        <v>2450</v>
      </c>
      <c r="C149" s="105"/>
      <c r="D149" s="105"/>
      <c r="E149" s="105"/>
      <c r="F149" s="97">
        <v>0.05</v>
      </c>
    </row>
    <row r="150" spans="1:6" ht="24">
      <c r="A150" s="91" t="s">
        <v>275</v>
      </c>
      <c r="B150" s="95" t="s">
        <v>2453</v>
      </c>
      <c r="C150" s="105"/>
      <c r="D150" s="105"/>
      <c r="E150" s="105"/>
      <c r="F150" s="97">
        <v>0.05</v>
      </c>
    </row>
    <row r="151" spans="1:6" ht="24">
      <c r="A151" s="91" t="s">
        <v>275</v>
      </c>
      <c r="B151" s="95" t="s">
        <v>2456</v>
      </c>
      <c r="C151" s="105"/>
      <c r="D151" s="105"/>
      <c r="E151" s="105"/>
      <c r="F151" s="97">
        <v>0.05</v>
      </c>
    </row>
    <row r="152" spans="1:6" ht="24">
      <c r="A152" s="91" t="s">
        <v>275</v>
      </c>
      <c r="B152" s="95" t="s">
        <v>2459</v>
      </c>
      <c r="C152" s="105"/>
      <c r="D152" s="105"/>
      <c r="E152" s="105"/>
      <c r="F152" s="97">
        <v>0.05</v>
      </c>
    </row>
    <row r="153" spans="1:6">
      <c r="A153" s="91" t="s">
        <v>275</v>
      </c>
      <c r="B153" s="95" t="s">
        <v>2462</v>
      </c>
      <c r="C153" s="105"/>
      <c r="D153" s="105"/>
      <c r="E153" s="105"/>
      <c r="F153" s="97">
        <v>0.05</v>
      </c>
    </row>
    <row r="154" spans="1:6">
      <c r="A154" s="91" t="s">
        <v>275</v>
      </c>
      <c r="B154" s="95" t="s">
        <v>2465</v>
      </c>
      <c r="C154" s="105"/>
      <c r="D154" s="105"/>
      <c r="E154" s="105"/>
      <c r="F154" s="97">
        <v>0.05</v>
      </c>
    </row>
    <row r="155" spans="1:6" ht="24">
      <c r="A155" s="91" t="s">
        <v>275</v>
      </c>
      <c r="B155" s="95" t="s">
        <v>2468</v>
      </c>
      <c r="C155" s="105"/>
      <c r="D155" s="105"/>
      <c r="E155" s="105"/>
      <c r="F155" s="97">
        <v>0.05</v>
      </c>
    </row>
    <row r="156" spans="1:6" ht="24">
      <c r="A156" s="91" t="s">
        <v>275</v>
      </c>
      <c r="B156" s="95" t="s">
        <v>2470</v>
      </c>
      <c r="C156" s="105"/>
      <c r="D156" s="105"/>
      <c r="E156" s="105"/>
      <c r="F156" s="97">
        <v>0.05</v>
      </c>
    </row>
    <row r="157" spans="1:6">
      <c r="A157" s="99" t="s">
        <v>275</v>
      </c>
      <c r="B157" s="106" t="s">
        <v>2472</v>
      </c>
      <c r="C157" s="102"/>
      <c r="D157" s="102"/>
      <c r="E157" s="102"/>
      <c r="F157" s="107">
        <v>0.05</v>
      </c>
    </row>
    <row r="158" spans="1:6">
      <c r="A158" s="91" t="s">
        <v>280</v>
      </c>
      <c r="B158" s="92" t="s">
        <v>2138</v>
      </c>
      <c r="C158" s="93">
        <v>0.13</v>
      </c>
      <c r="D158" s="93">
        <v>0.13</v>
      </c>
      <c r="E158" s="93">
        <v>0.13</v>
      </c>
      <c r="F158" s="94">
        <v>0.13</v>
      </c>
    </row>
    <row r="159" spans="1:6">
      <c r="A159" s="91" t="s">
        <v>280</v>
      </c>
      <c r="B159" s="95" t="s">
        <v>2151</v>
      </c>
      <c r="C159" s="96">
        <v>0.13</v>
      </c>
      <c r="D159" s="96">
        <v>0.13</v>
      </c>
      <c r="E159" s="96">
        <v>0.13</v>
      </c>
      <c r="F159" s="97">
        <v>0.13</v>
      </c>
    </row>
    <row r="160" spans="1:6">
      <c r="A160" s="91" t="s">
        <v>280</v>
      </c>
      <c r="B160" s="95" t="s">
        <v>2165</v>
      </c>
      <c r="C160" s="96">
        <v>0.13</v>
      </c>
      <c r="D160" s="96">
        <v>0.13</v>
      </c>
      <c r="E160" s="96">
        <v>0.129</v>
      </c>
      <c r="F160" s="97">
        <v>0.13</v>
      </c>
    </row>
    <row r="161" spans="1:6">
      <c r="A161" s="91" t="s">
        <v>280</v>
      </c>
      <c r="B161" s="95" t="s">
        <v>2177</v>
      </c>
      <c r="C161" s="96">
        <v>0.128</v>
      </c>
      <c r="D161" s="96">
        <v>0.128</v>
      </c>
      <c r="E161" s="96">
        <v>0.125</v>
      </c>
      <c r="F161" s="97">
        <v>0.13</v>
      </c>
    </row>
    <row r="162" spans="1:6">
      <c r="A162" s="91" t="s">
        <v>280</v>
      </c>
      <c r="B162" s="95" t="s">
        <v>2189</v>
      </c>
      <c r="C162" s="96">
        <v>0.122</v>
      </c>
      <c r="D162" s="96">
        <v>0.122</v>
      </c>
      <c r="E162" s="96">
        <v>0.126</v>
      </c>
      <c r="F162" s="97">
        <v>0.122</v>
      </c>
    </row>
    <row r="163" spans="1:6">
      <c r="A163" s="91" t="s">
        <v>280</v>
      </c>
      <c r="B163" s="95" t="s">
        <v>2200</v>
      </c>
      <c r="C163" s="96">
        <v>0.13</v>
      </c>
      <c r="D163" s="96">
        <v>0.13</v>
      </c>
      <c r="E163" s="96">
        <v>0.125</v>
      </c>
      <c r="F163" s="97">
        <v>0.13</v>
      </c>
    </row>
    <row r="164" spans="1:6">
      <c r="A164" s="91" t="s">
        <v>280</v>
      </c>
      <c r="B164" s="95" t="s">
        <v>2211</v>
      </c>
      <c r="C164" s="96">
        <v>0.13</v>
      </c>
      <c r="D164" s="96">
        <v>0.13</v>
      </c>
      <c r="E164" s="96">
        <v>0.13</v>
      </c>
      <c r="F164" s="97">
        <v>0.13</v>
      </c>
    </row>
    <row r="165" spans="1:6">
      <c r="A165" s="91" t="s">
        <v>280</v>
      </c>
      <c r="B165" s="95" t="s">
        <v>2222</v>
      </c>
      <c r="C165" s="96">
        <v>0.13</v>
      </c>
      <c r="D165" s="96">
        <v>0.13</v>
      </c>
      <c r="E165" s="96">
        <v>0.124</v>
      </c>
      <c r="F165" s="97">
        <v>0.13</v>
      </c>
    </row>
    <row r="166" spans="1:6">
      <c r="A166" s="91" t="s">
        <v>280</v>
      </c>
      <c r="B166" s="95" t="s">
        <v>2232</v>
      </c>
      <c r="C166" s="96">
        <v>0.13</v>
      </c>
      <c r="D166" s="96">
        <v>0.13</v>
      </c>
      <c r="E166" s="96">
        <v>0.13</v>
      </c>
      <c r="F166" s="97">
        <v>0.13</v>
      </c>
    </row>
    <row r="167" spans="1:6">
      <c r="A167" s="91" t="s">
        <v>280</v>
      </c>
      <c r="B167" s="95" t="s">
        <v>2242</v>
      </c>
      <c r="C167" s="96">
        <v>0.125</v>
      </c>
      <c r="D167" s="96">
        <v>0.125</v>
      </c>
      <c r="E167" s="96">
        <v>0.121</v>
      </c>
      <c r="F167" s="104"/>
    </row>
    <row r="168" spans="1:6">
      <c r="A168" s="91" t="s">
        <v>280</v>
      </c>
      <c r="B168" s="95" t="s">
        <v>2252</v>
      </c>
      <c r="C168" s="96">
        <v>0.13</v>
      </c>
      <c r="D168" s="96">
        <v>0.13</v>
      </c>
      <c r="E168" s="96">
        <v>0.126</v>
      </c>
      <c r="F168" s="104"/>
    </row>
    <row r="169" spans="1:6">
      <c r="A169" s="91" t="s">
        <v>280</v>
      </c>
      <c r="B169" s="95" t="s">
        <v>2262</v>
      </c>
      <c r="C169" s="96">
        <v>0.128</v>
      </c>
      <c r="D169" s="96">
        <v>0.129</v>
      </c>
      <c r="E169" s="96">
        <v>0.13</v>
      </c>
      <c r="F169" s="104"/>
    </row>
    <row r="170" spans="1:6">
      <c r="A170" s="91" t="s">
        <v>280</v>
      </c>
      <c r="B170" s="95" t="s">
        <v>2272</v>
      </c>
      <c r="C170" s="96">
        <v>0.14099999999999999</v>
      </c>
      <c r="D170" s="96">
        <v>0.13</v>
      </c>
      <c r="E170" s="96">
        <v>0.125</v>
      </c>
      <c r="F170" s="104"/>
    </row>
    <row r="171" spans="1:6">
      <c r="A171" s="91" t="s">
        <v>280</v>
      </c>
      <c r="B171" s="95" t="s">
        <v>2282</v>
      </c>
      <c r="C171" s="96">
        <v>0.127</v>
      </c>
      <c r="D171" s="96">
        <v>0.126</v>
      </c>
      <c r="E171" s="96">
        <v>0.126</v>
      </c>
      <c r="F171" s="97">
        <v>0.11799999999999999</v>
      </c>
    </row>
    <row r="172" spans="1:6">
      <c r="A172" s="91" t="s">
        <v>280</v>
      </c>
      <c r="B172" s="95" t="s">
        <v>2292</v>
      </c>
      <c r="C172" s="96">
        <v>0.13</v>
      </c>
      <c r="D172" s="96">
        <v>0.13</v>
      </c>
      <c r="E172" s="96">
        <v>0.13</v>
      </c>
      <c r="F172" s="104"/>
    </row>
    <row r="173" spans="1:6">
      <c r="A173" s="91" t="s">
        <v>280</v>
      </c>
      <c r="B173" s="95" t="s">
        <v>2302</v>
      </c>
      <c r="C173" s="96">
        <v>0.13</v>
      </c>
      <c r="D173" s="96">
        <v>0.13</v>
      </c>
      <c r="E173" s="96">
        <v>0.13</v>
      </c>
      <c r="F173" s="104"/>
    </row>
    <row r="174" spans="1:6">
      <c r="A174" s="91" t="s">
        <v>280</v>
      </c>
      <c r="B174" s="95" t="s">
        <v>2312</v>
      </c>
      <c r="C174" s="96">
        <v>0.13</v>
      </c>
      <c r="D174" s="96">
        <v>0.13</v>
      </c>
      <c r="E174" s="96">
        <v>0.13</v>
      </c>
      <c r="F174" s="97">
        <v>0.13</v>
      </c>
    </row>
    <row r="175" spans="1:6">
      <c r="A175" s="91" t="s">
        <v>280</v>
      </c>
      <c r="B175" s="95" t="s">
        <v>2322</v>
      </c>
      <c r="C175" s="96">
        <v>0.13</v>
      </c>
      <c r="D175" s="96">
        <v>0.13</v>
      </c>
      <c r="E175" s="96">
        <v>0.13</v>
      </c>
      <c r="F175" s="97">
        <v>0.13</v>
      </c>
    </row>
    <row r="176" spans="1:6">
      <c r="A176" s="91" t="s">
        <v>280</v>
      </c>
      <c r="B176" s="95" t="s">
        <v>2332</v>
      </c>
      <c r="C176" s="96">
        <v>0.13</v>
      </c>
      <c r="D176" s="96">
        <v>0.13</v>
      </c>
      <c r="E176" s="96">
        <v>0.13</v>
      </c>
      <c r="F176" s="97">
        <v>0.13</v>
      </c>
    </row>
    <row r="177" spans="1:6">
      <c r="A177" s="91" t="s">
        <v>280</v>
      </c>
      <c r="B177" s="95" t="s">
        <v>2341</v>
      </c>
      <c r="C177" s="96">
        <v>0.13</v>
      </c>
      <c r="D177" s="96">
        <v>0.13</v>
      </c>
      <c r="E177" s="96">
        <v>0.13</v>
      </c>
      <c r="F177" s="97">
        <v>0.13</v>
      </c>
    </row>
    <row r="178" spans="1:6">
      <c r="A178" s="91" t="s">
        <v>280</v>
      </c>
      <c r="B178" s="95" t="s">
        <v>2349</v>
      </c>
      <c r="C178" s="96">
        <v>0.13</v>
      </c>
      <c r="D178" s="96">
        <v>0.13</v>
      </c>
      <c r="E178" s="96">
        <v>0.13</v>
      </c>
      <c r="F178" s="97">
        <v>0.127</v>
      </c>
    </row>
    <row r="179" spans="1:6">
      <c r="A179" s="91" t="s">
        <v>280</v>
      </c>
      <c r="B179" s="95" t="s">
        <v>2357</v>
      </c>
      <c r="C179" s="96">
        <v>0.13</v>
      </c>
      <c r="D179" s="96">
        <v>0.13</v>
      </c>
      <c r="E179" s="96">
        <v>0.13</v>
      </c>
      <c r="F179" s="104"/>
    </row>
    <row r="180" spans="1:6">
      <c r="A180" s="91" t="s">
        <v>280</v>
      </c>
      <c r="B180" s="95" t="s">
        <v>2364</v>
      </c>
      <c r="C180" s="96">
        <v>0.13</v>
      </c>
      <c r="D180" s="96">
        <v>0.13</v>
      </c>
      <c r="E180" s="96">
        <v>0.125</v>
      </c>
      <c r="F180" s="97">
        <v>0.13</v>
      </c>
    </row>
    <row r="181" spans="1:6">
      <c r="A181" s="91" t="s">
        <v>280</v>
      </c>
      <c r="B181" s="95" t="s">
        <v>2371</v>
      </c>
      <c r="C181" s="96">
        <v>0.122</v>
      </c>
      <c r="D181" s="96">
        <v>0.123</v>
      </c>
      <c r="E181" s="96">
        <v>0.126</v>
      </c>
      <c r="F181" s="97">
        <v>0.121</v>
      </c>
    </row>
    <row r="182" spans="1:6">
      <c r="A182" s="91" t="s">
        <v>280</v>
      </c>
      <c r="B182" s="95" t="s">
        <v>2378</v>
      </c>
      <c r="C182" s="96">
        <v>0.125</v>
      </c>
      <c r="D182" s="96">
        <v>0.125</v>
      </c>
      <c r="E182" s="96">
        <v>0.11700000000000001</v>
      </c>
      <c r="F182" s="97">
        <v>0.13</v>
      </c>
    </row>
    <row r="183" spans="1:6">
      <c r="A183" s="91" t="s">
        <v>280</v>
      </c>
      <c r="B183" s="95" t="s">
        <v>2385</v>
      </c>
      <c r="C183" s="96">
        <v>0.127</v>
      </c>
      <c r="D183" s="96">
        <v>0.127</v>
      </c>
      <c r="E183" s="96">
        <v>0.128</v>
      </c>
      <c r="F183" s="104"/>
    </row>
    <row r="184" spans="1:6">
      <c r="A184" s="91" t="s">
        <v>280</v>
      </c>
      <c r="B184" s="95" t="s">
        <v>2392</v>
      </c>
      <c r="C184" s="96">
        <v>0.125</v>
      </c>
      <c r="D184" s="96">
        <v>0.125</v>
      </c>
      <c r="E184" s="96">
        <v>0.127</v>
      </c>
      <c r="F184" s="104"/>
    </row>
    <row r="185" spans="1:6">
      <c r="A185" s="91" t="s">
        <v>280</v>
      </c>
      <c r="B185" s="95" t="s">
        <v>2397</v>
      </c>
      <c r="C185" s="96">
        <v>0.127</v>
      </c>
      <c r="D185" s="96">
        <v>0.127</v>
      </c>
      <c r="E185" s="96">
        <v>0.128</v>
      </c>
      <c r="F185" s="97">
        <v>0.13</v>
      </c>
    </row>
    <row r="186" spans="1:6" ht="24">
      <c r="A186" s="91" t="s">
        <v>280</v>
      </c>
      <c r="B186" s="95" t="s">
        <v>2402</v>
      </c>
      <c r="C186" s="105"/>
      <c r="D186" s="105"/>
      <c r="E186" s="105"/>
      <c r="F186" s="97">
        <v>0.05</v>
      </c>
    </row>
    <row r="187" spans="1:6">
      <c r="A187" s="91" t="s">
        <v>280</v>
      </c>
      <c r="B187" s="95" t="s">
        <v>2407</v>
      </c>
      <c r="C187" s="105"/>
      <c r="D187" s="105"/>
      <c r="E187" s="105"/>
      <c r="F187" s="97">
        <v>0.05</v>
      </c>
    </row>
    <row r="188" spans="1:6">
      <c r="A188" s="91" t="s">
        <v>280</v>
      </c>
      <c r="B188" s="95" t="s">
        <v>2412</v>
      </c>
      <c r="C188" s="105"/>
      <c r="D188" s="105"/>
      <c r="E188" s="105"/>
      <c r="F188" s="97">
        <v>0.05</v>
      </c>
    </row>
    <row r="189" spans="1:6" ht="24">
      <c r="A189" s="91" t="s">
        <v>280</v>
      </c>
      <c r="B189" s="95" t="s">
        <v>2417</v>
      </c>
      <c r="C189" s="105"/>
      <c r="D189" s="105"/>
      <c r="E189" s="105"/>
      <c r="F189" s="97">
        <v>0.05</v>
      </c>
    </row>
    <row r="190" spans="1:6" ht="24">
      <c r="A190" s="91" t="s">
        <v>280</v>
      </c>
      <c r="B190" s="95" t="s">
        <v>2422</v>
      </c>
      <c r="C190" s="105"/>
      <c r="D190" s="105"/>
      <c r="E190" s="105"/>
      <c r="F190" s="97">
        <v>0.05</v>
      </c>
    </row>
    <row r="191" spans="1:6" ht="24">
      <c r="A191" s="91" t="s">
        <v>280</v>
      </c>
      <c r="B191" s="95" t="s">
        <v>2427</v>
      </c>
      <c r="C191" s="105"/>
      <c r="D191" s="105"/>
      <c r="E191" s="105"/>
      <c r="F191" s="97">
        <v>0.05</v>
      </c>
    </row>
    <row r="192" spans="1:6" ht="24">
      <c r="A192" s="91" t="s">
        <v>280</v>
      </c>
      <c r="B192" s="95" t="s">
        <v>2431</v>
      </c>
      <c r="C192" s="105"/>
      <c r="D192" s="105"/>
      <c r="E192" s="105"/>
      <c r="F192" s="97">
        <v>0.05</v>
      </c>
    </row>
    <row r="193" spans="1:6" ht="24">
      <c r="A193" s="91" t="s">
        <v>280</v>
      </c>
      <c r="B193" s="95" t="s">
        <v>2435</v>
      </c>
      <c r="C193" s="105"/>
      <c r="D193" s="105"/>
      <c r="E193" s="105"/>
      <c r="F193" s="97">
        <v>0.05</v>
      </c>
    </row>
    <row r="194" spans="1:6" ht="24">
      <c r="A194" s="91" t="s">
        <v>280</v>
      </c>
      <c r="B194" s="95" t="s">
        <v>2439</v>
      </c>
      <c r="C194" s="105"/>
      <c r="D194" s="105"/>
      <c r="E194" s="105"/>
      <c r="F194" s="97">
        <v>0.05</v>
      </c>
    </row>
    <row r="195" spans="1:6">
      <c r="A195" s="91" t="s">
        <v>280</v>
      </c>
      <c r="B195" s="95" t="s">
        <v>2443</v>
      </c>
      <c r="C195" s="105"/>
      <c r="D195" s="105"/>
      <c r="E195" s="105"/>
      <c r="F195" s="97">
        <v>0.05</v>
      </c>
    </row>
    <row r="196" spans="1:6" ht="24">
      <c r="A196" s="91" t="s">
        <v>280</v>
      </c>
      <c r="B196" s="95" t="s">
        <v>2447</v>
      </c>
      <c r="C196" s="105"/>
      <c r="D196" s="105"/>
      <c r="E196" s="105"/>
      <c r="F196" s="97">
        <v>0.05</v>
      </c>
    </row>
    <row r="197" spans="1:6" ht="24">
      <c r="A197" s="91" t="s">
        <v>280</v>
      </c>
      <c r="B197" s="95" t="s">
        <v>2451</v>
      </c>
      <c r="C197" s="105"/>
      <c r="D197" s="105"/>
      <c r="E197" s="105"/>
      <c r="F197" s="97">
        <v>0.05</v>
      </c>
    </row>
    <row r="198" spans="1:6" ht="24">
      <c r="A198" s="91" t="s">
        <v>280</v>
      </c>
      <c r="B198" s="95" t="s">
        <v>2454</v>
      </c>
      <c r="C198" s="105"/>
      <c r="D198" s="105"/>
      <c r="E198" s="105"/>
      <c r="F198" s="97">
        <v>0.05</v>
      </c>
    </row>
    <row r="199" spans="1:6" ht="24">
      <c r="A199" s="91" t="s">
        <v>280</v>
      </c>
      <c r="B199" s="95" t="s">
        <v>2457</v>
      </c>
      <c r="C199" s="105"/>
      <c r="D199" s="105"/>
      <c r="E199" s="105"/>
      <c r="F199" s="97">
        <v>0.05</v>
      </c>
    </row>
    <row r="200" spans="1:6" ht="24">
      <c r="A200" s="91" t="s">
        <v>280</v>
      </c>
      <c r="B200" s="95" t="s">
        <v>2460</v>
      </c>
      <c r="C200" s="105"/>
      <c r="D200" s="105"/>
      <c r="E200" s="105"/>
      <c r="F200" s="97">
        <v>0.05</v>
      </c>
    </row>
    <row r="201" spans="1:6" ht="24">
      <c r="A201" s="91" t="s">
        <v>280</v>
      </c>
      <c r="B201" s="95" t="s">
        <v>2463</v>
      </c>
      <c r="C201" s="105"/>
      <c r="D201" s="105"/>
      <c r="E201" s="105"/>
      <c r="F201" s="97">
        <v>0.05</v>
      </c>
    </row>
    <row r="202" spans="1:6" ht="24">
      <c r="A202" s="91" t="s">
        <v>280</v>
      </c>
      <c r="B202" s="95" t="s">
        <v>2466</v>
      </c>
      <c r="C202" s="105"/>
      <c r="D202" s="105"/>
      <c r="E202" s="105"/>
      <c r="F202" s="97">
        <v>0.05</v>
      </c>
    </row>
    <row r="203" spans="1:6" ht="24">
      <c r="A203" s="91" t="s">
        <v>280</v>
      </c>
      <c r="B203" s="95" t="s">
        <v>2469</v>
      </c>
      <c r="C203" s="105"/>
      <c r="D203" s="105"/>
      <c r="E203" s="105"/>
      <c r="F203" s="97">
        <v>0.05</v>
      </c>
    </row>
    <row r="204" spans="1:6">
      <c r="A204" s="91" t="s">
        <v>280</v>
      </c>
      <c r="B204" s="95" t="s">
        <v>2471</v>
      </c>
      <c r="C204" s="105"/>
      <c r="D204" s="105"/>
      <c r="E204" s="105"/>
      <c r="F204" s="97">
        <v>0.05</v>
      </c>
    </row>
    <row r="205" spans="1:6">
      <c r="A205" s="99" t="s">
        <v>280</v>
      </c>
      <c r="B205" s="106" t="s">
        <v>2473</v>
      </c>
      <c r="C205" s="102"/>
      <c r="D205" s="102"/>
      <c r="E205" s="102"/>
      <c r="F205" s="107">
        <v>0.05</v>
      </c>
    </row>
    <row r="206" spans="1:6">
      <c r="A206" s="91" t="s">
        <v>285</v>
      </c>
      <c r="B206" s="92" t="s">
        <v>2139</v>
      </c>
      <c r="C206" s="93">
        <v>0.15</v>
      </c>
      <c r="D206" s="93">
        <v>0.15</v>
      </c>
      <c r="E206" s="93">
        <v>0.15</v>
      </c>
      <c r="F206" s="94">
        <v>0.15</v>
      </c>
    </row>
    <row r="207" spans="1:6">
      <c r="A207" s="91" t="s">
        <v>285</v>
      </c>
      <c r="B207" s="95" t="s">
        <v>2152</v>
      </c>
      <c r="C207" s="96">
        <v>0.15</v>
      </c>
      <c r="D207" s="96">
        <v>0.15</v>
      </c>
      <c r="E207" s="96">
        <v>0.15</v>
      </c>
      <c r="F207" s="97">
        <v>0.14399999999999999</v>
      </c>
    </row>
    <row r="208" spans="1:6">
      <c r="A208" s="91" t="s">
        <v>285</v>
      </c>
      <c r="B208" s="95" t="s">
        <v>2166</v>
      </c>
      <c r="C208" s="96">
        <v>0.15</v>
      </c>
      <c r="D208" s="96">
        <v>0.15</v>
      </c>
      <c r="E208" s="96">
        <v>0.15</v>
      </c>
      <c r="F208" s="97">
        <v>0.15</v>
      </c>
    </row>
    <row r="209" spans="1:6">
      <c r="A209" s="91" t="s">
        <v>285</v>
      </c>
      <c r="B209" s="95" t="s">
        <v>2178</v>
      </c>
      <c r="C209" s="96">
        <v>0.13700000000000001</v>
      </c>
      <c r="D209" s="96">
        <v>0.13700000000000001</v>
      </c>
      <c r="E209" s="96">
        <v>0.14000000000000001</v>
      </c>
      <c r="F209" s="97">
        <v>0.11700000000000001</v>
      </c>
    </row>
    <row r="210" spans="1:6">
      <c r="A210" s="91" t="s">
        <v>285</v>
      </c>
      <c r="B210" s="95" t="s">
        <v>2190</v>
      </c>
      <c r="C210" s="96">
        <v>0.15</v>
      </c>
      <c r="D210" s="96">
        <v>0.15</v>
      </c>
      <c r="E210" s="96">
        <v>0.15</v>
      </c>
      <c r="F210" s="97">
        <v>0.13800000000000001</v>
      </c>
    </row>
    <row r="211" spans="1:6">
      <c r="A211" s="91" t="s">
        <v>285</v>
      </c>
      <c r="B211" s="95" t="s">
        <v>2201</v>
      </c>
      <c r="C211" s="96">
        <v>0.13700000000000001</v>
      </c>
      <c r="D211" s="96">
        <v>0.13500000000000001</v>
      </c>
      <c r="E211" s="96">
        <v>0.13600000000000001</v>
      </c>
      <c r="F211" s="97">
        <v>0.1</v>
      </c>
    </row>
    <row r="212" spans="1:6">
      <c r="A212" s="91" t="s">
        <v>285</v>
      </c>
      <c r="B212" s="95" t="s">
        <v>2212</v>
      </c>
      <c r="C212" s="96">
        <v>0.15</v>
      </c>
      <c r="D212" s="96">
        <v>0.15</v>
      </c>
      <c r="E212" s="96">
        <v>0.14799999999999999</v>
      </c>
      <c r="F212" s="97">
        <v>0.13600000000000001</v>
      </c>
    </row>
    <row r="213" spans="1:6">
      <c r="A213" s="91" t="s">
        <v>285</v>
      </c>
      <c r="B213" s="95" t="s">
        <v>2223</v>
      </c>
      <c r="C213" s="96">
        <v>0.15</v>
      </c>
      <c r="D213" s="96">
        <v>0.15</v>
      </c>
      <c r="E213" s="96">
        <v>0.15</v>
      </c>
      <c r="F213" s="97">
        <v>0.13800000000000001</v>
      </c>
    </row>
    <row r="214" spans="1:6">
      <c r="A214" s="91" t="s">
        <v>285</v>
      </c>
      <c r="B214" s="95" t="s">
        <v>2233</v>
      </c>
      <c r="C214" s="96">
        <v>9.0999999999999998E-2</v>
      </c>
      <c r="D214" s="96">
        <v>0.09</v>
      </c>
      <c r="E214" s="96">
        <v>9.1999999999999998E-2</v>
      </c>
      <c r="F214" s="104"/>
    </row>
    <row r="215" spans="1:6">
      <c r="A215" s="91" t="s">
        <v>285</v>
      </c>
      <c r="B215" s="95" t="s">
        <v>2243</v>
      </c>
      <c r="C215" s="96">
        <v>0.15</v>
      </c>
      <c r="D215" s="96">
        <v>0.15</v>
      </c>
      <c r="E215" s="96">
        <v>0.15</v>
      </c>
      <c r="F215" s="97">
        <v>0.15</v>
      </c>
    </row>
    <row r="216" spans="1:6">
      <c r="A216" s="91" t="s">
        <v>285</v>
      </c>
      <c r="B216" s="95" t="s">
        <v>2253</v>
      </c>
      <c r="C216" s="96">
        <v>0.14699999999999999</v>
      </c>
      <c r="D216" s="96">
        <v>0.14699999999999999</v>
      </c>
      <c r="E216" s="96">
        <v>0.15</v>
      </c>
      <c r="F216" s="97">
        <v>0.14000000000000001</v>
      </c>
    </row>
    <row r="217" spans="1:6">
      <c r="A217" s="91" t="s">
        <v>285</v>
      </c>
      <c r="B217" s="95" t="s">
        <v>2263</v>
      </c>
      <c r="C217" s="96">
        <v>0.15</v>
      </c>
      <c r="D217" s="96">
        <v>0.15</v>
      </c>
      <c r="E217" s="96">
        <v>0.15</v>
      </c>
      <c r="F217" s="97">
        <v>0.15</v>
      </c>
    </row>
    <row r="218" spans="1:6">
      <c r="A218" s="91" t="s">
        <v>285</v>
      </c>
      <c r="B218" s="95" t="s">
        <v>2273</v>
      </c>
      <c r="C218" s="96">
        <v>0.15</v>
      </c>
      <c r="D218" s="96">
        <v>0.15</v>
      </c>
      <c r="E218" s="96">
        <v>0.15</v>
      </c>
      <c r="F218" s="97">
        <v>0.15</v>
      </c>
    </row>
    <row r="219" spans="1:6">
      <c r="A219" s="91" t="s">
        <v>285</v>
      </c>
      <c r="B219" s="95" t="s">
        <v>2283</v>
      </c>
      <c r="C219" s="96">
        <v>0.15</v>
      </c>
      <c r="D219" s="96">
        <v>0.15</v>
      </c>
      <c r="E219" s="96">
        <v>0.15</v>
      </c>
      <c r="F219" s="97">
        <v>0.14799999999999999</v>
      </c>
    </row>
    <row r="220" spans="1:6">
      <c r="A220" s="91" t="s">
        <v>285</v>
      </c>
      <c r="B220" s="95" t="s">
        <v>2293</v>
      </c>
      <c r="C220" s="96">
        <v>0.15</v>
      </c>
      <c r="D220" s="96">
        <v>0.15</v>
      </c>
      <c r="E220" s="96">
        <v>0.15</v>
      </c>
      <c r="F220" s="97">
        <v>0.15</v>
      </c>
    </row>
    <row r="221" spans="1:6">
      <c r="A221" s="91" t="s">
        <v>285</v>
      </c>
      <c r="B221" s="95" t="s">
        <v>2303</v>
      </c>
      <c r="C221" s="96"/>
      <c r="D221" s="105"/>
      <c r="E221" s="105"/>
      <c r="F221" s="97">
        <v>0.14799999999999999</v>
      </c>
    </row>
    <row r="222" spans="1:6">
      <c r="A222" s="91" t="s">
        <v>285</v>
      </c>
      <c r="B222" s="95" t="s">
        <v>2313</v>
      </c>
      <c r="C222" s="96"/>
      <c r="D222" s="105"/>
      <c r="E222" s="105"/>
      <c r="F222" s="97">
        <v>0.1</v>
      </c>
    </row>
    <row r="223" spans="1:6">
      <c r="A223" s="91" t="s">
        <v>285</v>
      </c>
      <c r="B223" s="95" t="s">
        <v>2323</v>
      </c>
      <c r="C223" s="96"/>
      <c r="D223" s="105"/>
      <c r="E223" s="105"/>
      <c r="F223" s="97">
        <v>0.15</v>
      </c>
    </row>
    <row r="224" spans="1:6">
      <c r="A224" s="91" t="s">
        <v>285</v>
      </c>
      <c r="B224" s="95" t="s">
        <v>2333</v>
      </c>
      <c r="C224" s="96"/>
      <c r="D224" s="105"/>
      <c r="E224" s="105"/>
      <c r="F224" s="97">
        <v>0.15</v>
      </c>
    </row>
    <row r="225" spans="1:6">
      <c r="A225" s="91" t="s">
        <v>285</v>
      </c>
      <c r="B225" s="95" t="s">
        <v>2342</v>
      </c>
      <c r="C225" s="96">
        <v>0.15</v>
      </c>
      <c r="D225" s="96">
        <v>0.15</v>
      </c>
      <c r="E225" s="96">
        <v>0.15</v>
      </c>
      <c r="F225" s="97">
        <v>0.15</v>
      </c>
    </row>
    <row r="226" spans="1:6">
      <c r="A226" s="91" t="s">
        <v>285</v>
      </c>
      <c r="B226" s="95" t="s">
        <v>2350</v>
      </c>
      <c r="C226" s="96">
        <v>0.15</v>
      </c>
      <c r="D226" s="96">
        <v>0.15</v>
      </c>
      <c r="E226" s="96">
        <v>0.15</v>
      </c>
      <c r="F226" s="97">
        <v>0.14799999999999999</v>
      </c>
    </row>
    <row r="227" spans="1:6">
      <c r="A227" s="91" t="s">
        <v>285</v>
      </c>
      <c r="B227" s="95" t="s">
        <v>2358</v>
      </c>
      <c r="C227" s="96">
        <v>0.15</v>
      </c>
      <c r="D227" s="96">
        <v>0.15</v>
      </c>
      <c r="E227" s="96">
        <v>0.15</v>
      </c>
      <c r="F227" s="97">
        <v>0.15</v>
      </c>
    </row>
    <row r="228" spans="1:6">
      <c r="A228" s="91" t="s">
        <v>285</v>
      </c>
      <c r="B228" s="95" t="s">
        <v>2365</v>
      </c>
      <c r="C228" s="96">
        <v>0.15</v>
      </c>
      <c r="D228" s="96">
        <v>0.15</v>
      </c>
      <c r="E228" s="96">
        <v>0.15</v>
      </c>
      <c r="F228" s="97">
        <v>0.15</v>
      </c>
    </row>
    <row r="229" spans="1:6">
      <c r="A229" s="91" t="s">
        <v>285</v>
      </c>
      <c r="B229" s="95" t="s">
        <v>2372</v>
      </c>
      <c r="C229" s="96">
        <v>0.15</v>
      </c>
      <c r="D229" s="96">
        <v>0.15</v>
      </c>
      <c r="E229" s="96">
        <v>0.15</v>
      </c>
      <c r="F229" s="104"/>
    </row>
    <row r="230" spans="1:6">
      <c r="A230" s="91" t="s">
        <v>285</v>
      </c>
      <c r="B230" s="95" t="s">
        <v>2379</v>
      </c>
      <c r="C230" s="96">
        <v>0.14499999999999999</v>
      </c>
      <c r="D230" s="96">
        <v>0.14499999999999999</v>
      </c>
      <c r="E230" s="96">
        <v>0.14399999999999999</v>
      </c>
      <c r="F230" s="104"/>
    </row>
    <row r="231" spans="1:6">
      <c r="A231" s="91" t="s">
        <v>285</v>
      </c>
      <c r="B231" s="95" t="s">
        <v>2386</v>
      </c>
      <c r="C231" s="96">
        <v>0.128</v>
      </c>
      <c r="D231" s="96">
        <v>0.125</v>
      </c>
      <c r="E231" s="96">
        <v>0.13200000000000001</v>
      </c>
      <c r="F231" s="104"/>
    </row>
    <row r="232" spans="1:6">
      <c r="A232" s="91" t="s">
        <v>285</v>
      </c>
      <c r="B232" s="95" t="s">
        <v>2393</v>
      </c>
      <c r="C232" s="96">
        <v>0.14499999999999999</v>
      </c>
      <c r="D232" s="96">
        <v>0.14399999999999999</v>
      </c>
      <c r="E232" s="96">
        <v>0.14599999999999999</v>
      </c>
      <c r="F232" s="97">
        <v>0.13800000000000001</v>
      </c>
    </row>
    <row r="233" spans="1:6">
      <c r="A233" s="91" t="s">
        <v>285</v>
      </c>
      <c r="B233" s="95" t="s">
        <v>2398</v>
      </c>
      <c r="C233" s="96">
        <v>0.14499999999999999</v>
      </c>
      <c r="D233" s="96">
        <v>0.14299999999999999</v>
      </c>
      <c r="E233" s="96">
        <v>0.14199999999999999</v>
      </c>
      <c r="F233" s="104"/>
    </row>
    <row r="234" spans="1:6">
      <c r="A234" s="91" t="s">
        <v>285</v>
      </c>
      <c r="B234" s="95" t="s">
        <v>2476</v>
      </c>
      <c r="C234" s="96">
        <v>0.14000000000000001</v>
      </c>
      <c r="D234" s="96">
        <v>0.14000000000000001</v>
      </c>
      <c r="E234" s="96">
        <v>0.14399999999999999</v>
      </c>
      <c r="F234" s="104"/>
    </row>
    <row r="235" spans="1:6">
      <c r="A235" s="91" t="s">
        <v>285</v>
      </c>
      <c r="B235" s="95" t="s">
        <v>2408</v>
      </c>
      <c r="C235" s="96">
        <v>0.14099999999999999</v>
      </c>
      <c r="D235" s="96">
        <v>0.14199999999999999</v>
      </c>
      <c r="E235" s="96">
        <v>0.14499999999999999</v>
      </c>
      <c r="F235" s="97">
        <v>0.15</v>
      </c>
    </row>
    <row r="236" spans="1:6">
      <c r="A236" s="91" t="s">
        <v>285</v>
      </c>
      <c r="B236" s="95" t="s">
        <v>2413</v>
      </c>
      <c r="C236" s="105"/>
      <c r="D236" s="105"/>
      <c r="E236" s="105"/>
      <c r="F236" s="97">
        <v>0.14299999999999999</v>
      </c>
    </row>
    <row r="237" spans="1:6" ht="24">
      <c r="A237" s="91" t="s">
        <v>285</v>
      </c>
      <c r="B237" s="95" t="s">
        <v>2418</v>
      </c>
      <c r="C237" s="105"/>
      <c r="D237" s="105"/>
      <c r="E237" s="105"/>
      <c r="F237" s="97">
        <v>0.05</v>
      </c>
    </row>
    <row r="238" spans="1:6" ht="24">
      <c r="A238" s="91" t="s">
        <v>285</v>
      </c>
      <c r="B238" s="95" t="s">
        <v>2423</v>
      </c>
      <c r="C238" s="105"/>
      <c r="D238" s="105"/>
      <c r="E238" s="105"/>
      <c r="F238" s="97">
        <v>0.05</v>
      </c>
    </row>
    <row r="239" spans="1:6" ht="24">
      <c r="A239" s="91" t="s">
        <v>285</v>
      </c>
      <c r="B239" s="95" t="s">
        <v>2428</v>
      </c>
      <c r="C239" s="105"/>
      <c r="D239" s="105"/>
      <c r="E239" s="105"/>
      <c r="F239" s="97">
        <v>0.05</v>
      </c>
    </row>
    <row r="240" spans="1:6" ht="24">
      <c r="A240" s="91" t="s">
        <v>285</v>
      </c>
      <c r="B240" s="95" t="s">
        <v>2432</v>
      </c>
      <c r="C240" s="105"/>
      <c r="D240" s="105"/>
      <c r="E240" s="105"/>
      <c r="F240" s="97">
        <v>0.05</v>
      </c>
    </row>
    <row r="241" spans="1:6" ht="24">
      <c r="A241" s="91" t="s">
        <v>285</v>
      </c>
      <c r="B241" s="95" t="s">
        <v>2436</v>
      </c>
      <c r="C241" s="105"/>
      <c r="D241" s="105"/>
      <c r="E241" s="105"/>
      <c r="F241" s="97">
        <v>0.05</v>
      </c>
    </row>
    <row r="242" spans="1:6" ht="24">
      <c r="A242" s="91" t="s">
        <v>285</v>
      </c>
      <c r="B242" s="95" t="s">
        <v>2440</v>
      </c>
      <c r="C242" s="105"/>
      <c r="D242" s="105"/>
      <c r="E242" s="105"/>
      <c r="F242" s="97">
        <v>0.05</v>
      </c>
    </row>
    <row r="243" spans="1:6" ht="24">
      <c r="A243" s="91" t="s">
        <v>285</v>
      </c>
      <c r="B243" s="95" t="s">
        <v>2444</v>
      </c>
      <c r="C243" s="105"/>
      <c r="D243" s="105"/>
      <c r="E243" s="105"/>
      <c r="F243" s="97">
        <v>0.05</v>
      </c>
    </row>
    <row r="244" spans="1:6" ht="24">
      <c r="A244" s="99" t="s">
        <v>285</v>
      </c>
      <c r="B244" s="106" t="s">
        <v>2448</v>
      </c>
      <c r="C244" s="102"/>
      <c r="D244" s="102"/>
      <c r="E244" s="102"/>
      <c r="F244" s="107">
        <v>0.05</v>
      </c>
    </row>
    <row r="245" spans="1:6">
      <c r="A245" s="91" t="s">
        <v>288</v>
      </c>
      <c r="B245" s="92" t="s">
        <v>2140</v>
      </c>
      <c r="C245" s="93">
        <v>0.15</v>
      </c>
      <c r="D245" s="93">
        <v>0.15</v>
      </c>
      <c r="E245" s="93">
        <v>0.15</v>
      </c>
      <c r="F245" s="94">
        <v>0.14299999999999999</v>
      </c>
    </row>
    <row r="246" spans="1:6">
      <c r="A246" s="91" t="s">
        <v>288</v>
      </c>
      <c r="B246" s="95" t="s">
        <v>2153</v>
      </c>
      <c r="C246" s="96">
        <v>0.15</v>
      </c>
      <c r="D246" s="96">
        <v>0.15</v>
      </c>
      <c r="E246" s="96">
        <v>0.15</v>
      </c>
      <c r="F246" s="97">
        <v>0.114</v>
      </c>
    </row>
    <row r="247" spans="1:6">
      <c r="A247" s="91" t="s">
        <v>288</v>
      </c>
      <c r="B247" s="95" t="s">
        <v>2167</v>
      </c>
      <c r="C247" s="96">
        <v>0.15</v>
      </c>
      <c r="D247" s="96">
        <v>0.15</v>
      </c>
      <c r="E247" s="96">
        <v>0.15</v>
      </c>
      <c r="F247" s="97">
        <v>0.15</v>
      </c>
    </row>
    <row r="248" spans="1:6">
      <c r="A248" s="91" t="s">
        <v>288</v>
      </c>
      <c r="B248" s="95" t="s">
        <v>2179</v>
      </c>
      <c r="C248" s="96">
        <v>0.15</v>
      </c>
      <c r="D248" s="96">
        <v>0.15</v>
      </c>
      <c r="E248" s="96">
        <v>0.15</v>
      </c>
      <c r="F248" s="97">
        <v>0.14000000000000001</v>
      </c>
    </row>
    <row r="249" spans="1:6">
      <c r="A249" s="91" t="s">
        <v>288</v>
      </c>
      <c r="B249" s="95" t="s">
        <v>2191</v>
      </c>
      <c r="C249" s="96">
        <v>0.15</v>
      </c>
      <c r="D249" s="96">
        <v>0.14899999999999999</v>
      </c>
      <c r="E249" s="96">
        <v>0.15</v>
      </c>
      <c r="F249" s="97">
        <v>0.1</v>
      </c>
    </row>
    <row r="250" spans="1:6">
      <c r="A250" s="91" t="s">
        <v>288</v>
      </c>
      <c r="B250" s="95" t="s">
        <v>2202</v>
      </c>
      <c r="C250" s="96">
        <v>0.15</v>
      </c>
      <c r="D250" s="96">
        <v>0.15</v>
      </c>
      <c r="E250" s="96">
        <v>0.15</v>
      </c>
      <c r="F250" s="97">
        <v>0.14399999999999999</v>
      </c>
    </row>
    <row r="251" spans="1:6">
      <c r="A251" s="91" t="s">
        <v>288</v>
      </c>
      <c r="B251" s="95" t="s">
        <v>2213</v>
      </c>
      <c r="C251" s="96">
        <v>0.15</v>
      </c>
      <c r="D251" s="96">
        <v>0.15</v>
      </c>
      <c r="E251" s="96">
        <v>0.15</v>
      </c>
      <c r="F251" s="97">
        <v>0.14299999999999999</v>
      </c>
    </row>
    <row r="252" spans="1:6">
      <c r="A252" s="91" t="s">
        <v>288</v>
      </c>
      <c r="B252" s="95" t="s">
        <v>2224</v>
      </c>
      <c r="C252" s="96">
        <v>0.15</v>
      </c>
      <c r="D252" s="96">
        <v>0.15</v>
      </c>
      <c r="E252" s="96">
        <v>0.15</v>
      </c>
      <c r="F252" s="97">
        <v>0.1</v>
      </c>
    </row>
    <row r="253" spans="1:6">
      <c r="A253" s="91" t="s">
        <v>288</v>
      </c>
      <c r="B253" s="95" t="s">
        <v>2234</v>
      </c>
      <c r="C253" s="96">
        <v>0.15</v>
      </c>
      <c r="D253" s="96">
        <v>0.15</v>
      </c>
      <c r="E253" s="96">
        <v>0.15</v>
      </c>
      <c r="F253" s="97">
        <v>0.1</v>
      </c>
    </row>
    <row r="254" spans="1:6">
      <c r="A254" s="91" t="s">
        <v>288</v>
      </c>
      <c r="B254" s="95" t="s">
        <v>2244</v>
      </c>
      <c r="C254" s="105"/>
      <c r="D254" s="105"/>
      <c r="E254" s="105"/>
      <c r="F254" s="97">
        <v>0.15</v>
      </c>
    </row>
    <row r="255" spans="1:6">
      <c r="A255" s="91" t="s">
        <v>288</v>
      </c>
      <c r="B255" s="95" t="s">
        <v>2254</v>
      </c>
      <c r="C255" s="105"/>
      <c r="D255" s="105"/>
      <c r="E255" s="105"/>
      <c r="F255" s="97">
        <v>0.14299999999999999</v>
      </c>
    </row>
    <row r="256" spans="1:6">
      <c r="A256" s="91" t="s">
        <v>288</v>
      </c>
      <c r="B256" s="95" t="s">
        <v>2264</v>
      </c>
      <c r="C256" s="96">
        <v>0.14599999999999999</v>
      </c>
      <c r="D256" s="96">
        <v>0.14699999999999999</v>
      </c>
      <c r="E256" s="96">
        <v>0.15</v>
      </c>
      <c r="F256" s="97">
        <v>0.13200000000000001</v>
      </c>
    </row>
    <row r="257" spans="1:6">
      <c r="A257" s="91" t="s">
        <v>288</v>
      </c>
      <c r="B257" s="95" t="s">
        <v>2274</v>
      </c>
      <c r="C257" s="96">
        <v>0.15</v>
      </c>
      <c r="D257" s="96">
        <v>0.15</v>
      </c>
      <c r="E257" s="96">
        <v>0.15</v>
      </c>
      <c r="F257" s="97">
        <v>0.13900000000000001</v>
      </c>
    </row>
    <row r="258" spans="1:6">
      <c r="A258" s="91" t="s">
        <v>288</v>
      </c>
      <c r="B258" s="95" t="s">
        <v>2284</v>
      </c>
      <c r="C258" s="96">
        <v>0.15</v>
      </c>
      <c r="D258" s="96">
        <v>0.15</v>
      </c>
      <c r="E258" s="96">
        <v>0.15</v>
      </c>
      <c r="F258" s="97">
        <v>0.13</v>
      </c>
    </row>
    <row r="259" spans="1:6">
      <c r="A259" s="91" t="s">
        <v>288</v>
      </c>
      <c r="B259" s="95" t="s">
        <v>2294</v>
      </c>
      <c r="C259" s="96">
        <v>0.14799999999999999</v>
      </c>
      <c r="D259" s="96">
        <v>0.14899999999999999</v>
      </c>
      <c r="E259" s="96">
        <v>0.15</v>
      </c>
      <c r="F259" s="97">
        <v>0.13700000000000001</v>
      </c>
    </row>
    <row r="260" spans="1:6">
      <c r="A260" s="91" t="s">
        <v>288</v>
      </c>
      <c r="B260" s="95" t="s">
        <v>2304</v>
      </c>
      <c r="C260" s="96">
        <v>0.15</v>
      </c>
      <c r="D260" s="96">
        <v>0.15</v>
      </c>
      <c r="E260" s="96">
        <v>0.15</v>
      </c>
      <c r="F260" s="97">
        <v>0.14199999999999999</v>
      </c>
    </row>
    <row r="261" spans="1:6">
      <c r="A261" s="91" t="s">
        <v>288</v>
      </c>
      <c r="B261" s="95" t="s">
        <v>2314</v>
      </c>
      <c r="C261" s="96">
        <v>0.15</v>
      </c>
      <c r="D261" s="96">
        <v>0.15</v>
      </c>
      <c r="E261" s="96">
        <v>0.14899999999999999</v>
      </c>
      <c r="F261" s="97">
        <v>0.14799999999999999</v>
      </c>
    </row>
    <row r="262" spans="1:6">
      <c r="A262" s="91" t="s">
        <v>288</v>
      </c>
      <c r="B262" s="95" t="s">
        <v>2324</v>
      </c>
      <c r="C262" s="96">
        <v>0.15</v>
      </c>
      <c r="D262" s="96">
        <v>0.15</v>
      </c>
      <c r="E262" s="96">
        <v>0.15</v>
      </c>
      <c r="F262" s="104"/>
    </row>
    <row r="263" spans="1:6">
      <c r="A263" s="91" t="s">
        <v>288</v>
      </c>
      <c r="B263" s="95" t="s">
        <v>2334</v>
      </c>
      <c r="C263" s="96">
        <v>0.14899999999999999</v>
      </c>
      <c r="D263" s="96">
        <v>0.14899999999999999</v>
      </c>
      <c r="E263" s="96">
        <v>0.15</v>
      </c>
      <c r="F263" s="97">
        <v>0.13</v>
      </c>
    </row>
    <row r="264" spans="1:6">
      <c r="A264" s="91" t="s">
        <v>288</v>
      </c>
      <c r="B264" s="95" t="s">
        <v>2343</v>
      </c>
      <c r="C264" s="96">
        <v>0.14799999999999999</v>
      </c>
      <c r="D264" s="96">
        <v>0.14699999999999999</v>
      </c>
      <c r="E264" s="96">
        <v>0.15</v>
      </c>
      <c r="F264" s="97">
        <v>7.8E-2</v>
      </c>
    </row>
    <row r="265" spans="1:6">
      <c r="A265" s="91" t="s">
        <v>288</v>
      </c>
      <c r="B265" s="95" t="s">
        <v>2351</v>
      </c>
      <c r="C265" s="96">
        <v>0.15</v>
      </c>
      <c r="D265" s="96">
        <v>0.15</v>
      </c>
      <c r="E265" s="96">
        <v>0.15</v>
      </c>
      <c r="F265" s="97">
        <v>7.3999999999999996E-2</v>
      </c>
    </row>
    <row r="266" spans="1:6">
      <c r="A266" s="91" t="s">
        <v>288</v>
      </c>
      <c r="B266" s="95" t="s">
        <v>2359</v>
      </c>
      <c r="C266" s="96">
        <v>0.14699999999999999</v>
      </c>
      <c r="D266" s="96">
        <v>0.14699999999999999</v>
      </c>
      <c r="E266" s="96">
        <v>0.15</v>
      </c>
      <c r="F266" s="97">
        <v>0.14299999999999999</v>
      </c>
    </row>
    <row r="267" spans="1:6">
      <c r="A267" s="91" t="s">
        <v>288</v>
      </c>
      <c r="B267" s="95" t="s">
        <v>2366</v>
      </c>
      <c r="C267" s="96">
        <v>0.14199999999999999</v>
      </c>
      <c r="D267" s="96">
        <v>0.14299999999999999</v>
      </c>
      <c r="E267" s="96">
        <v>0.15</v>
      </c>
      <c r="F267" s="104"/>
    </row>
    <row r="268" spans="1:6">
      <c r="A268" s="91" t="s">
        <v>288</v>
      </c>
      <c r="B268" s="95" t="s">
        <v>2373</v>
      </c>
      <c r="C268" s="96">
        <v>0.15</v>
      </c>
      <c r="D268" s="96">
        <v>0.15</v>
      </c>
      <c r="E268" s="96">
        <v>0.15</v>
      </c>
      <c r="F268" s="97">
        <v>0.13</v>
      </c>
    </row>
    <row r="269" spans="1:6">
      <c r="A269" s="91" t="s">
        <v>288</v>
      </c>
      <c r="B269" s="95" t="s">
        <v>2380</v>
      </c>
      <c r="C269" s="96">
        <v>0.15</v>
      </c>
      <c r="D269" s="96">
        <v>0.15</v>
      </c>
      <c r="E269" s="96">
        <v>0.15</v>
      </c>
      <c r="F269" s="97">
        <v>0.14299999999999999</v>
      </c>
    </row>
    <row r="270" spans="1:6">
      <c r="A270" s="91" t="s">
        <v>288</v>
      </c>
      <c r="B270" s="95" t="s">
        <v>2387</v>
      </c>
      <c r="C270" s="96">
        <v>0.14499999999999999</v>
      </c>
      <c r="D270" s="96">
        <v>0.14499999999999999</v>
      </c>
      <c r="E270" s="96">
        <v>0.15</v>
      </c>
      <c r="F270" s="97">
        <v>0.14699999999999999</v>
      </c>
    </row>
    <row r="271" spans="1:6">
      <c r="A271" s="91" t="s">
        <v>288</v>
      </c>
      <c r="B271" s="95" t="s">
        <v>2394</v>
      </c>
      <c r="C271" s="96">
        <v>0.15</v>
      </c>
      <c r="D271" s="96">
        <v>0.15</v>
      </c>
      <c r="E271" s="96">
        <v>0.15</v>
      </c>
      <c r="F271" s="97">
        <v>0.13800000000000001</v>
      </c>
    </row>
    <row r="272" spans="1:6">
      <c r="A272" s="91" t="s">
        <v>288</v>
      </c>
      <c r="B272" s="95" t="s">
        <v>2399</v>
      </c>
      <c r="C272" s="105"/>
      <c r="D272" s="105"/>
      <c r="E272" s="105"/>
      <c r="F272" s="97">
        <v>0.14000000000000001</v>
      </c>
    </row>
    <row r="273" spans="1:6">
      <c r="A273" s="91" t="s">
        <v>288</v>
      </c>
      <c r="B273" s="95" t="s">
        <v>2404</v>
      </c>
      <c r="C273" s="96">
        <v>0.14199999999999999</v>
      </c>
      <c r="D273" s="96">
        <v>0.14299999999999999</v>
      </c>
      <c r="E273" s="96">
        <v>0.15</v>
      </c>
      <c r="F273" s="97">
        <v>0.1</v>
      </c>
    </row>
    <row r="274" spans="1:6">
      <c r="A274" s="91" t="s">
        <v>288</v>
      </c>
      <c r="B274" s="95" t="s">
        <v>2409</v>
      </c>
      <c r="C274" s="96">
        <v>0.14799999999999999</v>
      </c>
      <c r="D274" s="96">
        <v>0.14799999999999999</v>
      </c>
      <c r="E274" s="96">
        <v>0.15</v>
      </c>
      <c r="F274" s="97">
        <v>6.7000000000000004E-2</v>
      </c>
    </row>
    <row r="275" spans="1:6">
      <c r="A275" s="91" t="s">
        <v>288</v>
      </c>
      <c r="B275" s="95" t="s">
        <v>2414</v>
      </c>
      <c r="C275" s="96">
        <v>0.15</v>
      </c>
      <c r="D275" s="96">
        <v>0.15</v>
      </c>
      <c r="E275" s="96">
        <v>0.15</v>
      </c>
      <c r="F275" s="97">
        <v>0.15</v>
      </c>
    </row>
    <row r="276" spans="1:6">
      <c r="A276" s="91" t="s">
        <v>288</v>
      </c>
      <c r="B276" s="95" t="s">
        <v>2419</v>
      </c>
      <c r="C276" s="96">
        <v>0.14499999999999999</v>
      </c>
      <c r="D276" s="96">
        <v>0.14299999999999999</v>
      </c>
      <c r="E276" s="96">
        <v>0.15</v>
      </c>
      <c r="F276" s="97">
        <v>5.8999999999999997E-2</v>
      </c>
    </row>
    <row r="277" spans="1:6">
      <c r="A277" s="91" t="s">
        <v>288</v>
      </c>
      <c r="B277" s="95" t="s">
        <v>2424</v>
      </c>
      <c r="C277" s="96">
        <v>0.15</v>
      </c>
      <c r="D277" s="96">
        <v>0.15</v>
      </c>
      <c r="E277" s="96">
        <v>0.15</v>
      </c>
      <c r="F277" s="97">
        <v>0.121</v>
      </c>
    </row>
    <row r="278" spans="1:6">
      <c r="A278" s="91" t="s">
        <v>288</v>
      </c>
      <c r="B278" s="95" t="s">
        <v>2429</v>
      </c>
      <c r="C278" s="96">
        <v>0.15</v>
      </c>
      <c r="D278" s="96">
        <v>0.15</v>
      </c>
      <c r="E278" s="96">
        <v>0.15</v>
      </c>
      <c r="F278" s="97">
        <v>0.13800000000000001</v>
      </c>
    </row>
    <row r="279" spans="1:6" ht="24">
      <c r="A279" s="91" t="s">
        <v>288</v>
      </c>
      <c r="B279" s="95" t="s">
        <v>2433</v>
      </c>
      <c r="C279" s="105"/>
      <c r="D279" s="105"/>
      <c r="E279" s="105"/>
      <c r="F279" s="97">
        <v>0.05</v>
      </c>
    </row>
    <row r="280" spans="1:6" ht="24">
      <c r="A280" s="91" t="s">
        <v>288</v>
      </c>
      <c r="B280" s="95" t="s">
        <v>2437</v>
      </c>
      <c r="C280" s="105"/>
      <c r="D280" s="105"/>
      <c r="E280" s="105"/>
      <c r="F280" s="97">
        <v>0.05</v>
      </c>
    </row>
    <row r="281" spans="1:6" ht="24">
      <c r="A281" s="91" t="s">
        <v>288</v>
      </c>
      <c r="B281" s="95" t="s">
        <v>2441</v>
      </c>
      <c r="C281" s="105"/>
      <c r="D281" s="105"/>
      <c r="E281" s="105"/>
      <c r="F281" s="97">
        <v>0.05</v>
      </c>
    </row>
    <row r="282" spans="1:6" ht="24">
      <c r="A282" s="91" t="s">
        <v>288</v>
      </c>
      <c r="B282" s="95" t="s">
        <v>2445</v>
      </c>
      <c r="C282" s="105"/>
      <c r="D282" s="105"/>
      <c r="E282" s="105"/>
      <c r="F282" s="97">
        <v>0.05</v>
      </c>
    </row>
    <row r="283" spans="1:6" ht="24">
      <c r="A283" s="91" t="s">
        <v>288</v>
      </c>
      <c r="B283" s="95" t="s">
        <v>2449</v>
      </c>
      <c r="C283" s="105"/>
      <c r="D283" s="105"/>
      <c r="E283" s="105"/>
      <c r="F283" s="97">
        <v>0.05</v>
      </c>
    </row>
    <row r="284" spans="1:6" ht="24">
      <c r="A284" s="91" t="s">
        <v>288</v>
      </c>
      <c r="B284" s="95" t="s">
        <v>2452</v>
      </c>
      <c r="C284" s="105"/>
      <c r="D284" s="105"/>
      <c r="E284" s="105"/>
      <c r="F284" s="97">
        <v>0.05</v>
      </c>
    </row>
    <row r="285" spans="1:6" ht="24">
      <c r="A285" s="91" t="s">
        <v>288</v>
      </c>
      <c r="B285" s="95" t="s">
        <v>2455</v>
      </c>
      <c r="C285" s="105"/>
      <c r="D285" s="105"/>
      <c r="E285" s="105"/>
      <c r="F285" s="97">
        <v>0.05</v>
      </c>
    </row>
    <row r="286" spans="1:6" ht="24">
      <c r="A286" s="91" t="s">
        <v>288</v>
      </c>
      <c r="B286" s="95" t="s">
        <v>2458</v>
      </c>
      <c r="C286" s="105"/>
      <c r="D286" s="105"/>
      <c r="E286" s="105"/>
      <c r="F286" s="97">
        <v>0.05</v>
      </c>
    </row>
    <row r="287" spans="1:6" ht="24">
      <c r="A287" s="91" t="s">
        <v>288</v>
      </c>
      <c r="B287" s="95" t="s">
        <v>2461</v>
      </c>
      <c r="C287" s="105"/>
      <c r="D287" s="105"/>
      <c r="E287" s="105"/>
      <c r="F287" s="97">
        <v>0.05</v>
      </c>
    </row>
    <row r="288" spans="1:6" ht="24">
      <c r="A288" s="91" t="s">
        <v>288</v>
      </c>
      <c r="B288" s="95" t="s">
        <v>2464</v>
      </c>
      <c r="C288" s="105"/>
      <c r="D288" s="105"/>
      <c r="E288" s="105"/>
      <c r="F288" s="97">
        <v>0.05</v>
      </c>
    </row>
    <row r="289" spans="1:6" ht="24">
      <c r="A289" s="99" t="s">
        <v>288</v>
      </c>
      <c r="B289" s="106" t="s">
        <v>2467</v>
      </c>
      <c r="C289" s="102"/>
      <c r="D289" s="102"/>
      <c r="E289" s="102"/>
      <c r="F289" s="107">
        <v>0.05</v>
      </c>
    </row>
    <row r="290" spans="1:6">
      <c r="A290" s="91" t="s">
        <v>291</v>
      </c>
      <c r="B290" s="92" t="s">
        <v>2141</v>
      </c>
      <c r="C290" s="93">
        <v>0.15</v>
      </c>
      <c r="D290" s="93">
        <v>0.15</v>
      </c>
      <c r="E290" s="93">
        <v>0.15</v>
      </c>
      <c r="F290" s="115"/>
    </row>
    <row r="291" spans="1:6">
      <c r="A291" s="91" t="s">
        <v>291</v>
      </c>
      <c r="B291" s="95" t="s">
        <v>2154</v>
      </c>
      <c r="C291" s="96">
        <v>0.15</v>
      </c>
      <c r="D291" s="96">
        <v>0.15</v>
      </c>
      <c r="E291" s="96">
        <v>0.15</v>
      </c>
      <c r="F291" s="104"/>
    </row>
    <row r="292" spans="1:6">
      <c r="A292" s="91" t="s">
        <v>291</v>
      </c>
      <c r="B292" s="95" t="s">
        <v>2168</v>
      </c>
      <c r="C292" s="96">
        <v>0.15</v>
      </c>
      <c r="D292" s="96">
        <v>0.15</v>
      </c>
      <c r="E292" s="96">
        <v>0.15</v>
      </c>
      <c r="F292" s="97">
        <v>0.14699999999999999</v>
      </c>
    </row>
    <row r="293" spans="1:6">
      <c r="A293" s="91" t="s">
        <v>291</v>
      </c>
      <c r="B293" s="95" t="s">
        <v>2474</v>
      </c>
      <c r="C293" s="105"/>
      <c r="D293" s="105"/>
      <c r="E293" s="105"/>
      <c r="F293" s="97">
        <v>0.1</v>
      </c>
    </row>
    <row r="294" spans="1:6">
      <c r="A294" s="91" t="s">
        <v>291</v>
      </c>
      <c r="B294" s="95" t="s">
        <v>2180</v>
      </c>
      <c r="C294" s="96">
        <v>0.15</v>
      </c>
      <c r="D294" s="96">
        <v>0.15</v>
      </c>
      <c r="E294" s="96">
        <v>0.15</v>
      </c>
      <c r="F294" s="97">
        <v>0.15</v>
      </c>
    </row>
    <row r="295" spans="1:6">
      <c r="A295" s="91" t="s">
        <v>291</v>
      </c>
      <c r="B295" s="95" t="s">
        <v>2192</v>
      </c>
      <c r="C295" s="96">
        <v>0.15</v>
      </c>
      <c r="D295" s="96">
        <v>0.15</v>
      </c>
      <c r="E295" s="96">
        <v>0.15</v>
      </c>
      <c r="F295" s="97">
        <v>0.15</v>
      </c>
    </row>
    <row r="296" spans="1:6">
      <c r="A296" s="91" t="s">
        <v>291</v>
      </c>
      <c r="B296" s="95" t="s">
        <v>2203</v>
      </c>
      <c r="C296" s="96">
        <v>0.15</v>
      </c>
      <c r="D296" s="96">
        <v>0.15</v>
      </c>
      <c r="E296" s="96">
        <v>0.15</v>
      </c>
      <c r="F296" s="97">
        <v>0.15</v>
      </c>
    </row>
    <row r="297" spans="1:6">
      <c r="A297" s="91" t="s">
        <v>291</v>
      </c>
      <c r="B297" s="95" t="s">
        <v>2214</v>
      </c>
      <c r="C297" s="96">
        <v>0.14799999999999999</v>
      </c>
      <c r="D297" s="96">
        <v>0.14899999999999999</v>
      </c>
      <c r="E297" s="96">
        <v>0.15</v>
      </c>
      <c r="F297" s="97">
        <v>0.13700000000000001</v>
      </c>
    </row>
    <row r="298" spans="1:6">
      <c r="A298" s="91" t="s">
        <v>291</v>
      </c>
      <c r="B298" s="95" t="s">
        <v>2225</v>
      </c>
      <c r="C298" s="96">
        <v>0.13400000000000001</v>
      </c>
      <c r="D298" s="96">
        <v>0.13400000000000001</v>
      </c>
      <c r="E298" s="96">
        <v>0.14499999999999999</v>
      </c>
      <c r="F298" s="97">
        <v>0.14799999999999999</v>
      </c>
    </row>
    <row r="299" spans="1:6">
      <c r="A299" s="91" t="s">
        <v>291</v>
      </c>
      <c r="B299" s="95" t="s">
        <v>2235</v>
      </c>
      <c r="C299" s="96">
        <v>0.15</v>
      </c>
      <c r="D299" s="96">
        <v>0.15</v>
      </c>
      <c r="E299" s="96">
        <v>0.15</v>
      </c>
      <c r="F299" s="104"/>
    </row>
    <row r="300" spans="1:6">
      <c r="A300" s="91" t="s">
        <v>291</v>
      </c>
      <c r="B300" s="95" t="s">
        <v>2245</v>
      </c>
      <c r="C300" s="96">
        <v>0.15</v>
      </c>
      <c r="D300" s="96">
        <v>0.15</v>
      </c>
      <c r="E300" s="96">
        <v>0.15</v>
      </c>
      <c r="F300" s="97">
        <v>0.15</v>
      </c>
    </row>
    <row r="301" spans="1:6">
      <c r="A301" s="91" t="s">
        <v>291</v>
      </c>
      <c r="B301" s="95" t="s">
        <v>2255</v>
      </c>
      <c r="C301" s="96">
        <v>0.15</v>
      </c>
      <c r="D301" s="96">
        <v>0.15</v>
      </c>
      <c r="E301" s="96">
        <v>0.15</v>
      </c>
      <c r="F301" s="104"/>
    </row>
    <row r="302" spans="1:6">
      <c r="A302" s="91" t="s">
        <v>291</v>
      </c>
      <c r="B302" s="95" t="s">
        <v>2265</v>
      </c>
      <c r="C302" s="96">
        <v>0.15</v>
      </c>
      <c r="D302" s="96">
        <v>0.15</v>
      </c>
      <c r="E302" s="96">
        <v>0.15</v>
      </c>
      <c r="F302" s="97">
        <v>0.15</v>
      </c>
    </row>
    <row r="303" spans="1:6">
      <c r="A303" s="91" t="s">
        <v>291</v>
      </c>
      <c r="B303" s="95" t="s">
        <v>2275</v>
      </c>
      <c r="C303" s="96">
        <v>0.15</v>
      </c>
      <c r="D303" s="96">
        <v>0.15</v>
      </c>
      <c r="E303" s="96">
        <v>0.15</v>
      </c>
      <c r="F303" s="97">
        <v>0.15</v>
      </c>
    </row>
    <row r="304" spans="1:6">
      <c r="A304" s="91" t="s">
        <v>291</v>
      </c>
      <c r="B304" s="95" t="s">
        <v>2285</v>
      </c>
      <c r="C304" s="96">
        <v>0.15</v>
      </c>
      <c r="D304" s="96">
        <v>0.15</v>
      </c>
      <c r="E304" s="96">
        <v>0.15</v>
      </c>
      <c r="F304" s="104"/>
    </row>
    <row r="305" spans="1:6">
      <c r="A305" s="91" t="s">
        <v>291</v>
      </c>
      <c r="B305" s="95" t="s">
        <v>2295</v>
      </c>
      <c r="C305" s="96">
        <v>0.15</v>
      </c>
      <c r="D305" s="96">
        <v>0.15</v>
      </c>
      <c r="E305" s="96">
        <v>0.15</v>
      </c>
      <c r="F305" s="97">
        <v>0.14000000000000001</v>
      </c>
    </row>
    <row r="306" spans="1:6">
      <c r="A306" s="91" t="s">
        <v>291</v>
      </c>
      <c r="B306" s="95" t="s">
        <v>2305</v>
      </c>
      <c r="C306" s="96">
        <v>0.15</v>
      </c>
      <c r="D306" s="96">
        <v>0.15</v>
      </c>
      <c r="E306" s="96">
        <v>0.15</v>
      </c>
      <c r="F306" s="104"/>
    </row>
    <row r="307" spans="1:6">
      <c r="A307" s="91" t="s">
        <v>291</v>
      </c>
      <c r="B307" s="95" t="s">
        <v>2315</v>
      </c>
      <c r="C307" s="96">
        <v>0.15</v>
      </c>
      <c r="D307" s="96">
        <v>0.15</v>
      </c>
      <c r="E307" s="96">
        <v>0.15</v>
      </c>
      <c r="F307" s="97">
        <v>0.14299999999999999</v>
      </c>
    </row>
    <row r="308" spans="1:6">
      <c r="A308" s="91" t="s">
        <v>291</v>
      </c>
      <c r="B308" s="95" t="s">
        <v>2325</v>
      </c>
      <c r="C308" s="96">
        <v>0.15</v>
      </c>
      <c r="D308" s="96">
        <v>0.15</v>
      </c>
      <c r="E308" s="96">
        <v>0.15</v>
      </c>
      <c r="F308" s="97">
        <v>0.15</v>
      </c>
    </row>
    <row r="309" spans="1:6">
      <c r="A309" s="91" t="s">
        <v>291</v>
      </c>
      <c r="B309" s="95" t="s">
        <v>2335</v>
      </c>
      <c r="C309" s="96">
        <v>0.15</v>
      </c>
      <c r="D309" s="96">
        <v>0.15</v>
      </c>
      <c r="E309" s="96">
        <v>0.15</v>
      </c>
      <c r="F309" s="104"/>
    </row>
    <row r="310" spans="1:6">
      <c r="A310" s="91" t="s">
        <v>291</v>
      </c>
      <c r="B310" s="95" t="s">
        <v>2344</v>
      </c>
      <c r="C310" s="96">
        <v>0.15</v>
      </c>
      <c r="D310" s="96">
        <v>0.15</v>
      </c>
      <c r="E310" s="96">
        <v>0.15</v>
      </c>
      <c r="F310" s="97">
        <v>0.13700000000000001</v>
      </c>
    </row>
    <row r="311" spans="1:6">
      <c r="A311" s="91" t="s">
        <v>291</v>
      </c>
      <c r="B311" s="95" t="s">
        <v>2352</v>
      </c>
      <c r="C311" s="96">
        <v>0.15</v>
      </c>
      <c r="D311" s="96">
        <v>0.15</v>
      </c>
      <c r="E311" s="96">
        <v>0.15</v>
      </c>
      <c r="F311" s="97">
        <v>0.15</v>
      </c>
    </row>
    <row r="312" spans="1:6">
      <c r="A312" s="91" t="s">
        <v>291</v>
      </c>
      <c r="B312" s="95" t="s">
        <v>2360</v>
      </c>
      <c r="C312" s="96">
        <v>0.15</v>
      </c>
      <c r="D312" s="96">
        <v>0.15</v>
      </c>
      <c r="E312" s="96">
        <v>0.15</v>
      </c>
      <c r="F312" s="97">
        <v>0.1</v>
      </c>
    </row>
    <row r="313" spans="1:6">
      <c r="A313" s="91" t="s">
        <v>291</v>
      </c>
      <c r="B313" s="95" t="s">
        <v>2367</v>
      </c>
      <c r="C313" s="96">
        <v>0.15</v>
      </c>
      <c r="D313" s="96">
        <v>0.15</v>
      </c>
      <c r="E313" s="96">
        <v>0.15</v>
      </c>
      <c r="F313" s="97">
        <v>0.15</v>
      </c>
    </row>
    <row r="314" spans="1:6" ht="24">
      <c r="A314" s="91" t="s">
        <v>291</v>
      </c>
      <c r="B314" s="95" t="s">
        <v>2374</v>
      </c>
      <c r="C314" s="105"/>
      <c r="D314" s="105"/>
      <c r="E314" s="105"/>
      <c r="F314" s="97">
        <v>0.05</v>
      </c>
    </row>
    <row r="315" spans="1:6" ht="24">
      <c r="A315" s="91" t="s">
        <v>291</v>
      </c>
      <c r="B315" s="95" t="s">
        <v>2381</v>
      </c>
      <c r="C315" s="105"/>
      <c r="D315" s="105"/>
      <c r="E315" s="105"/>
      <c r="F315" s="97">
        <v>0.05</v>
      </c>
    </row>
    <row r="316" spans="1:6" ht="24">
      <c r="A316" s="99" t="s">
        <v>291</v>
      </c>
      <c r="B316" s="106" t="s">
        <v>2388</v>
      </c>
      <c r="C316" s="102"/>
      <c r="D316" s="102"/>
      <c r="E316" s="102"/>
      <c r="F316" s="107">
        <v>0.05</v>
      </c>
    </row>
    <row r="317" spans="1:6">
      <c r="A317" s="91" t="s">
        <v>294</v>
      </c>
      <c r="B317" s="92" t="s">
        <v>2142</v>
      </c>
      <c r="C317" s="93">
        <v>0.15</v>
      </c>
      <c r="D317" s="93">
        <v>0.15</v>
      </c>
      <c r="E317" s="93">
        <v>0.15</v>
      </c>
      <c r="F317" s="94">
        <v>0.15</v>
      </c>
    </row>
    <row r="318" spans="1:6">
      <c r="A318" s="91" t="s">
        <v>294</v>
      </c>
      <c r="B318" s="95" t="s">
        <v>2155</v>
      </c>
      <c r="C318" s="96">
        <v>0.107</v>
      </c>
      <c r="D318" s="96">
        <v>0.11</v>
      </c>
      <c r="E318" s="96">
        <v>0.112</v>
      </c>
      <c r="F318" s="104"/>
    </row>
    <row r="319" spans="1:6">
      <c r="A319" s="91" t="s">
        <v>294</v>
      </c>
      <c r="B319" s="95" t="s">
        <v>2169</v>
      </c>
      <c r="C319" s="96">
        <v>0.15</v>
      </c>
      <c r="D319" s="96">
        <v>0.15</v>
      </c>
      <c r="E319" s="96">
        <v>0.15</v>
      </c>
      <c r="F319" s="97">
        <v>0.15</v>
      </c>
    </row>
    <row r="320" spans="1:6">
      <c r="A320" s="91" t="s">
        <v>294</v>
      </c>
      <c r="B320" s="95" t="s">
        <v>2181</v>
      </c>
      <c r="C320" s="96">
        <v>0.15</v>
      </c>
      <c r="D320" s="96">
        <v>0.15</v>
      </c>
      <c r="E320" s="96">
        <v>0.15</v>
      </c>
      <c r="F320" s="104"/>
    </row>
    <row r="321" spans="1:6">
      <c r="A321" s="91" t="s">
        <v>294</v>
      </c>
      <c r="B321" s="95" t="s">
        <v>2193</v>
      </c>
      <c r="C321" s="96">
        <v>0.15</v>
      </c>
      <c r="D321" s="96">
        <v>0.15</v>
      </c>
      <c r="E321" s="96">
        <v>0.15</v>
      </c>
      <c r="F321" s="104"/>
    </row>
    <row r="322" spans="1:6">
      <c r="A322" s="91" t="s">
        <v>294</v>
      </c>
      <c r="B322" s="95" t="s">
        <v>2204</v>
      </c>
      <c r="C322" s="96">
        <v>0.15</v>
      </c>
      <c r="D322" s="96">
        <v>0.15</v>
      </c>
      <c r="E322" s="96">
        <v>0.15</v>
      </c>
      <c r="F322" s="97">
        <v>0.15</v>
      </c>
    </row>
    <row r="323" spans="1:6">
      <c r="A323" s="91" t="s">
        <v>294</v>
      </c>
      <c r="B323" s="95" t="s">
        <v>2215</v>
      </c>
      <c r="C323" s="96">
        <v>0.15</v>
      </c>
      <c r="D323" s="96">
        <v>0.15</v>
      </c>
      <c r="E323" s="96">
        <v>0.15</v>
      </c>
      <c r="F323" s="104"/>
    </row>
    <row r="324" spans="1:6">
      <c r="A324" s="91" t="s">
        <v>294</v>
      </c>
      <c r="B324" s="95" t="s">
        <v>2226</v>
      </c>
      <c r="C324" s="96">
        <v>0.15</v>
      </c>
      <c r="D324" s="96">
        <v>0.15</v>
      </c>
      <c r="E324" s="96">
        <v>0.15</v>
      </c>
      <c r="F324" s="104"/>
    </row>
    <row r="325" spans="1:6">
      <c r="A325" s="91" t="s">
        <v>294</v>
      </c>
      <c r="B325" s="95" t="s">
        <v>2236</v>
      </c>
      <c r="C325" s="96">
        <v>0.15</v>
      </c>
      <c r="D325" s="96">
        <v>0.15</v>
      </c>
      <c r="E325" s="96">
        <v>0.15</v>
      </c>
      <c r="F325" s="97">
        <v>0.14699999999999999</v>
      </c>
    </row>
    <row r="326" spans="1:6">
      <c r="A326" s="91" t="s">
        <v>294</v>
      </c>
      <c r="B326" s="95" t="s">
        <v>2246</v>
      </c>
      <c r="C326" s="96">
        <v>0.15</v>
      </c>
      <c r="D326" s="96">
        <v>0.15</v>
      </c>
      <c r="E326" s="96">
        <v>0.15</v>
      </c>
      <c r="F326" s="104"/>
    </row>
    <row r="327" spans="1:6">
      <c r="A327" s="91" t="s">
        <v>294</v>
      </c>
      <c r="B327" s="95" t="s">
        <v>2256</v>
      </c>
      <c r="C327" s="96">
        <v>0.15</v>
      </c>
      <c r="D327" s="96">
        <v>0.15</v>
      </c>
      <c r="E327" s="96">
        <v>0.15</v>
      </c>
      <c r="F327" s="97">
        <v>0.15</v>
      </c>
    </row>
    <row r="328" spans="1:6">
      <c r="A328" s="91" t="s">
        <v>294</v>
      </c>
      <c r="B328" s="95" t="s">
        <v>2266</v>
      </c>
      <c r="C328" s="96">
        <v>0.15</v>
      </c>
      <c r="D328" s="96">
        <v>0.15</v>
      </c>
      <c r="E328" s="96">
        <v>0.15</v>
      </c>
      <c r="F328" s="97">
        <v>0.14099999999999999</v>
      </c>
    </row>
    <row r="329" spans="1:6">
      <c r="A329" s="91" t="s">
        <v>294</v>
      </c>
      <c r="B329" s="95" t="s">
        <v>2276</v>
      </c>
      <c r="C329" s="96">
        <v>0.15</v>
      </c>
      <c r="D329" s="96">
        <v>0.15</v>
      </c>
      <c r="E329" s="96">
        <v>0.15</v>
      </c>
      <c r="F329" s="97">
        <v>0.15</v>
      </c>
    </row>
    <row r="330" spans="1:6">
      <c r="A330" s="91" t="s">
        <v>294</v>
      </c>
      <c r="B330" s="95" t="s">
        <v>2286</v>
      </c>
      <c r="C330" s="96">
        <v>0.15</v>
      </c>
      <c r="D330" s="96">
        <v>0.15</v>
      </c>
      <c r="E330" s="96">
        <v>0.15</v>
      </c>
      <c r="F330" s="104"/>
    </row>
    <row r="331" spans="1:6">
      <c r="A331" s="91" t="s">
        <v>294</v>
      </c>
      <c r="B331" s="95" t="s">
        <v>2296</v>
      </c>
      <c r="C331" s="96">
        <v>0.15</v>
      </c>
      <c r="D331" s="96">
        <v>0.15</v>
      </c>
      <c r="E331" s="96">
        <v>0.15</v>
      </c>
      <c r="F331" s="97">
        <v>0.15</v>
      </c>
    </row>
    <row r="332" spans="1:6">
      <c r="A332" s="91" t="s">
        <v>294</v>
      </c>
      <c r="B332" s="95" t="s">
        <v>2306</v>
      </c>
      <c r="C332" s="96">
        <v>0.15</v>
      </c>
      <c r="D332" s="96">
        <v>0.15</v>
      </c>
      <c r="E332" s="96">
        <v>0.15</v>
      </c>
      <c r="F332" s="97">
        <v>0.15</v>
      </c>
    </row>
    <row r="333" spans="1:6">
      <c r="A333" s="91" t="s">
        <v>294</v>
      </c>
      <c r="B333" s="95" t="s">
        <v>2316</v>
      </c>
      <c r="C333" s="96">
        <v>0.15</v>
      </c>
      <c r="D333" s="96">
        <v>0.15</v>
      </c>
      <c r="E333" s="96">
        <v>0.15</v>
      </c>
      <c r="F333" s="97">
        <v>0.14099999999999999</v>
      </c>
    </row>
    <row r="334" spans="1:6">
      <c r="A334" s="91" t="s">
        <v>294</v>
      </c>
      <c r="B334" s="95" t="s">
        <v>2326</v>
      </c>
      <c r="C334" s="96">
        <v>0.15</v>
      </c>
      <c r="D334" s="96">
        <v>0.15</v>
      </c>
      <c r="E334" s="96">
        <v>0.15</v>
      </c>
      <c r="F334" s="97">
        <v>0.15</v>
      </c>
    </row>
    <row r="335" spans="1:6">
      <c r="A335" s="91" t="s">
        <v>294</v>
      </c>
      <c r="B335" s="95" t="s">
        <v>2336</v>
      </c>
      <c r="C335" s="96">
        <v>0.15</v>
      </c>
      <c r="D335" s="96">
        <v>0.15</v>
      </c>
      <c r="E335" s="96">
        <v>0.15</v>
      </c>
      <c r="F335" s="104"/>
    </row>
    <row r="336" spans="1:6">
      <c r="A336" s="91" t="s">
        <v>294</v>
      </c>
      <c r="B336" s="95" t="s">
        <v>2345</v>
      </c>
      <c r="C336" s="96">
        <v>0.15</v>
      </c>
      <c r="D336" s="96">
        <v>0.15</v>
      </c>
      <c r="E336" s="96">
        <v>0.15</v>
      </c>
      <c r="F336" s="97">
        <v>0.11799999999999999</v>
      </c>
    </row>
    <row r="337" spans="1:6">
      <c r="A337" s="99" t="s">
        <v>294</v>
      </c>
      <c r="B337" s="106" t="s">
        <v>2353</v>
      </c>
      <c r="C337" s="102"/>
      <c r="D337" s="102"/>
      <c r="E337" s="102"/>
      <c r="F337" s="107">
        <v>0.14299999999999999</v>
      </c>
    </row>
    <row r="338" spans="1:6">
      <c r="A338" s="91" t="s">
        <v>297</v>
      </c>
      <c r="B338" s="92" t="s">
        <v>2143</v>
      </c>
      <c r="C338" s="93">
        <v>0.15</v>
      </c>
      <c r="D338" s="93">
        <v>0.15</v>
      </c>
      <c r="E338" s="93">
        <v>0.15</v>
      </c>
      <c r="F338" s="115"/>
    </row>
    <row r="339" spans="1:6">
      <c r="A339" s="91" t="s">
        <v>297</v>
      </c>
      <c r="B339" s="95" t="s">
        <v>2156</v>
      </c>
      <c r="C339" s="96">
        <v>0.15</v>
      </c>
      <c r="D339" s="96">
        <v>0.15</v>
      </c>
      <c r="E339" s="96">
        <v>0.15</v>
      </c>
      <c r="F339" s="104"/>
    </row>
    <row r="340" spans="1:6">
      <c r="A340" s="91" t="s">
        <v>297</v>
      </c>
      <c r="B340" s="95" t="s">
        <v>2170</v>
      </c>
      <c r="C340" s="96">
        <v>0.15</v>
      </c>
      <c r="D340" s="96">
        <v>0.15</v>
      </c>
      <c r="E340" s="96">
        <v>0.15</v>
      </c>
      <c r="F340" s="104"/>
    </row>
    <row r="341" spans="1:6">
      <c r="A341" s="91" t="s">
        <v>297</v>
      </c>
      <c r="B341" s="95" t="s">
        <v>2182</v>
      </c>
      <c r="C341" s="96">
        <v>0.15</v>
      </c>
      <c r="D341" s="96">
        <v>0.15</v>
      </c>
      <c r="E341" s="96">
        <v>0.15</v>
      </c>
      <c r="F341" s="97">
        <v>0.15</v>
      </c>
    </row>
    <row r="342" spans="1:6">
      <c r="A342" s="91" t="s">
        <v>297</v>
      </c>
      <c r="B342" s="95" t="s">
        <v>2194</v>
      </c>
      <c r="C342" s="96">
        <v>0.15</v>
      </c>
      <c r="D342" s="96">
        <v>0.15</v>
      </c>
      <c r="E342" s="96">
        <v>0.15</v>
      </c>
      <c r="F342" s="97">
        <v>0.15</v>
      </c>
    </row>
    <row r="343" spans="1:6">
      <c r="A343" s="91" t="s">
        <v>297</v>
      </c>
      <c r="B343" s="95" t="s">
        <v>2205</v>
      </c>
      <c r="C343" s="96">
        <v>0.15</v>
      </c>
      <c r="D343" s="96">
        <v>0.15</v>
      </c>
      <c r="E343" s="96">
        <v>0.15</v>
      </c>
      <c r="F343" s="97">
        <v>0.15</v>
      </c>
    </row>
    <row r="344" spans="1:6">
      <c r="A344" s="99" t="s">
        <v>297</v>
      </c>
      <c r="B344" s="106" t="s">
        <v>2216</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2477</v>
      </c>
      <c r="C1" s="24">
        <f>项目基本情况!D3</f>
        <v>43531</v>
      </c>
      <c r="D1" s="23" t="s">
        <v>2478</v>
      </c>
      <c r="E1" s="25">
        <f>'数据-取费表'!B22</f>
        <v>1</v>
      </c>
      <c r="F1" s="23" t="s">
        <v>2479</v>
      </c>
      <c r="G1" s="26">
        <f ca="1">INDIRECT("d"&amp;$K$1)/100</f>
        <v>4.3499999999999997E-2</v>
      </c>
      <c r="H1" s="23" t="s">
        <v>2480</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2479</v>
      </c>
      <c r="E2" s="27"/>
      <c r="F2" s="27" t="s">
        <v>2481</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2482</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2483</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2484</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2485</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2486</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2487</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2488</v>
      </c>
      <c r="C10" s="51"/>
      <c r="D10" s="51"/>
      <c r="E10" s="51"/>
      <c r="F10" s="51"/>
      <c r="G10" s="51"/>
      <c r="H10" s="51"/>
      <c r="I10" s="20"/>
      <c r="J10" s="20"/>
      <c r="K10" s="51"/>
      <c r="L10" s="52" t="s">
        <v>2489</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2490</v>
      </c>
      <c r="C11" s="55" t="s">
        <v>2491</v>
      </c>
      <c r="D11" s="56" t="s">
        <v>2492</v>
      </c>
      <c r="E11" s="57"/>
      <c r="F11" s="56" t="s">
        <v>2493</v>
      </c>
      <c r="G11" s="58"/>
      <c r="H11" s="57"/>
      <c r="I11" s="56" t="s">
        <v>2494</v>
      </c>
      <c r="J11" s="57"/>
      <c r="K11" s="53"/>
      <c r="L11" s="54" t="s">
        <v>2490</v>
      </c>
      <c r="M11" s="55" t="s">
        <v>2491</v>
      </c>
      <c r="N11" s="54" t="s">
        <v>2495</v>
      </c>
      <c r="O11" s="56" t="s">
        <v>2496</v>
      </c>
      <c r="P11" s="58"/>
      <c r="Q11" s="58"/>
      <c r="R11" s="58"/>
      <c r="S11" s="58"/>
      <c r="T11" s="57"/>
      <c r="U11" s="56" t="s">
        <v>2497</v>
      </c>
      <c r="V11" s="58"/>
      <c r="W11" s="57"/>
      <c r="X11" s="54" t="s">
        <v>2498</v>
      </c>
      <c r="Y11" s="54" t="s">
        <v>2499</v>
      </c>
      <c r="Z11" s="54" t="s">
        <v>2500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2501</v>
      </c>
      <c r="E12" s="62" t="s">
        <v>2483</v>
      </c>
      <c r="F12" s="62" t="s">
        <v>2484</v>
      </c>
      <c r="G12" s="62" t="s">
        <v>2485</v>
      </c>
      <c r="H12" s="62" t="s">
        <v>2486</v>
      </c>
      <c r="I12" s="73" t="s">
        <v>2502</v>
      </c>
      <c r="J12" s="73" t="s">
        <v>2502</v>
      </c>
      <c r="K12" s="59"/>
      <c r="L12" s="60"/>
      <c r="M12" s="61"/>
      <c r="N12" s="60"/>
      <c r="O12" s="73" t="s">
        <v>2503</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2504</v>
      </c>
      <c r="C13" s="65">
        <v>42301</v>
      </c>
      <c r="D13" s="66">
        <v>4.3499999999999996</v>
      </c>
      <c r="E13" s="66">
        <v>4.3499999999999996</v>
      </c>
      <c r="F13" s="66">
        <v>4.75</v>
      </c>
      <c r="G13" s="66">
        <v>4.75</v>
      </c>
      <c r="H13" s="66">
        <v>4.9000000000000004</v>
      </c>
      <c r="I13" s="66">
        <v>2.75</v>
      </c>
      <c r="J13" s="66">
        <v>3.25</v>
      </c>
      <c r="K13" s="63"/>
      <c r="L13" s="64" t="s">
        <v>2504</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2505</v>
      </c>
      <c r="Y42" s="67" t="s">
        <v>2505</v>
      </c>
      <c r="Z42" s="67" t="s">
        <v>2505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2505</v>
      </c>
      <c r="Y43" s="67" t="s">
        <v>2505</v>
      </c>
      <c r="Z43" s="67" t="s">
        <v>2505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2505</v>
      </c>
      <c r="Y44" s="67" t="s">
        <v>2505</v>
      </c>
      <c r="Z44" s="67" t="s">
        <v>2505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2505</v>
      </c>
      <c r="Y45" s="67" t="s">
        <v>2505</v>
      </c>
      <c r="Z45" s="67" t="s">
        <v>2505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2505</v>
      </c>
      <c r="Y46" s="67" t="s">
        <v>2505</v>
      </c>
      <c r="Z46" s="67" t="s">
        <v>2505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2505</v>
      </c>
      <c r="Y47" s="67" t="s">
        <v>2505</v>
      </c>
      <c r="Z47" s="67" t="s">
        <v>2505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2505</v>
      </c>
      <c r="Y48" s="67" t="s">
        <v>2505</v>
      </c>
      <c r="Z48" s="67" t="s">
        <v>2505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2505</v>
      </c>
      <c r="Y49" s="67" t="s">
        <v>2505</v>
      </c>
      <c r="Z49" s="67" t="s">
        <v>2505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2505</v>
      </c>
      <c r="Y50" s="67" t="s">
        <v>2505</v>
      </c>
      <c r="Z50" s="67" t="s">
        <v>2505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2505</v>
      </c>
      <c r="V51" s="67" t="s">
        <v>2505</v>
      </c>
      <c r="W51" s="67" t="s">
        <v>2505</v>
      </c>
      <c r="X51" s="67" t="s">
        <v>2505</v>
      </c>
      <c r="Y51" s="67" t="s">
        <v>2505</v>
      </c>
      <c r="Z51" s="67" t="s">
        <v>2505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2505</v>
      </c>
      <c r="J55" s="67" t="s">
        <v>2505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2506</v>
      </c>
      <c r="E1" s="7" t="s">
        <v>2507</v>
      </c>
      <c r="F1" s="8" t="s">
        <v>2508</v>
      </c>
    </row>
    <row r="2" spans="1:13" ht="20.25">
      <c r="A2" s="9" t="s">
        <v>2509</v>
      </c>
    </row>
    <row r="3" spans="1:13" ht="16.5">
      <c r="A3" s="10" t="s">
        <v>2510</v>
      </c>
    </row>
    <row r="4" spans="1:13" ht="14.25">
      <c r="A4" s="11" t="s">
        <v>1733</v>
      </c>
      <c r="B4" s="12" t="s">
        <v>1727</v>
      </c>
      <c r="C4" s="13"/>
      <c r="D4" s="14"/>
      <c r="E4" s="12" t="s">
        <v>1728</v>
      </c>
      <c r="F4" s="13"/>
      <c r="G4" s="14"/>
      <c r="H4" s="12" t="s">
        <v>1765</v>
      </c>
      <c r="I4" s="13"/>
      <c r="J4" s="14"/>
      <c r="K4" s="12" t="s">
        <v>468</v>
      </c>
      <c r="L4" s="13"/>
      <c r="M4" s="14"/>
    </row>
    <row r="5" spans="1:13" ht="14.25">
      <c r="A5" s="15" t="s">
        <v>210</v>
      </c>
      <c r="B5" s="11" t="s">
        <v>2511</v>
      </c>
      <c r="C5" s="11" t="s">
        <v>2512</v>
      </c>
      <c r="D5" s="11" t="s">
        <v>2513</v>
      </c>
      <c r="E5" s="11" t="s">
        <v>2511</v>
      </c>
      <c r="F5" s="11" t="s">
        <v>2512</v>
      </c>
      <c r="G5" s="11" t="s">
        <v>2513</v>
      </c>
      <c r="H5" s="11" t="s">
        <v>2511</v>
      </c>
      <c r="I5" s="11" t="s">
        <v>2512</v>
      </c>
      <c r="J5" s="11" t="s">
        <v>2513</v>
      </c>
      <c r="K5" s="11" t="s">
        <v>2511</v>
      </c>
      <c r="L5" s="11" t="s">
        <v>2512</v>
      </c>
      <c r="M5" s="11" t="s">
        <v>2513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O3" sqref="O3"/>
    </sheetView>
  </sheetViews>
  <sheetFormatPr defaultColWidth="9" defaultRowHeight="13.5"/>
  <sheetData>
    <row r="1" spans="1:4">
      <c r="A1" s="5" t="s">
        <v>2514</v>
      </c>
      <c r="B1">
        <v>0.5</v>
      </c>
      <c r="C1">
        <f>'数据-取费表'!L19</f>
        <v>13057.44</v>
      </c>
      <c r="D1">
        <f>ROUND(C1*B1,0)</f>
        <v>6529</v>
      </c>
    </row>
    <row r="2" spans="1:4">
      <c r="A2" s="5" t="s">
        <v>1728</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2515</v>
      </c>
      <c r="B1" s="1" t="s">
        <v>2516</v>
      </c>
      <c r="C1" s="1" t="s">
        <v>2517</v>
      </c>
      <c r="D1" s="1" t="s">
        <v>1787</v>
      </c>
      <c r="E1" s="1" t="s">
        <v>2518</v>
      </c>
      <c r="F1" s="1" t="s">
        <v>2519</v>
      </c>
      <c r="G1" s="1" t="s">
        <v>2520</v>
      </c>
      <c r="H1" s="1" t="s">
        <v>2521</v>
      </c>
      <c r="I1" s="1" t="s">
        <v>2522</v>
      </c>
      <c r="J1" s="1" t="s">
        <v>2523</v>
      </c>
      <c r="K1" s="1" t="s">
        <v>2524</v>
      </c>
      <c r="L1" s="1" t="s">
        <v>1925</v>
      </c>
      <c r="M1" s="1" t="s">
        <v>2525</v>
      </c>
      <c r="N1" s="1" t="s">
        <v>2526</v>
      </c>
      <c r="O1" s="1" t="s">
        <v>2527</v>
      </c>
      <c r="P1" s="1" t="s">
        <v>2528</v>
      </c>
      <c r="Q1" s="1" t="s">
        <v>2529</v>
      </c>
      <c r="R1" s="1" t="s">
        <v>2530</v>
      </c>
      <c r="S1" s="1" t="s">
        <v>2531</v>
      </c>
      <c r="T1" s="1" t="s">
        <v>2532</v>
      </c>
      <c r="U1" s="1" t="s">
        <v>2533</v>
      </c>
      <c r="V1" s="1" t="s">
        <v>2534</v>
      </c>
      <c r="W1" s="1" t="s">
        <v>2535</v>
      </c>
      <c r="X1" s="1" t="s">
        <v>2536</v>
      </c>
      <c r="Y1" s="1" t="s">
        <v>2537</v>
      </c>
      <c r="Z1" s="1" t="s">
        <v>2538</v>
      </c>
      <c r="AA1" s="1" t="s">
        <v>2539</v>
      </c>
      <c r="AB1" s="1" t="s">
        <v>2540</v>
      </c>
      <c r="AC1" s="1" t="s">
        <v>2541</v>
      </c>
      <c r="AD1" s="1" t="s">
        <v>2542</v>
      </c>
      <c r="AE1" s="1" t="s">
        <v>2543</v>
      </c>
      <c r="AF1" s="1" t="s">
        <v>2544</v>
      </c>
      <c r="AG1" s="1" t="s">
        <v>2545</v>
      </c>
      <c r="AH1" s="1" t="s">
        <v>2546</v>
      </c>
      <c r="AI1" s="1" t="s">
        <v>2547</v>
      </c>
      <c r="AJ1" s="1" t="s">
        <v>2548</v>
      </c>
      <c r="AK1" s="1" t="s">
        <v>2549</v>
      </c>
      <c r="AL1" s="1" t="s">
        <v>2550</v>
      </c>
      <c r="AM1" s="1" t="s">
        <v>2551</v>
      </c>
      <c r="AN1" s="4" t="s">
        <v>2552</v>
      </c>
      <c r="AO1" s="1" t="s">
        <v>2553</v>
      </c>
      <c r="AP1" s="1" t="s">
        <v>2554</v>
      </c>
      <c r="AQ1" s="1" t="s">
        <v>2555</v>
      </c>
      <c r="AR1" s="1" t="s">
        <v>2556</v>
      </c>
      <c r="AS1" s="1" t="s">
        <v>2557</v>
      </c>
    </row>
    <row r="2" spans="1:45" s="1" customFormat="1">
      <c r="A2" s="1" t="s">
        <v>2558</v>
      </c>
      <c r="B2" s="1" t="s">
        <v>2559</v>
      </c>
      <c r="C2" s="1" t="s">
        <v>1770</v>
      </c>
      <c r="D2" s="1" t="s">
        <v>947</v>
      </c>
      <c r="E2" s="1" t="s">
        <v>2505</v>
      </c>
      <c r="F2" s="1" t="s">
        <v>2558</v>
      </c>
      <c r="G2" s="1" t="s">
        <v>2560</v>
      </c>
      <c r="H2" s="1">
        <v>2018027</v>
      </c>
      <c r="I2" s="1" t="s">
        <v>1774</v>
      </c>
      <c r="J2" s="1">
        <v>11442.82</v>
      </c>
      <c r="K2" s="1">
        <v>11442.82</v>
      </c>
      <c r="L2" s="1">
        <v>1</v>
      </c>
      <c r="M2" s="1" t="s">
        <v>2505</v>
      </c>
      <c r="N2" s="1" t="s">
        <v>2561</v>
      </c>
      <c r="O2" s="1" t="s">
        <v>2505</v>
      </c>
      <c r="P2" s="1" t="s">
        <v>2505</v>
      </c>
      <c r="Q2" s="1" t="s">
        <v>2505</v>
      </c>
      <c r="R2" s="1" t="s">
        <v>2505</v>
      </c>
      <c r="S2" s="1" t="s">
        <v>2505</v>
      </c>
      <c r="T2" s="1" t="s">
        <v>2505</v>
      </c>
      <c r="U2" s="1" t="s">
        <v>2505</v>
      </c>
      <c r="V2" s="1" t="s">
        <v>2505</v>
      </c>
      <c r="W2" s="1" t="s">
        <v>2562</v>
      </c>
      <c r="X2" s="1" t="s">
        <v>2563</v>
      </c>
      <c r="Y2" s="1" t="s">
        <v>2564</v>
      </c>
      <c r="Z2" s="1" t="s">
        <v>2565</v>
      </c>
      <c r="AA2" s="1" t="s">
        <v>2565</v>
      </c>
      <c r="AB2" s="1" t="s">
        <v>2566</v>
      </c>
      <c r="AC2" s="1" t="s">
        <v>2567</v>
      </c>
      <c r="AD2" s="1" t="s">
        <v>2568</v>
      </c>
      <c r="AE2" s="1">
        <v>520</v>
      </c>
      <c r="AF2" s="1">
        <v>520</v>
      </c>
      <c r="AG2" s="1">
        <v>520</v>
      </c>
      <c r="AH2" s="1">
        <v>30.3</v>
      </c>
      <c r="AI2" s="1">
        <v>30.3</v>
      </c>
      <c r="AJ2" s="1">
        <v>454.43</v>
      </c>
      <c r="AK2" s="1">
        <v>454.43</v>
      </c>
      <c r="AL2" s="1" t="s">
        <v>2505</v>
      </c>
      <c r="AM2" s="1" t="s">
        <v>2505</v>
      </c>
      <c r="AN2" s="1">
        <f>ROUND(AG2*10000/J2,0)</f>
        <v>454</v>
      </c>
      <c r="AO2" s="1" t="s">
        <v>2569</v>
      </c>
      <c r="AP2" s="1" t="s">
        <v>2505</v>
      </c>
      <c r="AQ2" s="1" t="s">
        <v>2505</v>
      </c>
      <c r="AR2" s="1" t="s">
        <v>2505</v>
      </c>
      <c r="AS2" s="1" t="s">
        <v>2570</v>
      </c>
    </row>
    <row r="3" spans="1:45" s="1" customFormat="1">
      <c r="A3" s="1" t="s">
        <v>2571</v>
      </c>
      <c r="B3" s="1" t="s">
        <v>2559</v>
      </c>
      <c r="C3" s="1" t="s">
        <v>1770</v>
      </c>
      <c r="D3" s="1" t="s">
        <v>947</v>
      </c>
      <c r="E3" s="1" t="s">
        <v>2505</v>
      </c>
      <c r="F3" s="1" t="s">
        <v>2571</v>
      </c>
      <c r="G3" s="1" t="s">
        <v>2560</v>
      </c>
      <c r="H3" s="1">
        <v>2018009</v>
      </c>
      <c r="I3" s="1" t="s">
        <v>1770</v>
      </c>
      <c r="J3" s="1">
        <v>10012</v>
      </c>
      <c r="K3" s="1">
        <v>10012</v>
      </c>
      <c r="L3" s="1">
        <v>1</v>
      </c>
      <c r="M3" s="1" t="s">
        <v>2505</v>
      </c>
      <c r="N3" s="1" t="s">
        <v>2572</v>
      </c>
      <c r="O3" s="1" t="s">
        <v>2505</v>
      </c>
      <c r="P3" s="1" t="s">
        <v>2505</v>
      </c>
      <c r="Q3" s="1" t="s">
        <v>2505</v>
      </c>
      <c r="R3" s="1" t="s">
        <v>2505</v>
      </c>
      <c r="S3" s="1" t="s">
        <v>2505</v>
      </c>
      <c r="T3" s="1" t="s">
        <v>2505</v>
      </c>
      <c r="U3" s="1" t="s">
        <v>2505</v>
      </c>
      <c r="V3" s="1" t="s">
        <v>2505</v>
      </c>
      <c r="W3" s="1" t="s">
        <v>2562</v>
      </c>
      <c r="X3" s="1" t="s">
        <v>2573</v>
      </c>
      <c r="Y3" s="1" t="s">
        <v>2574</v>
      </c>
      <c r="Z3" s="1" t="s">
        <v>2575</v>
      </c>
      <c r="AA3" s="1" t="s">
        <v>2575</v>
      </c>
      <c r="AB3" s="1" t="s">
        <v>2576</v>
      </c>
      <c r="AC3" s="1" t="s">
        <v>2567</v>
      </c>
      <c r="AD3" s="1" t="s">
        <v>2577</v>
      </c>
      <c r="AE3" s="1">
        <v>456</v>
      </c>
      <c r="AF3" s="1">
        <v>456</v>
      </c>
      <c r="AG3" s="1">
        <v>456</v>
      </c>
      <c r="AH3" s="1">
        <v>30.36</v>
      </c>
      <c r="AI3" s="1">
        <v>30.36</v>
      </c>
      <c r="AJ3" s="1">
        <v>455.45</v>
      </c>
      <c r="AK3" s="1">
        <v>455.44</v>
      </c>
      <c r="AL3" s="1" t="s">
        <v>2505</v>
      </c>
      <c r="AM3" s="1" t="s">
        <v>2505</v>
      </c>
      <c r="AN3" s="1">
        <f>ROUND(AG3*10000/J3,0)</f>
        <v>455</v>
      </c>
      <c r="AO3" s="1" t="s">
        <v>2569</v>
      </c>
      <c r="AP3" s="1" t="s">
        <v>2505</v>
      </c>
      <c r="AQ3" s="1" t="s">
        <v>2505</v>
      </c>
      <c r="AR3" s="1" t="s">
        <v>2505</v>
      </c>
      <c r="AS3" s="1" t="s">
        <v>2570</v>
      </c>
    </row>
    <row r="4" spans="1:45" s="1" customFormat="1">
      <c r="A4" s="1" t="s">
        <v>2578</v>
      </c>
      <c r="B4" s="1" t="s">
        <v>2559</v>
      </c>
      <c r="C4" s="1" t="s">
        <v>1770</v>
      </c>
      <c r="D4" s="1" t="s">
        <v>947</v>
      </c>
      <c r="E4" s="1" t="s">
        <v>2505</v>
      </c>
      <c r="F4" s="1" t="s">
        <v>2578</v>
      </c>
      <c r="G4" s="1" t="s">
        <v>2560</v>
      </c>
      <c r="H4" s="1">
        <v>2018034</v>
      </c>
      <c r="I4" s="1" t="s">
        <v>1770</v>
      </c>
      <c r="J4" s="1">
        <v>54125.4</v>
      </c>
      <c r="K4" s="1">
        <v>54125.4</v>
      </c>
      <c r="L4" s="1">
        <v>1</v>
      </c>
      <c r="M4" s="1" t="s">
        <v>2505</v>
      </c>
      <c r="N4" s="1" t="s">
        <v>2572</v>
      </c>
      <c r="O4" s="1" t="s">
        <v>2505</v>
      </c>
      <c r="P4" s="1" t="s">
        <v>2505</v>
      </c>
      <c r="Q4" s="1" t="s">
        <v>2505</v>
      </c>
      <c r="R4" s="1" t="s">
        <v>2505</v>
      </c>
      <c r="S4" s="1" t="s">
        <v>2505</v>
      </c>
      <c r="T4" s="1" t="s">
        <v>2505</v>
      </c>
      <c r="U4" s="1" t="s">
        <v>2505</v>
      </c>
      <c r="V4" s="1" t="s">
        <v>2505</v>
      </c>
      <c r="W4" s="1" t="s">
        <v>2562</v>
      </c>
      <c r="X4" s="1" t="s">
        <v>2573</v>
      </c>
      <c r="Y4" s="1" t="s">
        <v>2574</v>
      </c>
      <c r="Z4" s="1" t="s">
        <v>2575</v>
      </c>
      <c r="AA4" s="1" t="s">
        <v>2575</v>
      </c>
      <c r="AB4" s="1" t="s">
        <v>2576</v>
      </c>
      <c r="AC4" s="1" t="s">
        <v>2567</v>
      </c>
      <c r="AD4" s="1" t="s">
        <v>2579</v>
      </c>
      <c r="AE4" s="1">
        <v>2456</v>
      </c>
      <c r="AF4" s="1">
        <v>2456</v>
      </c>
      <c r="AG4" s="1">
        <v>2456</v>
      </c>
      <c r="AH4" s="1">
        <v>30.25</v>
      </c>
      <c r="AI4" s="1">
        <v>30.25</v>
      </c>
      <c r="AJ4" s="1">
        <v>453.76</v>
      </c>
      <c r="AK4" s="1">
        <v>453.75</v>
      </c>
      <c r="AL4" s="1" t="s">
        <v>2505</v>
      </c>
      <c r="AM4" s="1" t="s">
        <v>2505</v>
      </c>
      <c r="AN4" s="1">
        <f>ROUND(AG4*10000/J4,0)</f>
        <v>454</v>
      </c>
      <c r="AO4" s="1" t="s">
        <v>2569</v>
      </c>
      <c r="AP4" s="1" t="s">
        <v>2505</v>
      </c>
      <c r="AQ4" s="1" t="s">
        <v>2505</v>
      </c>
      <c r="AR4" s="1" t="s">
        <v>2505</v>
      </c>
      <c r="AS4" s="1" t="s">
        <v>2570</v>
      </c>
    </row>
    <row r="6" spans="1:45" s="1" customFormat="1">
      <c r="A6" s="1" t="s">
        <v>2515</v>
      </c>
      <c r="B6" s="1" t="s">
        <v>2516</v>
      </c>
      <c r="C6" s="1" t="s">
        <v>2517</v>
      </c>
      <c r="D6" s="1" t="s">
        <v>1787</v>
      </c>
      <c r="E6" s="1" t="s">
        <v>2518</v>
      </c>
      <c r="F6" s="1" t="s">
        <v>2519</v>
      </c>
      <c r="G6" s="1" t="s">
        <v>2520</v>
      </c>
      <c r="H6" s="1" t="s">
        <v>2521</v>
      </c>
      <c r="I6" s="1" t="s">
        <v>2522</v>
      </c>
      <c r="J6" s="1" t="s">
        <v>2523</v>
      </c>
      <c r="K6" s="1" t="s">
        <v>2524</v>
      </c>
      <c r="L6" s="1" t="s">
        <v>1925</v>
      </c>
      <c r="M6" s="1" t="s">
        <v>2525</v>
      </c>
      <c r="N6" s="1" t="s">
        <v>2526</v>
      </c>
      <c r="O6" s="1" t="s">
        <v>2527</v>
      </c>
      <c r="P6" s="1" t="s">
        <v>2528</v>
      </c>
      <c r="Q6" s="1" t="s">
        <v>2529</v>
      </c>
      <c r="R6" s="1" t="s">
        <v>2530</v>
      </c>
      <c r="S6" s="1" t="s">
        <v>2531</v>
      </c>
      <c r="T6" s="1" t="s">
        <v>2532</v>
      </c>
      <c r="U6" s="1" t="s">
        <v>2533</v>
      </c>
      <c r="V6" s="1" t="s">
        <v>2534</v>
      </c>
      <c r="W6" s="1" t="s">
        <v>2535</v>
      </c>
      <c r="X6" s="1" t="s">
        <v>2536</v>
      </c>
      <c r="Y6" s="1" t="s">
        <v>2537</v>
      </c>
      <c r="Z6" s="1" t="s">
        <v>2538</v>
      </c>
      <c r="AA6" s="1" t="s">
        <v>2539</v>
      </c>
      <c r="AB6" s="1" t="s">
        <v>2540</v>
      </c>
      <c r="AC6" s="1" t="s">
        <v>2541</v>
      </c>
      <c r="AD6" s="1" t="s">
        <v>2542</v>
      </c>
      <c r="AE6" s="1" t="s">
        <v>2543</v>
      </c>
      <c r="AF6" s="1" t="s">
        <v>2544</v>
      </c>
      <c r="AG6" s="1" t="s">
        <v>2545</v>
      </c>
      <c r="AH6" s="1" t="s">
        <v>2546</v>
      </c>
      <c r="AI6" s="1" t="s">
        <v>2547</v>
      </c>
      <c r="AJ6" s="1" t="s">
        <v>2548</v>
      </c>
      <c r="AK6" s="1" t="s">
        <v>2549</v>
      </c>
      <c r="AL6" s="1" t="s">
        <v>2550</v>
      </c>
      <c r="AM6" s="1" t="s">
        <v>2551</v>
      </c>
      <c r="AN6" s="1" t="s">
        <v>2580</v>
      </c>
      <c r="AO6" s="1" t="s">
        <v>2553</v>
      </c>
      <c r="AP6" s="1" t="s">
        <v>2554</v>
      </c>
      <c r="AQ6" s="1" t="s">
        <v>2555</v>
      </c>
      <c r="AR6" s="1" t="s">
        <v>2556</v>
      </c>
      <c r="AS6" s="1" t="s">
        <v>2557</v>
      </c>
    </row>
    <row r="7" spans="1:45" s="1" customFormat="1">
      <c r="A7" s="1" t="s">
        <v>2581</v>
      </c>
      <c r="B7" s="1" t="s">
        <v>2559</v>
      </c>
      <c r="C7" s="1" t="s">
        <v>1770</v>
      </c>
      <c r="D7" s="1" t="s">
        <v>947</v>
      </c>
      <c r="E7" s="1" t="s">
        <v>2505</v>
      </c>
      <c r="F7" s="1" t="s">
        <v>2581</v>
      </c>
      <c r="G7" s="1" t="s">
        <v>2560</v>
      </c>
      <c r="H7" s="1">
        <v>2018040</v>
      </c>
      <c r="I7" s="1" t="s">
        <v>1770</v>
      </c>
      <c r="J7" s="1">
        <v>3602</v>
      </c>
      <c r="K7" s="1">
        <v>3602</v>
      </c>
      <c r="L7" s="1" t="s">
        <v>2582</v>
      </c>
      <c r="M7" s="1" t="s">
        <v>2505</v>
      </c>
      <c r="N7" s="1" t="s">
        <v>2572</v>
      </c>
      <c r="O7" s="1" t="s">
        <v>2505</v>
      </c>
      <c r="P7" s="1" t="s">
        <v>2505</v>
      </c>
      <c r="Q7" s="1" t="s">
        <v>2505</v>
      </c>
      <c r="R7" s="1" t="s">
        <v>2505</v>
      </c>
      <c r="S7" s="1" t="s">
        <v>2505</v>
      </c>
      <c r="T7" s="1" t="s">
        <v>2505</v>
      </c>
      <c r="U7" s="1" t="s">
        <v>2505</v>
      </c>
      <c r="V7" s="1" t="s">
        <v>2505</v>
      </c>
      <c r="W7" s="1" t="s">
        <v>2562</v>
      </c>
      <c r="X7" s="1" t="s">
        <v>2563</v>
      </c>
      <c r="Y7" s="1" t="s">
        <v>2564</v>
      </c>
      <c r="Z7" s="1" t="s">
        <v>2565</v>
      </c>
      <c r="AA7" s="1" t="s">
        <v>2565</v>
      </c>
      <c r="AB7" s="1" t="s">
        <v>2566</v>
      </c>
      <c r="AC7" s="1" t="s">
        <v>2567</v>
      </c>
      <c r="AD7" s="1" t="s">
        <v>2583</v>
      </c>
      <c r="AE7" s="1">
        <v>176</v>
      </c>
      <c r="AF7" s="1">
        <v>176</v>
      </c>
      <c r="AG7" s="1">
        <v>176</v>
      </c>
      <c r="AH7" s="1">
        <v>32.57</v>
      </c>
      <c r="AI7" s="1">
        <v>32.57</v>
      </c>
      <c r="AJ7" s="1">
        <v>488.61</v>
      </c>
      <c r="AK7" s="1">
        <v>488.62</v>
      </c>
      <c r="AL7" s="1" t="s">
        <v>2505</v>
      </c>
      <c r="AM7" s="1" t="s">
        <v>2505</v>
      </c>
      <c r="AN7" s="1">
        <v>0</v>
      </c>
      <c r="AO7" s="1" t="s">
        <v>2569</v>
      </c>
      <c r="AP7" s="1" t="s">
        <v>2505</v>
      </c>
      <c r="AQ7" s="1" t="s">
        <v>2505</v>
      </c>
      <c r="AR7" s="1" t="s">
        <v>2505</v>
      </c>
      <c r="AS7" s="1" t="s">
        <v>2570</v>
      </c>
    </row>
    <row r="8" spans="1:45" s="1" customFormat="1">
      <c r="A8" s="1" t="s">
        <v>2558</v>
      </c>
      <c r="B8" s="1" t="s">
        <v>2559</v>
      </c>
      <c r="C8" s="1" t="s">
        <v>1770</v>
      </c>
      <c r="D8" s="1" t="s">
        <v>947</v>
      </c>
      <c r="E8" s="1" t="s">
        <v>2505</v>
      </c>
      <c r="F8" s="1" t="s">
        <v>2558</v>
      </c>
      <c r="G8" s="1" t="s">
        <v>2560</v>
      </c>
      <c r="H8" s="1">
        <v>2018027</v>
      </c>
      <c r="I8" s="1" t="s">
        <v>1774</v>
      </c>
      <c r="J8" s="1">
        <v>11442.82</v>
      </c>
      <c r="K8" s="1">
        <v>11442.82</v>
      </c>
      <c r="L8" s="1" t="s">
        <v>2582</v>
      </c>
      <c r="M8" s="1" t="s">
        <v>2505</v>
      </c>
      <c r="N8" s="1" t="s">
        <v>2561</v>
      </c>
      <c r="O8" s="1" t="s">
        <v>2505</v>
      </c>
      <c r="P8" s="1" t="s">
        <v>2505</v>
      </c>
      <c r="Q8" s="1" t="s">
        <v>2505</v>
      </c>
      <c r="R8" s="1" t="s">
        <v>2505</v>
      </c>
      <c r="S8" s="1" t="s">
        <v>2505</v>
      </c>
      <c r="T8" s="1" t="s">
        <v>2505</v>
      </c>
      <c r="U8" s="1" t="s">
        <v>2505</v>
      </c>
      <c r="V8" s="1" t="s">
        <v>2505</v>
      </c>
      <c r="W8" s="1" t="s">
        <v>2562</v>
      </c>
      <c r="X8" s="1" t="s">
        <v>2563</v>
      </c>
      <c r="Y8" s="1" t="s">
        <v>2564</v>
      </c>
      <c r="Z8" s="1" t="s">
        <v>2565</v>
      </c>
      <c r="AA8" s="1" t="s">
        <v>2565</v>
      </c>
      <c r="AB8" s="1" t="s">
        <v>2566</v>
      </c>
      <c r="AC8" s="1" t="s">
        <v>2567</v>
      </c>
      <c r="AD8" s="1" t="s">
        <v>2568</v>
      </c>
      <c r="AE8" s="1">
        <v>520</v>
      </c>
      <c r="AF8" s="1">
        <v>520</v>
      </c>
      <c r="AG8" s="1">
        <v>520</v>
      </c>
      <c r="AH8" s="1">
        <v>30.3</v>
      </c>
      <c r="AI8" s="1">
        <v>30.3</v>
      </c>
      <c r="AJ8" s="1">
        <v>454.43</v>
      </c>
      <c r="AK8" s="1">
        <v>454.43</v>
      </c>
      <c r="AL8" s="1" t="s">
        <v>2505</v>
      </c>
      <c r="AM8" s="1" t="s">
        <v>2505</v>
      </c>
      <c r="AN8" s="1">
        <v>0</v>
      </c>
      <c r="AO8" s="1" t="s">
        <v>2569</v>
      </c>
      <c r="AP8" s="1" t="s">
        <v>2505</v>
      </c>
      <c r="AQ8" s="1" t="s">
        <v>2505</v>
      </c>
      <c r="AR8" s="1" t="s">
        <v>2505</v>
      </c>
      <c r="AS8" s="1" t="s">
        <v>2570</v>
      </c>
    </row>
    <row r="9" spans="1:45" s="2" customFormat="1">
      <c r="A9" s="2" t="s">
        <v>2584</v>
      </c>
      <c r="B9" s="2" t="s">
        <v>2559</v>
      </c>
      <c r="C9" s="2" t="s">
        <v>1770</v>
      </c>
      <c r="D9" s="2" t="s">
        <v>947</v>
      </c>
      <c r="E9" s="2" t="s">
        <v>2505</v>
      </c>
      <c r="F9" s="2" t="s">
        <v>2584</v>
      </c>
      <c r="G9" s="2" t="s">
        <v>2560</v>
      </c>
      <c r="H9" s="2">
        <v>2018037</v>
      </c>
      <c r="I9" s="2" t="s">
        <v>1770</v>
      </c>
      <c r="J9" s="2">
        <v>24055</v>
      </c>
      <c r="K9" s="2">
        <v>24055</v>
      </c>
      <c r="L9" s="2" t="s">
        <v>2582</v>
      </c>
      <c r="M9" s="2" t="s">
        <v>2505</v>
      </c>
      <c r="N9" s="2" t="s">
        <v>2572</v>
      </c>
      <c r="O9" s="2" t="s">
        <v>2505</v>
      </c>
      <c r="P9" s="2" t="s">
        <v>2505</v>
      </c>
      <c r="Q9" s="2" t="s">
        <v>2505</v>
      </c>
      <c r="R9" s="2" t="s">
        <v>2505</v>
      </c>
      <c r="S9" s="2" t="s">
        <v>2505</v>
      </c>
      <c r="T9" s="2" t="s">
        <v>2505</v>
      </c>
      <c r="U9" s="2" t="s">
        <v>2505</v>
      </c>
      <c r="V9" s="2" t="s">
        <v>2505</v>
      </c>
      <c r="W9" s="2" t="s">
        <v>2562</v>
      </c>
      <c r="X9" s="2" t="s">
        <v>2585</v>
      </c>
      <c r="Y9" s="2" t="s">
        <v>2586</v>
      </c>
      <c r="Z9" s="2" t="s">
        <v>2587</v>
      </c>
      <c r="AA9" s="2" t="s">
        <v>2587</v>
      </c>
      <c r="AB9" s="2" t="s">
        <v>2588</v>
      </c>
      <c r="AC9" s="2" t="s">
        <v>2567</v>
      </c>
      <c r="AD9" s="2" t="s">
        <v>338</v>
      </c>
      <c r="AE9" s="2">
        <v>1103</v>
      </c>
      <c r="AF9" s="2">
        <v>1103</v>
      </c>
      <c r="AG9" s="2">
        <v>1103</v>
      </c>
      <c r="AH9" s="2">
        <v>30.57</v>
      </c>
      <c r="AI9" s="2">
        <v>30.57</v>
      </c>
      <c r="AJ9" s="2">
        <v>458.53</v>
      </c>
      <c r="AK9" s="2">
        <v>458.52</v>
      </c>
      <c r="AL9" s="2" t="s">
        <v>2505</v>
      </c>
      <c r="AM9" s="2" t="s">
        <v>2505</v>
      </c>
      <c r="AN9" s="2">
        <v>0</v>
      </c>
      <c r="AO9" s="2" t="s">
        <v>2569</v>
      </c>
      <c r="AP9" s="2" t="s">
        <v>2505</v>
      </c>
      <c r="AQ9" s="2" t="s">
        <v>2505</v>
      </c>
      <c r="AR9" s="2" t="s">
        <v>2505</v>
      </c>
      <c r="AS9" s="2" t="s">
        <v>2570</v>
      </c>
    </row>
    <row r="10" spans="1:45" s="2" customFormat="1">
      <c r="A10" s="2" t="s">
        <v>2589</v>
      </c>
      <c r="B10" s="2" t="s">
        <v>2559</v>
      </c>
      <c r="C10" s="2" t="s">
        <v>1770</v>
      </c>
      <c r="D10" s="2" t="s">
        <v>947</v>
      </c>
      <c r="E10" s="2" t="s">
        <v>2505</v>
      </c>
      <c r="F10" s="2" t="s">
        <v>2589</v>
      </c>
      <c r="G10" s="2" t="s">
        <v>2560</v>
      </c>
      <c r="H10" s="2">
        <v>2018038</v>
      </c>
      <c r="I10" s="2" t="s">
        <v>1770</v>
      </c>
      <c r="J10" s="2">
        <v>1961.51</v>
      </c>
      <c r="K10" s="2">
        <v>1961.51</v>
      </c>
      <c r="L10" s="2" t="s">
        <v>2582</v>
      </c>
      <c r="M10" s="2" t="s">
        <v>2505</v>
      </c>
      <c r="N10" s="2" t="s">
        <v>2572</v>
      </c>
      <c r="O10" s="2" t="s">
        <v>2505</v>
      </c>
      <c r="P10" s="2" t="s">
        <v>2505</v>
      </c>
      <c r="Q10" s="2" t="s">
        <v>2505</v>
      </c>
      <c r="R10" s="2" t="s">
        <v>2505</v>
      </c>
      <c r="S10" s="2" t="s">
        <v>2505</v>
      </c>
      <c r="T10" s="2" t="s">
        <v>2505</v>
      </c>
      <c r="U10" s="2" t="s">
        <v>2505</v>
      </c>
      <c r="V10" s="2" t="s">
        <v>2505</v>
      </c>
      <c r="W10" s="2" t="s">
        <v>2562</v>
      </c>
      <c r="X10" s="2" t="s">
        <v>2585</v>
      </c>
      <c r="Y10" s="2" t="s">
        <v>2586</v>
      </c>
      <c r="Z10" s="2" t="s">
        <v>2587</v>
      </c>
      <c r="AA10" s="2" t="s">
        <v>2587</v>
      </c>
      <c r="AB10" s="2" t="s">
        <v>2588</v>
      </c>
      <c r="AC10" s="2" t="s">
        <v>2567</v>
      </c>
      <c r="AD10" s="2" t="s">
        <v>338</v>
      </c>
      <c r="AE10" s="2">
        <v>91</v>
      </c>
      <c r="AF10" s="2">
        <v>91</v>
      </c>
      <c r="AG10" s="2">
        <v>91</v>
      </c>
      <c r="AH10" s="2">
        <v>30.93</v>
      </c>
      <c r="AI10" s="2">
        <v>30.93</v>
      </c>
      <c r="AJ10" s="2">
        <v>463.92</v>
      </c>
      <c r="AK10" s="2">
        <v>463.93</v>
      </c>
      <c r="AL10" s="2" t="s">
        <v>2505</v>
      </c>
      <c r="AM10" s="2" t="s">
        <v>2505</v>
      </c>
      <c r="AN10" s="2">
        <v>0</v>
      </c>
      <c r="AO10" s="2" t="s">
        <v>2569</v>
      </c>
      <c r="AP10" s="2" t="s">
        <v>2505</v>
      </c>
      <c r="AQ10" s="2" t="s">
        <v>2505</v>
      </c>
      <c r="AR10" s="2" t="s">
        <v>2505</v>
      </c>
      <c r="AS10" s="2" t="s">
        <v>2570</v>
      </c>
    </row>
    <row r="11" spans="1:45" s="1" customFormat="1">
      <c r="A11" s="1" t="s">
        <v>2590</v>
      </c>
      <c r="B11" s="1" t="s">
        <v>2559</v>
      </c>
      <c r="C11" s="1" t="s">
        <v>1770</v>
      </c>
      <c r="D11" s="1" t="s">
        <v>947</v>
      </c>
      <c r="E11" s="1" t="s">
        <v>2505</v>
      </c>
      <c r="F11" s="1" t="s">
        <v>2590</v>
      </c>
      <c r="G11" s="1" t="s">
        <v>2560</v>
      </c>
      <c r="H11" s="1">
        <v>2018023</v>
      </c>
      <c r="I11" s="1" t="s">
        <v>1770</v>
      </c>
      <c r="J11" s="1">
        <v>8913.7000000000007</v>
      </c>
      <c r="K11" s="1">
        <v>8913.7000000000007</v>
      </c>
      <c r="L11" s="1" t="s">
        <v>2582</v>
      </c>
      <c r="M11" s="1" t="s">
        <v>2505</v>
      </c>
      <c r="N11" s="1" t="s">
        <v>2572</v>
      </c>
      <c r="O11" s="1" t="s">
        <v>2505</v>
      </c>
      <c r="P11" s="1" t="s">
        <v>2505</v>
      </c>
      <c r="Q11" s="1" t="s">
        <v>2505</v>
      </c>
      <c r="R11" s="1" t="s">
        <v>2505</v>
      </c>
      <c r="S11" s="1" t="s">
        <v>2505</v>
      </c>
      <c r="T11" s="1" t="s">
        <v>2505</v>
      </c>
      <c r="U11" s="1" t="s">
        <v>2505</v>
      </c>
      <c r="V11" s="1" t="s">
        <v>2505</v>
      </c>
      <c r="W11" s="1" t="s">
        <v>2562</v>
      </c>
      <c r="X11" s="1" t="s">
        <v>2573</v>
      </c>
      <c r="Y11" s="1" t="s">
        <v>2574</v>
      </c>
      <c r="Z11" s="1" t="s">
        <v>2575</v>
      </c>
      <c r="AA11" s="1" t="s">
        <v>2575</v>
      </c>
      <c r="AB11" s="1" t="s">
        <v>2576</v>
      </c>
      <c r="AC11" s="1" t="s">
        <v>2567</v>
      </c>
      <c r="AD11" s="1" t="s">
        <v>2577</v>
      </c>
      <c r="AE11" s="1">
        <v>407</v>
      </c>
      <c r="AF11" s="1">
        <v>407</v>
      </c>
      <c r="AG11" s="1">
        <v>407</v>
      </c>
      <c r="AH11" s="1">
        <v>30.44</v>
      </c>
      <c r="AI11" s="1">
        <v>30.44</v>
      </c>
      <c r="AJ11" s="1">
        <v>456.6</v>
      </c>
      <c r="AK11" s="1">
        <v>456.6</v>
      </c>
      <c r="AL11" s="1" t="s">
        <v>2505</v>
      </c>
      <c r="AM11" s="1" t="s">
        <v>2505</v>
      </c>
      <c r="AN11" s="1">
        <v>0</v>
      </c>
      <c r="AO11" s="1" t="s">
        <v>2569</v>
      </c>
      <c r="AP11" s="1" t="s">
        <v>2505</v>
      </c>
      <c r="AQ11" s="1" t="s">
        <v>2505</v>
      </c>
      <c r="AR11" s="1" t="s">
        <v>2505</v>
      </c>
      <c r="AS11" s="1" t="s">
        <v>2570</v>
      </c>
    </row>
    <row r="12" spans="1:45" s="1" customFormat="1">
      <c r="A12" s="1" t="s">
        <v>2571</v>
      </c>
      <c r="B12" s="1" t="s">
        <v>2559</v>
      </c>
      <c r="C12" s="1" t="s">
        <v>1770</v>
      </c>
      <c r="D12" s="1" t="s">
        <v>947</v>
      </c>
      <c r="E12" s="1" t="s">
        <v>2505</v>
      </c>
      <c r="F12" s="1" t="s">
        <v>2571</v>
      </c>
      <c r="G12" s="1" t="s">
        <v>2560</v>
      </c>
      <c r="H12" s="1">
        <v>2018009</v>
      </c>
      <c r="I12" s="1" t="s">
        <v>1770</v>
      </c>
      <c r="J12" s="1">
        <v>10012</v>
      </c>
      <c r="K12" s="1">
        <v>10012</v>
      </c>
      <c r="L12" s="1" t="s">
        <v>2582</v>
      </c>
      <c r="M12" s="1" t="s">
        <v>2505</v>
      </c>
      <c r="N12" s="1" t="s">
        <v>2572</v>
      </c>
      <c r="O12" s="1" t="s">
        <v>2505</v>
      </c>
      <c r="P12" s="1" t="s">
        <v>2505</v>
      </c>
      <c r="Q12" s="1" t="s">
        <v>2505</v>
      </c>
      <c r="R12" s="1" t="s">
        <v>2505</v>
      </c>
      <c r="S12" s="1" t="s">
        <v>2505</v>
      </c>
      <c r="T12" s="1" t="s">
        <v>2505</v>
      </c>
      <c r="U12" s="1" t="s">
        <v>2505</v>
      </c>
      <c r="V12" s="1" t="s">
        <v>2505</v>
      </c>
      <c r="W12" s="1" t="s">
        <v>2562</v>
      </c>
      <c r="X12" s="1" t="s">
        <v>2573</v>
      </c>
      <c r="Y12" s="1" t="s">
        <v>2574</v>
      </c>
      <c r="Z12" s="1" t="s">
        <v>2575</v>
      </c>
      <c r="AA12" s="1" t="s">
        <v>2575</v>
      </c>
      <c r="AB12" s="1" t="s">
        <v>2576</v>
      </c>
      <c r="AC12" s="1" t="s">
        <v>2567</v>
      </c>
      <c r="AD12" s="1" t="s">
        <v>2577</v>
      </c>
      <c r="AE12" s="1">
        <v>456</v>
      </c>
      <c r="AF12" s="1">
        <v>456</v>
      </c>
      <c r="AG12" s="1">
        <v>456</v>
      </c>
      <c r="AH12" s="1">
        <v>30.36</v>
      </c>
      <c r="AI12" s="1">
        <v>30.36</v>
      </c>
      <c r="AJ12" s="1">
        <v>455.45</v>
      </c>
      <c r="AK12" s="1">
        <v>455.44</v>
      </c>
      <c r="AL12" s="1" t="s">
        <v>2505</v>
      </c>
      <c r="AM12" s="1" t="s">
        <v>2505</v>
      </c>
      <c r="AN12" s="1">
        <v>0</v>
      </c>
      <c r="AO12" s="1" t="s">
        <v>2569</v>
      </c>
      <c r="AP12" s="1" t="s">
        <v>2505</v>
      </c>
      <c r="AQ12" s="1" t="s">
        <v>2505</v>
      </c>
      <c r="AR12" s="1" t="s">
        <v>2505</v>
      </c>
      <c r="AS12" s="1" t="s">
        <v>2570</v>
      </c>
    </row>
    <row r="13" spans="1:45" s="1" customFormat="1" hidden="1">
      <c r="A13" s="1" t="s">
        <v>2558</v>
      </c>
      <c r="B13" s="1" t="s">
        <v>2559</v>
      </c>
      <c r="C13" s="1" t="s">
        <v>1770</v>
      </c>
      <c r="D13" s="1" t="s">
        <v>947</v>
      </c>
      <c r="E13" s="1" t="s">
        <v>2505</v>
      </c>
      <c r="F13" s="1" t="s">
        <v>2558</v>
      </c>
      <c r="G13" s="1" t="s">
        <v>2560</v>
      </c>
      <c r="H13" s="1">
        <v>2018027</v>
      </c>
      <c r="I13" s="1" t="s">
        <v>1774</v>
      </c>
      <c r="J13" s="1">
        <v>11442.82</v>
      </c>
      <c r="K13" s="1">
        <v>11442.82</v>
      </c>
      <c r="L13" s="1" t="s">
        <v>2582</v>
      </c>
      <c r="M13" s="1" t="s">
        <v>2505</v>
      </c>
      <c r="N13" s="1" t="s">
        <v>2561</v>
      </c>
      <c r="O13" s="1" t="s">
        <v>2505</v>
      </c>
      <c r="P13" s="1" t="s">
        <v>2505</v>
      </c>
      <c r="Q13" s="1" t="s">
        <v>2505</v>
      </c>
      <c r="R13" s="1" t="s">
        <v>2505</v>
      </c>
      <c r="S13" s="1" t="s">
        <v>2505</v>
      </c>
      <c r="T13" s="1" t="s">
        <v>2505</v>
      </c>
      <c r="U13" s="1" t="s">
        <v>2505</v>
      </c>
      <c r="V13" s="1" t="s">
        <v>2505</v>
      </c>
      <c r="W13" s="1" t="s">
        <v>2505</v>
      </c>
      <c r="X13" s="1" t="s">
        <v>2573</v>
      </c>
      <c r="Y13" s="1" t="s">
        <v>2574</v>
      </c>
      <c r="Z13" s="1" t="s">
        <v>2575</v>
      </c>
      <c r="AA13" s="1" t="s">
        <v>2505</v>
      </c>
      <c r="AB13" s="1" t="s">
        <v>2576</v>
      </c>
      <c r="AC13" s="1" t="s">
        <v>2591</v>
      </c>
      <c r="AD13" s="1" t="s">
        <v>2505</v>
      </c>
      <c r="AE13" s="1">
        <v>520</v>
      </c>
      <c r="AF13" s="1">
        <v>520</v>
      </c>
      <c r="AG13" s="1" t="s">
        <v>2505</v>
      </c>
      <c r="AH13" s="1">
        <v>30.3</v>
      </c>
      <c r="AI13" s="1" t="s">
        <v>2505</v>
      </c>
      <c r="AJ13" s="1">
        <v>454.43</v>
      </c>
      <c r="AK13" s="1" t="s">
        <v>2505</v>
      </c>
      <c r="AL13" s="1" t="s">
        <v>2505</v>
      </c>
      <c r="AM13" s="1" t="s">
        <v>2505</v>
      </c>
      <c r="AN13" s="1" t="s">
        <v>2505</v>
      </c>
      <c r="AO13" s="1" t="s">
        <v>2569</v>
      </c>
      <c r="AP13" s="1" t="s">
        <v>2505</v>
      </c>
      <c r="AQ13" s="1" t="s">
        <v>2505</v>
      </c>
      <c r="AR13" s="1" t="s">
        <v>2505</v>
      </c>
      <c r="AS13" s="1" t="s">
        <v>2570</v>
      </c>
    </row>
    <row r="14" spans="1:45" s="1" customFormat="1">
      <c r="A14" s="1" t="s">
        <v>2578</v>
      </c>
      <c r="B14" s="1" t="s">
        <v>2559</v>
      </c>
      <c r="C14" s="1" t="s">
        <v>1770</v>
      </c>
      <c r="D14" s="1" t="s">
        <v>947</v>
      </c>
      <c r="E14" s="1" t="s">
        <v>2505</v>
      </c>
      <c r="F14" s="1" t="s">
        <v>2578</v>
      </c>
      <c r="G14" s="1" t="s">
        <v>2560</v>
      </c>
      <c r="H14" s="1">
        <v>2018034</v>
      </c>
      <c r="I14" s="1" t="s">
        <v>1770</v>
      </c>
      <c r="J14" s="1">
        <v>54125.4</v>
      </c>
      <c r="K14" s="1">
        <v>54125.4</v>
      </c>
      <c r="L14" s="1" t="s">
        <v>2582</v>
      </c>
      <c r="M14" s="1" t="s">
        <v>2505</v>
      </c>
      <c r="N14" s="1" t="s">
        <v>2572</v>
      </c>
      <c r="O14" s="1" t="s">
        <v>2505</v>
      </c>
      <c r="P14" s="1" t="s">
        <v>2505</v>
      </c>
      <c r="Q14" s="1" t="s">
        <v>2505</v>
      </c>
      <c r="R14" s="1" t="s">
        <v>2505</v>
      </c>
      <c r="S14" s="1" t="s">
        <v>2505</v>
      </c>
      <c r="T14" s="1" t="s">
        <v>2505</v>
      </c>
      <c r="U14" s="1" t="s">
        <v>2505</v>
      </c>
      <c r="V14" s="1" t="s">
        <v>2505</v>
      </c>
      <c r="W14" s="1" t="s">
        <v>2562</v>
      </c>
      <c r="X14" s="1" t="s">
        <v>2573</v>
      </c>
      <c r="Y14" s="1" t="s">
        <v>2574</v>
      </c>
      <c r="Z14" s="1" t="s">
        <v>2575</v>
      </c>
      <c r="AA14" s="1" t="s">
        <v>2575</v>
      </c>
      <c r="AB14" s="1" t="s">
        <v>2576</v>
      </c>
      <c r="AC14" s="1" t="s">
        <v>2567</v>
      </c>
      <c r="AD14" s="1" t="s">
        <v>2579</v>
      </c>
      <c r="AE14" s="1">
        <v>2456</v>
      </c>
      <c r="AF14" s="1">
        <v>2456</v>
      </c>
      <c r="AG14" s="1">
        <v>2456</v>
      </c>
      <c r="AH14" s="1">
        <v>30.25</v>
      </c>
      <c r="AI14" s="1">
        <v>30.25</v>
      </c>
      <c r="AJ14" s="1">
        <v>453.76</v>
      </c>
      <c r="AK14" s="1">
        <v>453.75</v>
      </c>
      <c r="AL14" s="1" t="s">
        <v>2505</v>
      </c>
      <c r="AM14" s="1" t="s">
        <v>2505</v>
      </c>
      <c r="AN14" s="1">
        <v>0</v>
      </c>
      <c r="AO14" s="1" t="s">
        <v>2569</v>
      </c>
      <c r="AP14" s="1" t="s">
        <v>2505</v>
      </c>
      <c r="AQ14" s="1" t="s">
        <v>2505</v>
      </c>
      <c r="AR14" s="1" t="s">
        <v>2505</v>
      </c>
      <c r="AS14" s="1" t="s">
        <v>2570</v>
      </c>
    </row>
    <row r="15" spans="1:45" s="1" customFormat="1">
      <c r="A15" s="1" t="s">
        <v>2592</v>
      </c>
      <c r="B15" s="1" t="s">
        <v>2559</v>
      </c>
      <c r="C15" s="1" t="s">
        <v>1770</v>
      </c>
      <c r="D15" s="1" t="s">
        <v>947</v>
      </c>
      <c r="E15" s="1" t="s">
        <v>2505</v>
      </c>
      <c r="F15" s="1" t="s">
        <v>2592</v>
      </c>
      <c r="G15" s="1" t="s">
        <v>2560</v>
      </c>
      <c r="H15" s="1">
        <v>2018033</v>
      </c>
      <c r="I15" s="1" t="s">
        <v>1770</v>
      </c>
      <c r="J15" s="1">
        <v>60876</v>
      </c>
      <c r="K15" s="1">
        <v>42613.2</v>
      </c>
      <c r="L15" s="1" t="s">
        <v>2593</v>
      </c>
      <c r="M15" s="1" t="s">
        <v>2505</v>
      </c>
      <c r="N15" s="1" t="s">
        <v>2572</v>
      </c>
      <c r="O15" s="1" t="s">
        <v>2505</v>
      </c>
      <c r="P15" s="1" t="s">
        <v>2505</v>
      </c>
      <c r="Q15" s="1" t="s">
        <v>2505</v>
      </c>
      <c r="R15" s="1" t="s">
        <v>2505</v>
      </c>
      <c r="S15" s="1" t="s">
        <v>2505</v>
      </c>
      <c r="T15" s="1" t="s">
        <v>2505</v>
      </c>
      <c r="U15" s="1" t="s">
        <v>2505</v>
      </c>
      <c r="V15" s="1" t="s">
        <v>2505</v>
      </c>
      <c r="W15" s="1" t="s">
        <v>2562</v>
      </c>
      <c r="X15" s="1" t="s">
        <v>2573</v>
      </c>
      <c r="Y15" s="1" t="s">
        <v>2574</v>
      </c>
      <c r="Z15" s="1" t="s">
        <v>2575</v>
      </c>
      <c r="AA15" s="1" t="s">
        <v>2575</v>
      </c>
      <c r="AB15" s="1" t="s">
        <v>2576</v>
      </c>
      <c r="AC15" s="1" t="s">
        <v>2567</v>
      </c>
      <c r="AD15" s="1" t="s">
        <v>2594</v>
      </c>
      <c r="AE15" s="1">
        <v>2760</v>
      </c>
      <c r="AF15" s="1">
        <v>2760</v>
      </c>
      <c r="AG15" s="1">
        <v>2760</v>
      </c>
      <c r="AH15" s="1">
        <v>30.23</v>
      </c>
      <c r="AI15" s="1">
        <v>30.23</v>
      </c>
      <c r="AJ15" s="1">
        <v>647.67999999999995</v>
      </c>
      <c r="AK15" s="1">
        <v>647.69000000000005</v>
      </c>
      <c r="AL15" s="1" t="s">
        <v>2505</v>
      </c>
      <c r="AM15" s="1" t="s">
        <v>2505</v>
      </c>
      <c r="AN15" s="1">
        <v>0</v>
      </c>
      <c r="AO15" s="1" t="s">
        <v>2569</v>
      </c>
      <c r="AP15" s="1" t="s">
        <v>2505</v>
      </c>
      <c r="AQ15" s="1" t="s">
        <v>2505</v>
      </c>
      <c r="AR15" s="1" t="s">
        <v>2505</v>
      </c>
      <c r="AS15" s="1" t="s">
        <v>2570</v>
      </c>
    </row>
    <row r="16" spans="1:45" s="1" customFormat="1">
      <c r="A16" s="1" t="s">
        <v>2571</v>
      </c>
      <c r="B16" s="1" t="s">
        <v>2559</v>
      </c>
      <c r="C16" s="1" t="s">
        <v>1770</v>
      </c>
      <c r="D16" s="1" t="s">
        <v>947</v>
      </c>
      <c r="E16" s="1" t="s">
        <v>2505</v>
      </c>
      <c r="F16" s="1" t="s">
        <v>2571</v>
      </c>
      <c r="G16" s="1" t="s">
        <v>2560</v>
      </c>
      <c r="H16" s="1">
        <v>2018014</v>
      </c>
      <c r="I16" s="1" t="s">
        <v>1774</v>
      </c>
      <c r="J16" s="1">
        <v>969.2</v>
      </c>
      <c r="K16" s="1">
        <v>969.2</v>
      </c>
      <c r="L16" s="1" t="s">
        <v>2582</v>
      </c>
      <c r="M16" s="1" t="s">
        <v>2505</v>
      </c>
      <c r="N16" s="1" t="s">
        <v>2561</v>
      </c>
      <c r="O16" s="1" t="s">
        <v>2505</v>
      </c>
      <c r="P16" s="1" t="s">
        <v>2505</v>
      </c>
      <c r="Q16" s="1" t="s">
        <v>2505</v>
      </c>
      <c r="R16" s="1" t="s">
        <v>2505</v>
      </c>
      <c r="S16" s="1" t="s">
        <v>2505</v>
      </c>
      <c r="T16" s="1" t="s">
        <v>2505</v>
      </c>
      <c r="U16" s="1" t="s">
        <v>2505</v>
      </c>
      <c r="V16" s="1" t="s">
        <v>2505</v>
      </c>
      <c r="W16" s="1" t="s">
        <v>2562</v>
      </c>
      <c r="X16" s="1" t="s">
        <v>2573</v>
      </c>
      <c r="Y16" s="1" t="s">
        <v>2574</v>
      </c>
      <c r="Z16" s="1" t="s">
        <v>2575</v>
      </c>
      <c r="AA16" s="1" t="s">
        <v>2575</v>
      </c>
      <c r="AB16" s="1" t="s">
        <v>2576</v>
      </c>
      <c r="AC16" s="1" t="s">
        <v>2567</v>
      </c>
      <c r="AD16" s="1" t="s">
        <v>2577</v>
      </c>
      <c r="AE16" s="1">
        <v>45</v>
      </c>
      <c r="AF16" s="1">
        <v>45</v>
      </c>
      <c r="AG16" s="1">
        <v>45</v>
      </c>
      <c r="AH16" s="1">
        <v>30.95</v>
      </c>
      <c r="AI16" s="1">
        <v>30.95</v>
      </c>
      <c r="AJ16" s="1">
        <v>464.3</v>
      </c>
      <c r="AK16" s="1">
        <v>464.3</v>
      </c>
      <c r="AL16" s="1" t="s">
        <v>2505</v>
      </c>
      <c r="AM16" s="1" t="s">
        <v>2505</v>
      </c>
      <c r="AN16" s="1">
        <v>0</v>
      </c>
      <c r="AO16" s="1" t="s">
        <v>2569</v>
      </c>
      <c r="AP16" s="1" t="s">
        <v>2505</v>
      </c>
      <c r="AQ16" s="1" t="s">
        <v>2505</v>
      </c>
      <c r="AR16" s="1" t="s">
        <v>2505</v>
      </c>
      <c r="AS16" s="1" t="s">
        <v>2570</v>
      </c>
    </row>
    <row r="17" spans="1:45" s="1" customFormat="1">
      <c r="A17" s="1" t="s">
        <v>2595</v>
      </c>
      <c r="B17" s="1" t="s">
        <v>2559</v>
      </c>
      <c r="C17" s="1" t="s">
        <v>1770</v>
      </c>
      <c r="D17" s="1" t="s">
        <v>947</v>
      </c>
      <c r="E17" s="1" t="s">
        <v>2505</v>
      </c>
      <c r="F17" s="1" t="s">
        <v>2595</v>
      </c>
      <c r="G17" s="1" t="s">
        <v>2560</v>
      </c>
      <c r="H17" s="1">
        <v>2018011</v>
      </c>
      <c r="I17" s="1" t="s">
        <v>1770</v>
      </c>
      <c r="J17" s="1">
        <v>20646.53</v>
      </c>
      <c r="K17" s="1">
        <v>20646.53</v>
      </c>
      <c r="L17" s="1" t="s">
        <v>2582</v>
      </c>
      <c r="M17" s="1" t="s">
        <v>2505</v>
      </c>
      <c r="N17" s="1" t="s">
        <v>2572</v>
      </c>
      <c r="O17" s="1" t="s">
        <v>2505</v>
      </c>
      <c r="P17" s="1" t="s">
        <v>2505</v>
      </c>
      <c r="Q17" s="1" t="s">
        <v>2505</v>
      </c>
      <c r="R17" s="1" t="s">
        <v>2505</v>
      </c>
      <c r="S17" s="1" t="s">
        <v>2505</v>
      </c>
      <c r="T17" s="1" t="s">
        <v>2505</v>
      </c>
      <c r="U17" s="1" t="s">
        <v>2505</v>
      </c>
      <c r="V17" s="1" t="s">
        <v>2505</v>
      </c>
      <c r="W17" s="1" t="s">
        <v>2596</v>
      </c>
      <c r="X17" s="1" t="s">
        <v>2597</v>
      </c>
      <c r="Y17" s="1" t="s">
        <v>2598</v>
      </c>
      <c r="Z17" s="1" t="s">
        <v>2599</v>
      </c>
      <c r="AA17" s="1" t="s">
        <v>2599</v>
      </c>
      <c r="AB17" s="1" t="s">
        <v>2600</v>
      </c>
      <c r="AC17" s="1" t="s">
        <v>2567</v>
      </c>
      <c r="AD17" s="1" t="s">
        <v>2601</v>
      </c>
      <c r="AE17" s="1">
        <v>934</v>
      </c>
      <c r="AF17" s="1">
        <v>934</v>
      </c>
      <c r="AG17" s="1">
        <v>934</v>
      </c>
      <c r="AH17" s="1">
        <v>30.16</v>
      </c>
      <c r="AI17" s="1">
        <v>30.16</v>
      </c>
      <c r="AJ17" s="1">
        <v>452.37</v>
      </c>
      <c r="AK17" s="1">
        <v>452.37</v>
      </c>
      <c r="AL17" s="1" t="s">
        <v>2505</v>
      </c>
      <c r="AM17" s="1" t="s">
        <v>2505</v>
      </c>
      <c r="AN17" s="1">
        <v>0</v>
      </c>
      <c r="AO17" s="1" t="s">
        <v>2569</v>
      </c>
      <c r="AP17" s="1" t="s">
        <v>2505</v>
      </c>
      <c r="AQ17" s="1" t="s">
        <v>2505</v>
      </c>
      <c r="AR17" s="1" t="s">
        <v>2505</v>
      </c>
      <c r="AS17" s="1" t="s">
        <v>2570</v>
      </c>
    </row>
    <row r="18" spans="1:45" s="1" customFormat="1">
      <c r="A18" s="1" t="s">
        <v>2602</v>
      </c>
      <c r="B18" s="1" t="s">
        <v>2559</v>
      </c>
      <c r="C18" s="1" t="s">
        <v>1770</v>
      </c>
      <c r="D18" s="1" t="s">
        <v>947</v>
      </c>
      <c r="E18" s="1" t="s">
        <v>2505</v>
      </c>
      <c r="F18" s="1" t="s">
        <v>2602</v>
      </c>
      <c r="G18" s="1" t="s">
        <v>2560</v>
      </c>
      <c r="H18" s="1">
        <v>2018010</v>
      </c>
      <c r="I18" s="1" t="s">
        <v>1770</v>
      </c>
      <c r="J18" s="1">
        <v>30215</v>
      </c>
      <c r="K18" s="1">
        <v>30215</v>
      </c>
      <c r="L18" s="1" t="s">
        <v>2582</v>
      </c>
      <c r="M18" s="1" t="s">
        <v>2505</v>
      </c>
      <c r="N18" s="1" t="s">
        <v>2572</v>
      </c>
      <c r="O18" s="1" t="s">
        <v>2505</v>
      </c>
      <c r="P18" s="1" t="s">
        <v>2505</v>
      </c>
      <c r="Q18" s="1" t="s">
        <v>2505</v>
      </c>
      <c r="R18" s="1" t="s">
        <v>2505</v>
      </c>
      <c r="S18" s="1" t="s">
        <v>2505</v>
      </c>
      <c r="T18" s="1" t="s">
        <v>2505</v>
      </c>
      <c r="U18" s="1" t="s">
        <v>2505</v>
      </c>
      <c r="V18" s="1" t="s">
        <v>2505</v>
      </c>
      <c r="W18" s="1" t="s">
        <v>2596</v>
      </c>
      <c r="X18" s="1" t="s">
        <v>2597</v>
      </c>
      <c r="Y18" s="1" t="s">
        <v>2598</v>
      </c>
      <c r="Z18" s="1" t="s">
        <v>2599</v>
      </c>
      <c r="AA18" s="1" t="s">
        <v>2599</v>
      </c>
      <c r="AB18" s="1" t="s">
        <v>2600</v>
      </c>
      <c r="AC18" s="1" t="s">
        <v>2567</v>
      </c>
      <c r="AD18" s="1" t="s">
        <v>2603</v>
      </c>
      <c r="AE18" s="1">
        <v>1370</v>
      </c>
      <c r="AF18" s="1">
        <v>1370</v>
      </c>
      <c r="AG18" s="1">
        <v>1370</v>
      </c>
      <c r="AH18" s="1">
        <v>30.23</v>
      </c>
      <c r="AI18" s="1">
        <v>30.23</v>
      </c>
      <c r="AJ18" s="1">
        <v>453.41</v>
      </c>
      <c r="AK18" s="1">
        <v>453.42</v>
      </c>
      <c r="AL18" s="1" t="s">
        <v>2505</v>
      </c>
      <c r="AM18" s="1" t="s">
        <v>2505</v>
      </c>
      <c r="AN18" s="1">
        <v>0</v>
      </c>
      <c r="AO18" s="1" t="s">
        <v>2569</v>
      </c>
      <c r="AP18" s="1" t="s">
        <v>2505</v>
      </c>
      <c r="AQ18" s="1" t="s">
        <v>2505</v>
      </c>
      <c r="AR18" s="1" t="s">
        <v>2505</v>
      </c>
      <c r="AS18" s="1" t="s">
        <v>2570</v>
      </c>
    </row>
    <row r="19" spans="1:45" s="1" customFormat="1" hidden="1">
      <c r="A19" s="1" t="s">
        <v>2604</v>
      </c>
      <c r="B19" s="1" t="s">
        <v>2559</v>
      </c>
      <c r="C19" s="1" t="s">
        <v>1770</v>
      </c>
      <c r="D19" s="1" t="s">
        <v>947</v>
      </c>
      <c r="E19" s="1" t="s">
        <v>2505</v>
      </c>
      <c r="F19" s="1" t="s">
        <v>2604</v>
      </c>
      <c r="G19" s="1" t="s">
        <v>2560</v>
      </c>
      <c r="H19" s="1">
        <v>2018027</v>
      </c>
      <c r="I19" s="1" t="s">
        <v>1770</v>
      </c>
      <c r="J19" s="1">
        <v>11442.82</v>
      </c>
      <c r="K19" s="1">
        <v>11442.82</v>
      </c>
      <c r="L19" s="1" t="s">
        <v>2582</v>
      </c>
      <c r="M19" s="1" t="s">
        <v>2505</v>
      </c>
      <c r="N19" s="1" t="s">
        <v>2561</v>
      </c>
      <c r="O19" s="1" t="s">
        <v>2505</v>
      </c>
      <c r="P19" s="1" t="s">
        <v>2505</v>
      </c>
      <c r="Q19" s="1" t="s">
        <v>2505</v>
      </c>
      <c r="R19" s="1" t="s">
        <v>2505</v>
      </c>
      <c r="S19" s="1" t="s">
        <v>2505</v>
      </c>
      <c r="T19" s="1" t="s">
        <v>2505</v>
      </c>
      <c r="U19" s="1" t="s">
        <v>2505</v>
      </c>
      <c r="V19" s="1" t="s">
        <v>2505</v>
      </c>
      <c r="W19" s="1" t="s">
        <v>2505</v>
      </c>
      <c r="X19" s="1" t="s">
        <v>2597</v>
      </c>
      <c r="Y19" s="1" t="s">
        <v>2598</v>
      </c>
      <c r="Z19" s="1" t="s">
        <v>2599</v>
      </c>
      <c r="AA19" s="1" t="s">
        <v>2505</v>
      </c>
      <c r="AB19" s="1" t="s">
        <v>2605</v>
      </c>
      <c r="AC19" s="1" t="s">
        <v>2591</v>
      </c>
      <c r="AD19" s="1" t="s">
        <v>2505</v>
      </c>
      <c r="AE19" s="1">
        <v>520</v>
      </c>
      <c r="AF19" s="1">
        <v>520</v>
      </c>
      <c r="AG19" s="1" t="s">
        <v>2505</v>
      </c>
      <c r="AH19" s="1">
        <v>30.3</v>
      </c>
      <c r="AI19" s="1" t="s">
        <v>2505</v>
      </c>
      <c r="AJ19" s="1">
        <v>454.43</v>
      </c>
      <c r="AK19" s="1" t="s">
        <v>2505</v>
      </c>
      <c r="AL19" s="1" t="s">
        <v>2505</v>
      </c>
      <c r="AM19" s="1" t="s">
        <v>2505</v>
      </c>
      <c r="AN19" s="1" t="s">
        <v>2505</v>
      </c>
      <c r="AO19" s="1" t="s">
        <v>2569</v>
      </c>
      <c r="AP19" s="1" t="s">
        <v>2505</v>
      </c>
      <c r="AQ19" s="1" t="s">
        <v>2505</v>
      </c>
      <c r="AR19" s="1" t="s">
        <v>2505</v>
      </c>
      <c r="AS19" s="1" t="s">
        <v>2570</v>
      </c>
    </row>
    <row r="20" spans="1:45" s="1" customFormat="1">
      <c r="A20" s="1" t="s">
        <v>2606</v>
      </c>
      <c r="B20" s="1" t="s">
        <v>2559</v>
      </c>
      <c r="C20" s="1" t="s">
        <v>1770</v>
      </c>
      <c r="D20" s="1" t="s">
        <v>947</v>
      </c>
      <c r="E20" s="1" t="s">
        <v>2505</v>
      </c>
      <c r="F20" s="1" t="s">
        <v>2606</v>
      </c>
      <c r="G20" s="1" t="s">
        <v>2560</v>
      </c>
      <c r="H20" s="1">
        <v>2018026</v>
      </c>
      <c r="I20" s="1" t="s">
        <v>1770</v>
      </c>
      <c r="J20" s="1">
        <v>32665.77</v>
      </c>
      <c r="K20" s="1">
        <v>32665.77</v>
      </c>
      <c r="L20" s="1" t="s">
        <v>2582</v>
      </c>
      <c r="M20" s="1" t="s">
        <v>2505</v>
      </c>
      <c r="N20" s="1" t="s">
        <v>2572</v>
      </c>
      <c r="O20" s="1" t="s">
        <v>2505</v>
      </c>
      <c r="P20" s="1" t="s">
        <v>2505</v>
      </c>
      <c r="Q20" s="1" t="s">
        <v>2505</v>
      </c>
      <c r="R20" s="1" t="s">
        <v>2505</v>
      </c>
      <c r="S20" s="1" t="s">
        <v>2505</v>
      </c>
      <c r="T20" s="1" t="s">
        <v>2505</v>
      </c>
      <c r="U20" s="1" t="s">
        <v>2505</v>
      </c>
      <c r="V20" s="1" t="s">
        <v>2505</v>
      </c>
      <c r="W20" s="1" t="s">
        <v>2596</v>
      </c>
      <c r="X20" s="1" t="s">
        <v>2597</v>
      </c>
      <c r="Y20" s="1" t="s">
        <v>2598</v>
      </c>
      <c r="Z20" s="1" t="s">
        <v>2599</v>
      </c>
      <c r="AA20" s="1" t="s">
        <v>2599</v>
      </c>
      <c r="AB20" s="1" t="s">
        <v>2605</v>
      </c>
      <c r="AC20" s="1" t="s">
        <v>2567</v>
      </c>
      <c r="AD20" s="1" t="s">
        <v>2607</v>
      </c>
      <c r="AE20" s="1">
        <v>1480</v>
      </c>
      <c r="AF20" s="1">
        <v>1480</v>
      </c>
      <c r="AG20" s="1">
        <v>1480</v>
      </c>
      <c r="AH20" s="1">
        <v>30.2</v>
      </c>
      <c r="AI20" s="1">
        <v>30.2</v>
      </c>
      <c r="AJ20" s="1">
        <v>453.07</v>
      </c>
      <c r="AK20" s="1">
        <v>453.06</v>
      </c>
      <c r="AL20" s="1" t="s">
        <v>2505</v>
      </c>
      <c r="AM20" s="1" t="s">
        <v>2505</v>
      </c>
      <c r="AN20" s="1">
        <v>0</v>
      </c>
      <c r="AO20" s="1" t="s">
        <v>2569</v>
      </c>
      <c r="AP20" s="1" t="s">
        <v>2505</v>
      </c>
      <c r="AQ20" s="1" t="s">
        <v>2505</v>
      </c>
      <c r="AR20" s="1" t="s">
        <v>2505</v>
      </c>
      <c r="AS20" s="1" t="s">
        <v>2570</v>
      </c>
    </row>
    <row r="21" spans="1:45" s="1" customFormat="1">
      <c r="A21" s="1" t="s">
        <v>2608</v>
      </c>
      <c r="B21" s="1" t="s">
        <v>2559</v>
      </c>
      <c r="C21" s="1" t="s">
        <v>1770</v>
      </c>
      <c r="D21" s="1" t="s">
        <v>947</v>
      </c>
      <c r="E21" s="1" t="s">
        <v>2505</v>
      </c>
      <c r="F21" s="1" t="s">
        <v>2608</v>
      </c>
      <c r="G21" s="1" t="s">
        <v>2560</v>
      </c>
      <c r="H21" s="1">
        <v>2018025</v>
      </c>
      <c r="I21" s="1" t="s">
        <v>1770</v>
      </c>
      <c r="J21" s="1">
        <v>19983.95</v>
      </c>
      <c r="K21" s="1">
        <v>19983.95</v>
      </c>
      <c r="L21" s="1" t="s">
        <v>2582</v>
      </c>
      <c r="M21" s="1" t="s">
        <v>2505</v>
      </c>
      <c r="N21" s="1" t="s">
        <v>2572</v>
      </c>
      <c r="O21" s="1" t="s">
        <v>2505</v>
      </c>
      <c r="P21" s="1" t="s">
        <v>2505</v>
      </c>
      <c r="Q21" s="1" t="s">
        <v>2505</v>
      </c>
      <c r="R21" s="1" t="s">
        <v>2505</v>
      </c>
      <c r="S21" s="1" t="s">
        <v>2505</v>
      </c>
      <c r="T21" s="1" t="s">
        <v>2505</v>
      </c>
      <c r="U21" s="1" t="s">
        <v>2505</v>
      </c>
      <c r="V21" s="1" t="s">
        <v>2505</v>
      </c>
      <c r="W21" s="1" t="s">
        <v>2596</v>
      </c>
      <c r="X21" s="1" t="s">
        <v>2597</v>
      </c>
      <c r="Y21" s="1" t="s">
        <v>2598</v>
      </c>
      <c r="Z21" s="1" t="s">
        <v>2599</v>
      </c>
      <c r="AA21" s="1" t="s">
        <v>2599</v>
      </c>
      <c r="AB21" s="1" t="s">
        <v>2605</v>
      </c>
      <c r="AC21" s="1" t="s">
        <v>2567</v>
      </c>
      <c r="AD21" s="1" t="s">
        <v>2609</v>
      </c>
      <c r="AE21" s="1">
        <v>905</v>
      </c>
      <c r="AF21" s="1">
        <v>905</v>
      </c>
      <c r="AG21" s="1">
        <v>905</v>
      </c>
      <c r="AH21" s="1">
        <v>30.19</v>
      </c>
      <c r="AI21" s="1">
        <v>30.19</v>
      </c>
      <c r="AJ21" s="1">
        <v>452.86</v>
      </c>
      <c r="AK21" s="1">
        <v>452.86</v>
      </c>
      <c r="AL21" s="1" t="s">
        <v>2505</v>
      </c>
      <c r="AM21" s="1" t="s">
        <v>2505</v>
      </c>
      <c r="AN21" s="1">
        <v>0</v>
      </c>
      <c r="AO21" s="1" t="s">
        <v>2569</v>
      </c>
      <c r="AP21" s="1" t="s">
        <v>2505</v>
      </c>
      <c r="AQ21" s="1" t="s">
        <v>2505</v>
      </c>
      <c r="AR21" s="1" t="s">
        <v>2505</v>
      </c>
      <c r="AS21" s="1" t="s">
        <v>2570</v>
      </c>
    </row>
    <row r="22" spans="1:45" s="1" customFormat="1">
      <c r="A22" s="1" t="s">
        <v>2610</v>
      </c>
      <c r="B22" s="1" t="s">
        <v>2559</v>
      </c>
      <c r="C22" s="1" t="s">
        <v>1770</v>
      </c>
      <c r="D22" s="1" t="s">
        <v>947</v>
      </c>
      <c r="E22" s="1" t="s">
        <v>2505</v>
      </c>
      <c r="F22" s="1" t="s">
        <v>2610</v>
      </c>
      <c r="G22" s="1" t="s">
        <v>2560</v>
      </c>
      <c r="H22" s="1">
        <v>2018024</v>
      </c>
      <c r="I22" s="1" t="s">
        <v>1770</v>
      </c>
      <c r="J22" s="1">
        <v>46663.77</v>
      </c>
      <c r="K22" s="1">
        <v>46663.77</v>
      </c>
      <c r="L22" s="1" t="s">
        <v>2582</v>
      </c>
      <c r="M22" s="1" t="s">
        <v>2505</v>
      </c>
      <c r="N22" s="1" t="s">
        <v>2572</v>
      </c>
      <c r="O22" s="1" t="s">
        <v>2505</v>
      </c>
      <c r="P22" s="1" t="s">
        <v>2505</v>
      </c>
      <c r="Q22" s="1" t="s">
        <v>2505</v>
      </c>
      <c r="R22" s="1" t="s">
        <v>2505</v>
      </c>
      <c r="S22" s="1" t="s">
        <v>2505</v>
      </c>
      <c r="T22" s="1" t="s">
        <v>2505</v>
      </c>
      <c r="U22" s="1" t="s">
        <v>2505</v>
      </c>
      <c r="V22" s="1" t="s">
        <v>2505</v>
      </c>
      <c r="W22" s="1" t="s">
        <v>2596</v>
      </c>
      <c r="X22" s="1" t="s">
        <v>2597</v>
      </c>
      <c r="Y22" s="1" t="s">
        <v>2598</v>
      </c>
      <c r="Z22" s="1" t="s">
        <v>2599</v>
      </c>
      <c r="AA22" s="1" t="s">
        <v>2599</v>
      </c>
      <c r="AB22" s="1" t="s">
        <v>2605</v>
      </c>
      <c r="AC22" s="1" t="s">
        <v>2567</v>
      </c>
      <c r="AD22" s="1" t="s">
        <v>2611</v>
      </c>
      <c r="AE22" s="1">
        <v>2120</v>
      </c>
      <c r="AF22" s="1">
        <v>2120</v>
      </c>
      <c r="AG22" s="1">
        <v>2120</v>
      </c>
      <c r="AH22" s="1">
        <v>30.29</v>
      </c>
      <c r="AI22" s="1">
        <v>30.29</v>
      </c>
      <c r="AJ22" s="1">
        <v>454.31</v>
      </c>
      <c r="AK22" s="1">
        <v>454.31</v>
      </c>
      <c r="AL22" s="1" t="s">
        <v>2505</v>
      </c>
      <c r="AM22" s="1" t="s">
        <v>2505</v>
      </c>
      <c r="AN22" s="1">
        <v>0</v>
      </c>
      <c r="AO22" s="1" t="s">
        <v>2569</v>
      </c>
      <c r="AP22" s="1" t="s">
        <v>2505</v>
      </c>
      <c r="AQ22" s="1" t="s">
        <v>2505</v>
      </c>
      <c r="AR22" s="1" t="s">
        <v>2505</v>
      </c>
      <c r="AS22" s="1" t="s">
        <v>2570</v>
      </c>
    </row>
    <row r="23" spans="1:45" s="1" customFormat="1">
      <c r="A23" s="1" t="s">
        <v>2612</v>
      </c>
      <c r="B23" s="1" t="s">
        <v>2559</v>
      </c>
      <c r="C23" s="1" t="s">
        <v>1770</v>
      </c>
      <c r="D23" s="1" t="s">
        <v>947</v>
      </c>
      <c r="E23" s="1" t="s">
        <v>2505</v>
      </c>
      <c r="F23" s="1" t="s">
        <v>2612</v>
      </c>
      <c r="G23" s="1" t="s">
        <v>2560</v>
      </c>
      <c r="H23" s="1">
        <v>2018019</v>
      </c>
      <c r="I23" s="1" t="s">
        <v>1770</v>
      </c>
      <c r="J23" s="1">
        <v>42809</v>
      </c>
      <c r="K23" s="1">
        <v>42809</v>
      </c>
      <c r="L23" s="1" t="s">
        <v>2582</v>
      </c>
      <c r="M23" s="1" t="s">
        <v>2505</v>
      </c>
      <c r="N23" s="1" t="s">
        <v>2572</v>
      </c>
      <c r="O23" s="1" t="s">
        <v>2505</v>
      </c>
      <c r="P23" s="1" t="s">
        <v>2505</v>
      </c>
      <c r="Q23" s="1" t="s">
        <v>2505</v>
      </c>
      <c r="R23" s="1" t="s">
        <v>2505</v>
      </c>
      <c r="S23" s="1" t="s">
        <v>2505</v>
      </c>
      <c r="T23" s="1" t="s">
        <v>2505</v>
      </c>
      <c r="U23" s="1" t="s">
        <v>2505</v>
      </c>
      <c r="V23" s="1" t="s">
        <v>2505</v>
      </c>
      <c r="W23" s="1" t="s">
        <v>2596</v>
      </c>
      <c r="X23" s="1" t="s">
        <v>2613</v>
      </c>
      <c r="Y23" s="1" t="s">
        <v>2614</v>
      </c>
      <c r="Z23" s="1" t="s">
        <v>2615</v>
      </c>
      <c r="AA23" s="1" t="s">
        <v>2615</v>
      </c>
      <c r="AB23" s="1" t="s">
        <v>2616</v>
      </c>
      <c r="AC23" s="1" t="s">
        <v>2567</v>
      </c>
      <c r="AD23" s="1" t="s">
        <v>2617</v>
      </c>
      <c r="AE23" s="1">
        <v>1937</v>
      </c>
      <c r="AF23" s="1">
        <v>1937</v>
      </c>
      <c r="AG23" s="1">
        <v>1937</v>
      </c>
      <c r="AH23" s="1">
        <v>30.16</v>
      </c>
      <c r="AI23" s="1">
        <v>30.16</v>
      </c>
      <c r="AJ23" s="1">
        <v>452.47</v>
      </c>
      <c r="AK23" s="1">
        <v>452.47</v>
      </c>
      <c r="AL23" s="1" t="s">
        <v>2505</v>
      </c>
      <c r="AM23" s="1" t="s">
        <v>2505</v>
      </c>
      <c r="AN23" s="1">
        <v>0</v>
      </c>
      <c r="AO23" s="1" t="s">
        <v>2569</v>
      </c>
      <c r="AP23" s="1" t="s">
        <v>2505</v>
      </c>
      <c r="AQ23" s="1" t="s">
        <v>2505</v>
      </c>
      <c r="AR23" s="1" t="s">
        <v>2505</v>
      </c>
      <c r="AS23" s="1" t="s">
        <v>2570</v>
      </c>
    </row>
    <row r="24" spans="1:45" s="1" customFormat="1">
      <c r="A24" s="1" t="s">
        <v>2612</v>
      </c>
      <c r="B24" s="1" t="s">
        <v>2559</v>
      </c>
      <c r="C24" s="1" t="s">
        <v>1770</v>
      </c>
      <c r="D24" s="1" t="s">
        <v>947</v>
      </c>
      <c r="E24" s="1" t="s">
        <v>2505</v>
      </c>
      <c r="F24" s="1" t="s">
        <v>2612</v>
      </c>
      <c r="G24" s="1" t="s">
        <v>2560</v>
      </c>
      <c r="H24" s="1">
        <v>2018018</v>
      </c>
      <c r="I24" s="1" t="s">
        <v>1770</v>
      </c>
      <c r="J24" s="1">
        <v>23305</v>
      </c>
      <c r="K24" s="1">
        <v>23305</v>
      </c>
      <c r="L24" s="1" t="s">
        <v>2582</v>
      </c>
      <c r="M24" s="1" t="s">
        <v>2505</v>
      </c>
      <c r="N24" s="1" t="s">
        <v>2572</v>
      </c>
      <c r="O24" s="1" t="s">
        <v>2505</v>
      </c>
      <c r="P24" s="1" t="s">
        <v>2505</v>
      </c>
      <c r="Q24" s="1" t="s">
        <v>2505</v>
      </c>
      <c r="R24" s="1" t="s">
        <v>2505</v>
      </c>
      <c r="S24" s="1" t="s">
        <v>2505</v>
      </c>
      <c r="T24" s="1" t="s">
        <v>2505</v>
      </c>
      <c r="U24" s="1" t="s">
        <v>2505</v>
      </c>
      <c r="V24" s="1" t="s">
        <v>2505</v>
      </c>
      <c r="W24" s="1" t="s">
        <v>2596</v>
      </c>
      <c r="X24" s="1" t="s">
        <v>2613</v>
      </c>
      <c r="Y24" s="1" t="s">
        <v>2614</v>
      </c>
      <c r="Z24" s="1" t="s">
        <v>2615</v>
      </c>
      <c r="AA24" s="1" t="s">
        <v>2615</v>
      </c>
      <c r="AB24" s="1" t="s">
        <v>2616</v>
      </c>
      <c r="AC24" s="1" t="s">
        <v>2567</v>
      </c>
      <c r="AD24" s="1" t="s">
        <v>2618</v>
      </c>
      <c r="AE24" s="1">
        <v>1059</v>
      </c>
      <c r="AF24" s="1">
        <v>1059</v>
      </c>
      <c r="AG24" s="1">
        <v>1059</v>
      </c>
      <c r="AH24" s="1">
        <v>30.29</v>
      </c>
      <c r="AI24" s="1">
        <v>30.29</v>
      </c>
      <c r="AJ24" s="1">
        <v>454.4</v>
      </c>
      <c r="AK24" s="1">
        <v>454.41</v>
      </c>
      <c r="AL24" s="1" t="s">
        <v>2505</v>
      </c>
      <c r="AM24" s="1" t="s">
        <v>2505</v>
      </c>
      <c r="AN24" s="1">
        <v>0</v>
      </c>
      <c r="AO24" s="1" t="s">
        <v>2569</v>
      </c>
      <c r="AP24" s="1" t="s">
        <v>2505</v>
      </c>
      <c r="AQ24" s="1" t="s">
        <v>2505</v>
      </c>
      <c r="AR24" s="1" t="s">
        <v>2505</v>
      </c>
      <c r="AS24" s="1" t="s">
        <v>2570</v>
      </c>
    </row>
    <row r="25" spans="1:45" s="1" customFormat="1">
      <c r="A25" s="1" t="s">
        <v>2612</v>
      </c>
      <c r="B25" s="1" t="s">
        <v>2559</v>
      </c>
      <c r="C25" s="1" t="s">
        <v>1770</v>
      </c>
      <c r="D25" s="1" t="s">
        <v>947</v>
      </c>
      <c r="E25" s="1" t="s">
        <v>2505</v>
      </c>
      <c r="F25" s="1" t="s">
        <v>2612</v>
      </c>
      <c r="G25" s="1" t="s">
        <v>2560</v>
      </c>
      <c r="H25" s="1">
        <v>2018021</v>
      </c>
      <c r="I25" s="1" t="s">
        <v>1770</v>
      </c>
      <c r="J25" s="1">
        <v>15997.58</v>
      </c>
      <c r="K25" s="1">
        <v>15997.58</v>
      </c>
      <c r="L25" s="1" t="s">
        <v>2582</v>
      </c>
      <c r="M25" s="1" t="s">
        <v>2505</v>
      </c>
      <c r="N25" s="1" t="s">
        <v>2572</v>
      </c>
      <c r="O25" s="1" t="s">
        <v>2505</v>
      </c>
      <c r="P25" s="1" t="s">
        <v>2505</v>
      </c>
      <c r="Q25" s="1" t="s">
        <v>2505</v>
      </c>
      <c r="R25" s="1" t="s">
        <v>2505</v>
      </c>
      <c r="S25" s="1" t="s">
        <v>2505</v>
      </c>
      <c r="T25" s="1" t="s">
        <v>2505</v>
      </c>
      <c r="U25" s="1" t="s">
        <v>2505</v>
      </c>
      <c r="V25" s="1" t="s">
        <v>2505</v>
      </c>
      <c r="W25" s="1" t="s">
        <v>2596</v>
      </c>
      <c r="X25" s="1" t="s">
        <v>2613</v>
      </c>
      <c r="Y25" s="1" t="s">
        <v>2614</v>
      </c>
      <c r="Z25" s="1" t="s">
        <v>2615</v>
      </c>
      <c r="AA25" s="1" t="s">
        <v>2615</v>
      </c>
      <c r="AB25" s="1" t="s">
        <v>2616</v>
      </c>
      <c r="AC25" s="1" t="s">
        <v>2567</v>
      </c>
      <c r="AD25" s="1" t="s">
        <v>2619</v>
      </c>
      <c r="AE25" s="1">
        <v>725</v>
      </c>
      <c r="AF25" s="1">
        <v>725</v>
      </c>
      <c r="AG25" s="1">
        <v>725</v>
      </c>
      <c r="AH25" s="1">
        <v>30.21</v>
      </c>
      <c r="AI25" s="1">
        <v>30.21</v>
      </c>
      <c r="AJ25" s="1">
        <v>453.19</v>
      </c>
      <c r="AK25" s="1">
        <v>453.18</v>
      </c>
      <c r="AL25" s="1" t="s">
        <v>2505</v>
      </c>
      <c r="AM25" s="1" t="s">
        <v>2505</v>
      </c>
      <c r="AN25" s="1">
        <v>0</v>
      </c>
      <c r="AO25" s="1" t="s">
        <v>2569</v>
      </c>
      <c r="AP25" s="1" t="s">
        <v>2505</v>
      </c>
      <c r="AQ25" s="1" t="s">
        <v>2505</v>
      </c>
      <c r="AR25" s="1" t="s">
        <v>2505</v>
      </c>
      <c r="AS25" s="1" t="s">
        <v>2570</v>
      </c>
    </row>
    <row r="26" spans="1:45" s="1" customFormat="1">
      <c r="A26" s="1" t="s">
        <v>2620</v>
      </c>
      <c r="B26" s="1" t="s">
        <v>2559</v>
      </c>
      <c r="C26" s="1" t="s">
        <v>1770</v>
      </c>
      <c r="D26" s="1" t="s">
        <v>947</v>
      </c>
      <c r="E26" s="1" t="s">
        <v>2505</v>
      </c>
      <c r="F26" s="1" t="s">
        <v>2620</v>
      </c>
      <c r="G26" s="1" t="s">
        <v>2560</v>
      </c>
      <c r="H26" s="1" t="s">
        <v>2621</v>
      </c>
      <c r="I26" s="1" t="s">
        <v>1770</v>
      </c>
      <c r="J26" s="1">
        <v>20000</v>
      </c>
      <c r="K26" s="1">
        <v>20000</v>
      </c>
      <c r="L26" s="1" t="s">
        <v>2582</v>
      </c>
      <c r="M26" s="1" t="s">
        <v>2505</v>
      </c>
      <c r="N26" s="1" t="s">
        <v>2572</v>
      </c>
      <c r="O26" s="1" t="s">
        <v>2505</v>
      </c>
      <c r="P26" s="1" t="s">
        <v>2505</v>
      </c>
      <c r="Q26" s="1" t="s">
        <v>2505</v>
      </c>
      <c r="R26" s="1" t="s">
        <v>2505</v>
      </c>
      <c r="S26" s="1" t="s">
        <v>2505</v>
      </c>
      <c r="T26" s="1" t="s">
        <v>2505</v>
      </c>
      <c r="U26" s="1" t="s">
        <v>2505</v>
      </c>
      <c r="V26" s="1" t="s">
        <v>2505</v>
      </c>
      <c r="W26" s="1" t="s">
        <v>2596</v>
      </c>
      <c r="X26" s="1" t="s">
        <v>2622</v>
      </c>
      <c r="Y26" s="1" t="s">
        <v>2623</v>
      </c>
      <c r="Z26" s="1" t="s">
        <v>2624</v>
      </c>
      <c r="AA26" s="1" t="s">
        <v>2624</v>
      </c>
      <c r="AB26" s="1" t="s">
        <v>2625</v>
      </c>
      <c r="AC26" s="1" t="s">
        <v>2567</v>
      </c>
      <c r="AD26" s="1" t="s">
        <v>2626</v>
      </c>
      <c r="AE26" s="1">
        <v>905</v>
      </c>
      <c r="AF26" s="1">
        <v>905</v>
      </c>
      <c r="AG26" s="1">
        <v>905</v>
      </c>
      <c r="AH26" s="1">
        <v>30.17</v>
      </c>
      <c r="AI26" s="1">
        <v>30.17</v>
      </c>
      <c r="AJ26" s="1">
        <v>452.5</v>
      </c>
      <c r="AK26" s="1">
        <v>452.5</v>
      </c>
      <c r="AL26" s="1" t="s">
        <v>2505</v>
      </c>
      <c r="AM26" s="1" t="s">
        <v>2505</v>
      </c>
      <c r="AN26" s="1">
        <v>0</v>
      </c>
      <c r="AO26" s="1" t="s">
        <v>2569</v>
      </c>
      <c r="AP26" s="1" t="s">
        <v>2505</v>
      </c>
      <c r="AQ26" s="1" t="s">
        <v>2505</v>
      </c>
      <c r="AR26" s="1" t="s">
        <v>2505</v>
      </c>
      <c r="AS26" s="1" t="s">
        <v>2570</v>
      </c>
    </row>
    <row r="27" spans="1:45" s="1" customFormat="1">
      <c r="A27" s="1" t="s">
        <v>2627</v>
      </c>
      <c r="B27" s="1" t="s">
        <v>2559</v>
      </c>
      <c r="C27" s="1" t="s">
        <v>1770</v>
      </c>
      <c r="D27" s="1" t="s">
        <v>947</v>
      </c>
      <c r="E27" s="1" t="s">
        <v>2505</v>
      </c>
      <c r="F27" s="1" t="s">
        <v>2627</v>
      </c>
      <c r="G27" s="1" t="s">
        <v>2560</v>
      </c>
      <c r="H27" s="1">
        <v>2018013</v>
      </c>
      <c r="I27" s="1" t="s">
        <v>1770</v>
      </c>
      <c r="J27" s="1">
        <v>19485.02</v>
      </c>
      <c r="K27" s="1">
        <v>19485.02</v>
      </c>
      <c r="L27" s="1" t="s">
        <v>2582</v>
      </c>
      <c r="M27" s="1" t="s">
        <v>2505</v>
      </c>
      <c r="N27" s="1" t="s">
        <v>2628</v>
      </c>
      <c r="O27" s="1" t="s">
        <v>2505</v>
      </c>
      <c r="P27" s="1" t="s">
        <v>2505</v>
      </c>
      <c r="Q27" s="1" t="s">
        <v>2505</v>
      </c>
      <c r="R27" s="1" t="s">
        <v>2505</v>
      </c>
      <c r="S27" s="1" t="s">
        <v>2505</v>
      </c>
      <c r="T27" s="1" t="s">
        <v>2505</v>
      </c>
      <c r="U27" s="1" t="s">
        <v>2505</v>
      </c>
      <c r="V27" s="1" t="s">
        <v>2505</v>
      </c>
      <c r="W27" s="1" t="s">
        <v>2596</v>
      </c>
      <c r="X27" s="1" t="s">
        <v>2622</v>
      </c>
      <c r="Y27" s="1" t="s">
        <v>2623</v>
      </c>
      <c r="Z27" s="1" t="s">
        <v>2624</v>
      </c>
      <c r="AA27" s="1" t="s">
        <v>2624</v>
      </c>
      <c r="AB27" s="1" t="s">
        <v>2625</v>
      </c>
      <c r="AC27" s="1" t="s">
        <v>2567</v>
      </c>
      <c r="AD27" s="1" t="s">
        <v>2629</v>
      </c>
      <c r="AE27" s="1">
        <v>882</v>
      </c>
      <c r="AF27" s="1">
        <v>882</v>
      </c>
      <c r="AG27" s="1">
        <v>882</v>
      </c>
      <c r="AH27" s="1">
        <v>30.18</v>
      </c>
      <c r="AI27" s="1">
        <v>30.18</v>
      </c>
      <c r="AJ27" s="1">
        <v>452.65</v>
      </c>
      <c r="AK27" s="1">
        <v>452.66</v>
      </c>
      <c r="AL27" s="1" t="s">
        <v>2505</v>
      </c>
      <c r="AM27" s="1" t="s">
        <v>2505</v>
      </c>
      <c r="AN27" s="1">
        <v>0</v>
      </c>
      <c r="AO27" s="1" t="s">
        <v>2569</v>
      </c>
      <c r="AP27" s="1" t="s">
        <v>2505</v>
      </c>
      <c r="AQ27" s="1" t="s">
        <v>2505</v>
      </c>
      <c r="AR27" s="1" t="s">
        <v>2505</v>
      </c>
      <c r="AS27" s="1" t="s">
        <v>2570</v>
      </c>
    </row>
    <row r="28" spans="1:45" s="1" customFormat="1">
      <c r="A28" s="1" t="s">
        <v>2630</v>
      </c>
      <c r="B28" s="1" t="s">
        <v>2559</v>
      </c>
      <c r="C28" s="1" t="s">
        <v>1770</v>
      </c>
      <c r="D28" s="1" t="s">
        <v>947</v>
      </c>
      <c r="E28" s="1" t="s">
        <v>2505</v>
      </c>
      <c r="F28" s="1" t="s">
        <v>2630</v>
      </c>
      <c r="G28" s="1" t="s">
        <v>2560</v>
      </c>
      <c r="H28" s="1">
        <v>2018020</v>
      </c>
      <c r="I28" s="1" t="s">
        <v>1770</v>
      </c>
      <c r="J28" s="1">
        <v>21418.53</v>
      </c>
      <c r="K28" s="1">
        <v>21418.53</v>
      </c>
      <c r="L28" s="1" t="s">
        <v>2582</v>
      </c>
      <c r="M28" s="1" t="s">
        <v>2505</v>
      </c>
      <c r="N28" s="1" t="s">
        <v>2572</v>
      </c>
      <c r="O28" s="1" t="s">
        <v>2505</v>
      </c>
      <c r="P28" s="1" t="s">
        <v>2505</v>
      </c>
      <c r="Q28" s="1" t="s">
        <v>2505</v>
      </c>
      <c r="R28" s="1" t="s">
        <v>2505</v>
      </c>
      <c r="S28" s="1" t="s">
        <v>2505</v>
      </c>
      <c r="T28" s="1" t="s">
        <v>2505</v>
      </c>
      <c r="U28" s="1" t="s">
        <v>2505</v>
      </c>
      <c r="V28" s="1" t="s">
        <v>2505</v>
      </c>
      <c r="W28" s="1" t="s">
        <v>2596</v>
      </c>
      <c r="X28" s="1" t="s">
        <v>2622</v>
      </c>
      <c r="Y28" s="1" t="s">
        <v>2623</v>
      </c>
      <c r="Z28" s="1" t="s">
        <v>2624</v>
      </c>
      <c r="AA28" s="1" t="s">
        <v>2624</v>
      </c>
      <c r="AB28" s="1" t="s">
        <v>2625</v>
      </c>
      <c r="AC28" s="1" t="s">
        <v>2567</v>
      </c>
      <c r="AD28" s="1" t="s">
        <v>2631</v>
      </c>
      <c r="AE28" s="1">
        <v>970</v>
      </c>
      <c r="AF28" s="1">
        <v>970</v>
      </c>
      <c r="AG28" s="1">
        <v>970</v>
      </c>
      <c r="AH28" s="1">
        <v>30.19</v>
      </c>
      <c r="AI28" s="1">
        <v>30.19</v>
      </c>
      <c r="AJ28" s="1">
        <v>452.87</v>
      </c>
      <c r="AK28" s="1">
        <v>452.87</v>
      </c>
      <c r="AL28" s="1" t="s">
        <v>2505</v>
      </c>
      <c r="AM28" s="1" t="s">
        <v>2505</v>
      </c>
      <c r="AN28" s="1">
        <v>0</v>
      </c>
      <c r="AO28" s="1" t="s">
        <v>2569</v>
      </c>
      <c r="AP28" s="1" t="s">
        <v>2505</v>
      </c>
      <c r="AQ28" s="1" t="s">
        <v>2505</v>
      </c>
      <c r="AR28" s="1" t="s">
        <v>2505</v>
      </c>
      <c r="AS28" s="1" t="s">
        <v>2570</v>
      </c>
    </row>
    <row r="29" spans="1:45" s="1" customFormat="1">
      <c r="A29" s="1" t="s">
        <v>2632</v>
      </c>
      <c r="B29" s="1" t="s">
        <v>2559</v>
      </c>
      <c r="C29" s="1" t="s">
        <v>1770</v>
      </c>
      <c r="D29" s="1" t="s">
        <v>947</v>
      </c>
      <c r="E29" s="1" t="s">
        <v>2505</v>
      </c>
      <c r="F29" s="1" t="s">
        <v>2632</v>
      </c>
      <c r="G29" s="1" t="s">
        <v>2560</v>
      </c>
      <c r="H29" s="1">
        <v>2018012</v>
      </c>
      <c r="I29" s="1" t="s">
        <v>1770</v>
      </c>
      <c r="J29" s="1">
        <v>18266</v>
      </c>
      <c r="K29" s="1">
        <v>18266</v>
      </c>
      <c r="L29" s="1" t="s">
        <v>2582</v>
      </c>
      <c r="M29" s="1" t="s">
        <v>2505</v>
      </c>
      <c r="N29" s="1" t="s">
        <v>2572</v>
      </c>
      <c r="O29" s="1" t="s">
        <v>2505</v>
      </c>
      <c r="P29" s="1" t="s">
        <v>2505</v>
      </c>
      <c r="Q29" s="1" t="s">
        <v>2505</v>
      </c>
      <c r="R29" s="1" t="s">
        <v>2505</v>
      </c>
      <c r="S29" s="1" t="s">
        <v>2505</v>
      </c>
      <c r="T29" s="1" t="s">
        <v>2505</v>
      </c>
      <c r="U29" s="1" t="s">
        <v>2505</v>
      </c>
      <c r="V29" s="1" t="s">
        <v>2505</v>
      </c>
      <c r="W29" s="1" t="s">
        <v>2596</v>
      </c>
      <c r="X29" s="1" t="s">
        <v>2622</v>
      </c>
      <c r="Y29" s="1" t="s">
        <v>2623</v>
      </c>
      <c r="Z29" s="1" t="s">
        <v>2624</v>
      </c>
      <c r="AA29" s="1" t="s">
        <v>2624</v>
      </c>
      <c r="AB29" s="1" t="s">
        <v>2625</v>
      </c>
      <c r="AC29" s="1" t="s">
        <v>2567</v>
      </c>
      <c r="AD29" s="1" t="s">
        <v>2633</v>
      </c>
      <c r="AE29" s="1">
        <v>827</v>
      </c>
      <c r="AF29" s="1">
        <v>827</v>
      </c>
      <c r="AG29" s="1">
        <v>827</v>
      </c>
      <c r="AH29" s="1">
        <v>30.18</v>
      </c>
      <c r="AI29" s="1">
        <v>30.18</v>
      </c>
      <c r="AJ29" s="1">
        <v>452.75</v>
      </c>
      <c r="AK29" s="1">
        <v>452.75</v>
      </c>
      <c r="AL29" s="1" t="s">
        <v>2505</v>
      </c>
      <c r="AM29" s="1" t="s">
        <v>2505</v>
      </c>
      <c r="AN29" s="1">
        <v>0</v>
      </c>
      <c r="AO29" s="1" t="s">
        <v>2569</v>
      </c>
      <c r="AP29" s="1" t="s">
        <v>2505</v>
      </c>
      <c r="AQ29" s="1" t="s">
        <v>2505</v>
      </c>
      <c r="AR29" s="1" t="s">
        <v>2505</v>
      </c>
      <c r="AS29" s="1" t="s">
        <v>2570</v>
      </c>
    </row>
    <row r="30" spans="1:45" s="1" customFormat="1">
      <c r="A30" s="1" t="s">
        <v>2634</v>
      </c>
      <c r="B30" s="1" t="s">
        <v>2559</v>
      </c>
      <c r="C30" s="1" t="s">
        <v>1770</v>
      </c>
      <c r="D30" s="1" t="s">
        <v>947</v>
      </c>
      <c r="E30" s="1" t="s">
        <v>2505</v>
      </c>
      <c r="F30" s="1" t="s">
        <v>2634</v>
      </c>
      <c r="G30" s="1" t="s">
        <v>2560</v>
      </c>
      <c r="H30" s="1">
        <v>2017004</v>
      </c>
      <c r="I30" s="1" t="s">
        <v>1770</v>
      </c>
      <c r="J30" s="1">
        <v>21844</v>
      </c>
      <c r="K30" s="1">
        <v>21844</v>
      </c>
      <c r="L30" s="1" t="s">
        <v>2582</v>
      </c>
      <c r="M30" s="1" t="s">
        <v>2505</v>
      </c>
      <c r="N30" s="1" t="s">
        <v>2572</v>
      </c>
      <c r="O30" s="1" t="s">
        <v>2505</v>
      </c>
      <c r="P30" s="1" t="s">
        <v>2505</v>
      </c>
      <c r="Q30" s="1" t="s">
        <v>2505</v>
      </c>
      <c r="R30" s="1" t="s">
        <v>2505</v>
      </c>
      <c r="S30" s="1" t="s">
        <v>2505</v>
      </c>
      <c r="T30" s="1" t="s">
        <v>2505</v>
      </c>
      <c r="U30" s="1" t="s">
        <v>2505</v>
      </c>
      <c r="V30" s="1" t="s">
        <v>2505</v>
      </c>
      <c r="W30" s="1" t="s">
        <v>2596</v>
      </c>
      <c r="X30" s="1" t="s">
        <v>2635</v>
      </c>
      <c r="Y30" s="1" t="s">
        <v>2636</v>
      </c>
      <c r="Z30" s="1" t="s">
        <v>2637</v>
      </c>
      <c r="AA30" s="1" t="s">
        <v>2637</v>
      </c>
      <c r="AB30" s="1" t="s">
        <v>2638</v>
      </c>
      <c r="AC30" s="1" t="s">
        <v>2567</v>
      </c>
      <c r="AD30" s="1" t="s">
        <v>2639</v>
      </c>
      <c r="AE30" s="1">
        <v>595</v>
      </c>
      <c r="AF30" s="1">
        <v>595</v>
      </c>
      <c r="AG30" s="1">
        <v>595</v>
      </c>
      <c r="AH30" s="1">
        <v>18.16</v>
      </c>
      <c r="AI30" s="1">
        <v>18.16</v>
      </c>
      <c r="AJ30" s="1">
        <v>272.38</v>
      </c>
      <c r="AK30" s="1">
        <v>272.38</v>
      </c>
      <c r="AL30" s="1" t="s">
        <v>2505</v>
      </c>
      <c r="AM30" s="1" t="s">
        <v>2505</v>
      </c>
      <c r="AN30" s="1">
        <v>0</v>
      </c>
      <c r="AO30" s="1" t="s">
        <v>2569</v>
      </c>
      <c r="AP30" s="1" t="s">
        <v>2505</v>
      </c>
      <c r="AQ30" s="1" t="s">
        <v>2505</v>
      </c>
      <c r="AR30" s="1" t="s">
        <v>2505</v>
      </c>
      <c r="AS30" s="1" t="s">
        <v>2570</v>
      </c>
    </row>
    <row r="31" spans="1:45" s="1" customFormat="1">
      <c r="A31" s="1" t="s">
        <v>2581</v>
      </c>
      <c r="B31" s="1" t="s">
        <v>2559</v>
      </c>
      <c r="C31" s="1" t="s">
        <v>1770</v>
      </c>
      <c r="D31" s="1" t="s">
        <v>947</v>
      </c>
      <c r="E31" s="1" t="s">
        <v>2505</v>
      </c>
      <c r="F31" s="1" t="s">
        <v>2581</v>
      </c>
      <c r="G31" s="1" t="s">
        <v>2560</v>
      </c>
      <c r="H31" s="1">
        <v>2017005</v>
      </c>
      <c r="I31" s="1" t="s">
        <v>1770</v>
      </c>
      <c r="J31" s="1">
        <v>14700</v>
      </c>
      <c r="K31" s="1">
        <v>14700</v>
      </c>
      <c r="L31" s="1" t="s">
        <v>2582</v>
      </c>
      <c r="M31" s="1" t="s">
        <v>2505</v>
      </c>
      <c r="N31" s="1" t="s">
        <v>2572</v>
      </c>
      <c r="O31" s="1" t="s">
        <v>2505</v>
      </c>
      <c r="P31" s="1" t="s">
        <v>2505</v>
      </c>
      <c r="Q31" s="1" t="s">
        <v>2505</v>
      </c>
      <c r="R31" s="1" t="s">
        <v>2505</v>
      </c>
      <c r="S31" s="1" t="s">
        <v>2505</v>
      </c>
      <c r="T31" s="1" t="s">
        <v>2505</v>
      </c>
      <c r="U31" s="1" t="s">
        <v>2505</v>
      </c>
      <c r="V31" s="1" t="s">
        <v>2505</v>
      </c>
      <c r="W31" s="1" t="s">
        <v>2596</v>
      </c>
      <c r="X31" s="1" t="s">
        <v>2635</v>
      </c>
      <c r="Y31" s="1" t="s">
        <v>2636</v>
      </c>
      <c r="Z31" s="1" t="s">
        <v>2637</v>
      </c>
      <c r="AA31" s="1" t="s">
        <v>2637</v>
      </c>
      <c r="AB31" s="1" t="s">
        <v>2640</v>
      </c>
      <c r="AC31" s="1" t="s">
        <v>2567</v>
      </c>
      <c r="AD31" s="1" t="s">
        <v>2641</v>
      </c>
      <c r="AE31" s="1">
        <v>400</v>
      </c>
      <c r="AF31" s="1">
        <v>400</v>
      </c>
      <c r="AG31" s="1">
        <v>400</v>
      </c>
      <c r="AH31" s="1">
        <v>18.14</v>
      </c>
      <c r="AI31" s="1">
        <v>18.14</v>
      </c>
      <c r="AJ31" s="1">
        <v>272.10000000000002</v>
      </c>
      <c r="AK31" s="1">
        <v>272.11</v>
      </c>
      <c r="AL31" s="1" t="s">
        <v>2505</v>
      </c>
      <c r="AM31" s="1" t="s">
        <v>2505</v>
      </c>
      <c r="AN31" s="1">
        <v>0</v>
      </c>
      <c r="AO31" s="1" t="s">
        <v>2569</v>
      </c>
      <c r="AP31" s="1" t="s">
        <v>2505</v>
      </c>
      <c r="AQ31" s="1" t="s">
        <v>2505</v>
      </c>
      <c r="AR31" s="1" t="s">
        <v>2505</v>
      </c>
      <c r="AS31" s="1" t="s">
        <v>2570</v>
      </c>
    </row>
    <row r="32" spans="1:45" s="1" customFormat="1">
      <c r="A32" s="1" t="s">
        <v>2581</v>
      </c>
      <c r="B32" s="1" t="s">
        <v>2559</v>
      </c>
      <c r="C32" s="1" t="s">
        <v>1770</v>
      </c>
      <c r="D32" s="1" t="s">
        <v>947</v>
      </c>
      <c r="E32" s="1" t="s">
        <v>2505</v>
      </c>
      <c r="F32" s="1" t="s">
        <v>2581</v>
      </c>
      <c r="G32" s="1" t="s">
        <v>2560</v>
      </c>
      <c r="H32" s="1">
        <v>2016022</v>
      </c>
      <c r="I32" s="1" t="s">
        <v>1770</v>
      </c>
      <c r="J32" s="1">
        <v>13189</v>
      </c>
      <c r="K32" s="1">
        <v>9232.2999999999993</v>
      </c>
      <c r="L32" s="1" t="s">
        <v>2593</v>
      </c>
      <c r="M32" s="1" t="s">
        <v>2505</v>
      </c>
      <c r="N32" s="1" t="s">
        <v>2642</v>
      </c>
      <c r="O32" s="1" t="s">
        <v>2505</v>
      </c>
      <c r="P32" s="1" t="s">
        <v>2505</v>
      </c>
      <c r="Q32" s="1" t="s">
        <v>2505</v>
      </c>
      <c r="R32" s="1" t="s">
        <v>2505</v>
      </c>
      <c r="S32" s="1" t="s">
        <v>2505</v>
      </c>
      <c r="T32" s="1" t="s">
        <v>2505</v>
      </c>
      <c r="U32" s="1" t="s">
        <v>2505</v>
      </c>
      <c r="V32" s="1" t="s">
        <v>2505</v>
      </c>
      <c r="W32" s="1" t="s">
        <v>2596</v>
      </c>
      <c r="X32" s="1" t="s">
        <v>2643</v>
      </c>
      <c r="Y32" s="1" t="s">
        <v>2644</v>
      </c>
      <c r="Z32" s="1" t="s">
        <v>2645</v>
      </c>
      <c r="AA32" s="1" t="s">
        <v>2645</v>
      </c>
      <c r="AB32" s="1" t="s">
        <v>2646</v>
      </c>
      <c r="AC32" s="1" t="s">
        <v>2567</v>
      </c>
      <c r="AD32" s="1" t="s">
        <v>2647</v>
      </c>
      <c r="AE32" s="1">
        <v>238</v>
      </c>
      <c r="AF32" s="1">
        <v>238</v>
      </c>
      <c r="AG32" s="1">
        <v>238</v>
      </c>
      <c r="AH32" s="1">
        <v>12.03</v>
      </c>
      <c r="AI32" s="1">
        <v>12.03</v>
      </c>
      <c r="AJ32" s="1">
        <v>257.79000000000002</v>
      </c>
      <c r="AK32" s="1">
        <v>257.79000000000002</v>
      </c>
      <c r="AL32" s="1" t="s">
        <v>2505</v>
      </c>
      <c r="AM32" s="1" t="s">
        <v>2505</v>
      </c>
      <c r="AN32" s="1">
        <v>0</v>
      </c>
      <c r="AO32" s="1" t="s">
        <v>2569</v>
      </c>
      <c r="AP32" s="1" t="s">
        <v>2505</v>
      </c>
      <c r="AQ32" s="1" t="s">
        <v>2505</v>
      </c>
      <c r="AR32" s="1" t="s">
        <v>2505</v>
      </c>
      <c r="AS32" s="1" t="s">
        <v>2570</v>
      </c>
    </row>
    <row r="33" spans="1:45" s="1" customFormat="1">
      <c r="A33" s="1" t="s">
        <v>2581</v>
      </c>
      <c r="B33" s="1" t="s">
        <v>2559</v>
      </c>
      <c r="C33" s="1" t="s">
        <v>1770</v>
      </c>
      <c r="D33" s="1" t="s">
        <v>947</v>
      </c>
      <c r="E33" s="1" t="s">
        <v>2505</v>
      </c>
      <c r="F33" s="1" t="s">
        <v>2581</v>
      </c>
      <c r="G33" s="1" t="s">
        <v>2560</v>
      </c>
      <c r="H33" s="1">
        <v>2016016</v>
      </c>
      <c r="I33" s="1" t="s">
        <v>1770</v>
      </c>
      <c r="J33" s="1">
        <v>29711</v>
      </c>
      <c r="K33" s="1">
        <v>20797.7</v>
      </c>
      <c r="L33" s="1" t="s">
        <v>2593</v>
      </c>
      <c r="M33" s="1" t="s">
        <v>2505</v>
      </c>
      <c r="N33" s="1" t="s">
        <v>2642</v>
      </c>
      <c r="O33" s="1" t="s">
        <v>2505</v>
      </c>
      <c r="P33" s="1" t="s">
        <v>2505</v>
      </c>
      <c r="Q33" s="1" t="s">
        <v>2505</v>
      </c>
      <c r="R33" s="1" t="s">
        <v>2505</v>
      </c>
      <c r="S33" s="1" t="s">
        <v>2505</v>
      </c>
      <c r="T33" s="1" t="s">
        <v>2505</v>
      </c>
      <c r="U33" s="1" t="s">
        <v>2505</v>
      </c>
      <c r="V33" s="1" t="s">
        <v>2505</v>
      </c>
      <c r="W33" s="1" t="s">
        <v>2596</v>
      </c>
      <c r="X33" s="1" t="s">
        <v>2643</v>
      </c>
      <c r="Y33" s="1" t="s">
        <v>2644</v>
      </c>
      <c r="Z33" s="1" t="s">
        <v>2645</v>
      </c>
      <c r="AA33" s="1" t="s">
        <v>2645</v>
      </c>
      <c r="AB33" s="1" t="s">
        <v>2646</v>
      </c>
      <c r="AC33" s="1" t="s">
        <v>2567</v>
      </c>
      <c r="AD33" s="1" t="s">
        <v>2583</v>
      </c>
      <c r="AE33" s="1">
        <v>402</v>
      </c>
      <c r="AF33" s="1">
        <v>402</v>
      </c>
      <c r="AG33" s="1">
        <v>402</v>
      </c>
      <c r="AH33" s="1">
        <v>9.02</v>
      </c>
      <c r="AI33" s="1">
        <v>9.02</v>
      </c>
      <c r="AJ33" s="1">
        <v>193.29</v>
      </c>
      <c r="AK33" s="1">
        <v>193.28</v>
      </c>
      <c r="AL33" s="1" t="s">
        <v>2505</v>
      </c>
      <c r="AM33" s="1" t="s">
        <v>2505</v>
      </c>
      <c r="AN33" s="1">
        <v>0</v>
      </c>
      <c r="AO33" s="1" t="s">
        <v>2569</v>
      </c>
      <c r="AP33" s="1" t="s">
        <v>2505</v>
      </c>
      <c r="AQ33" s="1" t="s">
        <v>2505</v>
      </c>
      <c r="AR33" s="1" t="s">
        <v>2505</v>
      </c>
      <c r="AS33" s="1" t="s">
        <v>2570</v>
      </c>
    </row>
    <row r="34" spans="1:45" s="1" customFormat="1">
      <c r="A34" s="1" t="s">
        <v>2581</v>
      </c>
      <c r="B34" s="1" t="s">
        <v>2559</v>
      </c>
      <c r="C34" s="1" t="s">
        <v>1770</v>
      </c>
      <c r="D34" s="1" t="s">
        <v>947</v>
      </c>
      <c r="E34" s="1" t="s">
        <v>2505</v>
      </c>
      <c r="F34" s="1" t="s">
        <v>2581</v>
      </c>
      <c r="G34" s="1" t="s">
        <v>2560</v>
      </c>
      <c r="H34" s="1">
        <v>2016017</v>
      </c>
      <c r="I34" s="1" t="s">
        <v>1770</v>
      </c>
      <c r="J34" s="1">
        <v>39349</v>
      </c>
      <c r="K34" s="1">
        <v>27544.3</v>
      </c>
      <c r="L34" s="1" t="s">
        <v>2593</v>
      </c>
      <c r="M34" s="1" t="s">
        <v>2505</v>
      </c>
      <c r="N34" s="1" t="s">
        <v>2642</v>
      </c>
      <c r="O34" s="1" t="s">
        <v>2505</v>
      </c>
      <c r="P34" s="1" t="s">
        <v>2505</v>
      </c>
      <c r="Q34" s="1" t="s">
        <v>2505</v>
      </c>
      <c r="R34" s="1" t="s">
        <v>2505</v>
      </c>
      <c r="S34" s="1" t="s">
        <v>2505</v>
      </c>
      <c r="T34" s="1" t="s">
        <v>2505</v>
      </c>
      <c r="U34" s="1" t="s">
        <v>2505</v>
      </c>
      <c r="V34" s="1" t="s">
        <v>2505</v>
      </c>
      <c r="W34" s="1" t="s">
        <v>2596</v>
      </c>
      <c r="X34" s="1" t="s">
        <v>2643</v>
      </c>
      <c r="Y34" s="1" t="s">
        <v>2644</v>
      </c>
      <c r="Z34" s="1" t="s">
        <v>2645</v>
      </c>
      <c r="AA34" s="1" t="s">
        <v>2645</v>
      </c>
      <c r="AB34" s="1" t="s">
        <v>2646</v>
      </c>
      <c r="AC34" s="1" t="s">
        <v>2567</v>
      </c>
      <c r="AD34" s="1" t="s">
        <v>2648</v>
      </c>
      <c r="AE34" s="1">
        <v>532</v>
      </c>
      <c r="AF34" s="1">
        <v>532</v>
      </c>
      <c r="AG34" s="1">
        <v>532</v>
      </c>
      <c r="AH34" s="1">
        <v>9.01</v>
      </c>
      <c r="AI34" s="1">
        <v>9.01</v>
      </c>
      <c r="AJ34" s="1">
        <v>193.14</v>
      </c>
      <c r="AK34" s="1">
        <v>193.13</v>
      </c>
      <c r="AL34" s="1" t="s">
        <v>2505</v>
      </c>
      <c r="AM34" s="1" t="s">
        <v>2505</v>
      </c>
      <c r="AN34" s="1">
        <v>0</v>
      </c>
      <c r="AO34" s="1" t="s">
        <v>2569</v>
      </c>
      <c r="AP34" s="1" t="s">
        <v>2505</v>
      </c>
      <c r="AQ34" s="1" t="s">
        <v>2505</v>
      </c>
      <c r="AR34" s="1" t="s">
        <v>2505</v>
      </c>
      <c r="AS34" s="1" t="s">
        <v>2570</v>
      </c>
    </row>
    <row r="35" spans="1:45" s="1" customFormat="1">
      <c r="A35" s="1" t="s">
        <v>2649</v>
      </c>
      <c r="B35" s="1" t="s">
        <v>2559</v>
      </c>
      <c r="C35" s="1" t="s">
        <v>1770</v>
      </c>
      <c r="D35" s="1" t="s">
        <v>947</v>
      </c>
      <c r="E35" s="1" t="s">
        <v>2505</v>
      </c>
      <c r="F35" s="1" t="s">
        <v>2649</v>
      </c>
      <c r="G35" s="1" t="s">
        <v>2560</v>
      </c>
      <c r="H35" s="1">
        <v>2016023</v>
      </c>
      <c r="I35" s="1" t="s">
        <v>1770</v>
      </c>
      <c r="J35" s="1">
        <v>11053</v>
      </c>
      <c r="K35" s="1">
        <v>7737.1</v>
      </c>
      <c r="L35" s="1" t="s">
        <v>2593</v>
      </c>
      <c r="M35" s="1" t="s">
        <v>2505</v>
      </c>
      <c r="N35" s="1" t="s">
        <v>2642</v>
      </c>
      <c r="O35" s="1" t="s">
        <v>2505</v>
      </c>
      <c r="P35" s="1" t="s">
        <v>2505</v>
      </c>
      <c r="Q35" s="1" t="s">
        <v>2505</v>
      </c>
      <c r="R35" s="1" t="s">
        <v>2505</v>
      </c>
      <c r="S35" s="1" t="s">
        <v>2505</v>
      </c>
      <c r="T35" s="1" t="s">
        <v>2505</v>
      </c>
      <c r="U35" s="1" t="s">
        <v>2505</v>
      </c>
      <c r="V35" s="1" t="s">
        <v>2505</v>
      </c>
      <c r="W35" s="1" t="s">
        <v>2596</v>
      </c>
      <c r="X35" s="1" t="s">
        <v>2643</v>
      </c>
      <c r="Y35" s="1" t="s">
        <v>2644</v>
      </c>
      <c r="Z35" s="1" t="s">
        <v>2645</v>
      </c>
      <c r="AA35" s="1" t="s">
        <v>2645</v>
      </c>
      <c r="AB35" s="1" t="s">
        <v>2646</v>
      </c>
      <c r="AC35" s="1" t="s">
        <v>2567</v>
      </c>
      <c r="AD35" s="1" t="s">
        <v>2650</v>
      </c>
      <c r="AE35" s="1">
        <v>199</v>
      </c>
      <c r="AF35" s="1">
        <v>199</v>
      </c>
      <c r="AG35" s="1">
        <v>199</v>
      </c>
      <c r="AH35" s="1">
        <v>12</v>
      </c>
      <c r="AI35" s="1">
        <v>12</v>
      </c>
      <c r="AJ35" s="1">
        <v>257.2</v>
      </c>
      <c r="AK35" s="1">
        <v>257.19</v>
      </c>
      <c r="AL35" s="1" t="s">
        <v>2505</v>
      </c>
      <c r="AM35" s="1" t="s">
        <v>2505</v>
      </c>
      <c r="AN35" s="1">
        <v>0</v>
      </c>
      <c r="AO35" s="1" t="s">
        <v>2569</v>
      </c>
      <c r="AP35" s="1" t="s">
        <v>2505</v>
      </c>
      <c r="AQ35" s="1" t="s">
        <v>2505</v>
      </c>
      <c r="AR35" s="1" t="s">
        <v>2505</v>
      </c>
      <c r="AS35" s="1" t="s">
        <v>2570</v>
      </c>
    </row>
    <row r="36" spans="1:45" s="1" customFormat="1">
      <c r="A36" s="1" t="s">
        <v>2651</v>
      </c>
      <c r="B36" s="1" t="s">
        <v>2559</v>
      </c>
      <c r="C36" s="1" t="s">
        <v>1770</v>
      </c>
      <c r="D36" s="1" t="s">
        <v>947</v>
      </c>
      <c r="E36" s="1" t="s">
        <v>2505</v>
      </c>
      <c r="F36" s="1" t="s">
        <v>2651</v>
      </c>
      <c r="G36" s="1" t="s">
        <v>2560</v>
      </c>
      <c r="H36" s="1">
        <v>2016024</v>
      </c>
      <c r="I36" s="1" t="s">
        <v>1774</v>
      </c>
      <c r="J36" s="1">
        <v>1285.6600000000001</v>
      </c>
      <c r="K36" s="1">
        <v>899.96</v>
      </c>
      <c r="L36" s="1" t="s">
        <v>2593</v>
      </c>
      <c r="M36" s="1" t="s">
        <v>2505</v>
      </c>
      <c r="N36" s="1" t="s">
        <v>2642</v>
      </c>
      <c r="O36" s="1" t="s">
        <v>2505</v>
      </c>
      <c r="P36" s="1" t="s">
        <v>2505</v>
      </c>
      <c r="Q36" s="1" t="s">
        <v>2505</v>
      </c>
      <c r="R36" s="1" t="s">
        <v>2505</v>
      </c>
      <c r="S36" s="1" t="s">
        <v>2505</v>
      </c>
      <c r="T36" s="1" t="s">
        <v>2505</v>
      </c>
      <c r="U36" s="1" t="s">
        <v>2505</v>
      </c>
      <c r="V36" s="1" t="s">
        <v>2505</v>
      </c>
      <c r="W36" s="1" t="s">
        <v>2596</v>
      </c>
      <c r="X36" s="1" t="s">
        <v>2652</v>
      </c>
      <c r="Y36" s="1" t="s">
        <v>2653</v>
      </c>
      <c r="Z36" s="1" t="s">
        <v>2654</v>
      </c>
      <c r="AA36" s="1" t="s">
        <v>2654</v>
      </c>
      <c r="AB36" s="1" t="s">
        <v>2655</v>
      </c>
      <c r="AC36" s="1" t="s">
        <v>2567</v>
      </c>
      <c r="AD36" s="1" t="s">
        <v>2656</v>
      </c>
      <c r="AE36" s="1">
        <v>31</v>
      </c>
      <c r="AF36" s="1">
        <v>31</v>
      </c>
      <c r="AG36" s="1">
        <v>31</v>
      </c>
      <c r="AH36" s="1">
        <v>16.07</v>
      </c>
      <c r="AI36" s="1">
        <v>16.07</v>
      </c>
      <c r="AJ36" s="1">
        <v>344.45</v>
      </c>
      <c r="AK36" s="1">
        <v>344.45</v>
      </c>
      <c r="AL36" s="1" t="s">
        <v>2505</v>
      </c>
      <c r="AM36" s="1" t="s">
        <v>2505</v>
      </c>
      <c r="AN36" s="1">
        <v>0</v>
      </c>
      <c r="AO36" s="1" t="s">
        <v>2569</v>
      </c>
      <c r="AP36" s="1" t="s">
        <v>2505</v>
      </c>
      <c r="AQ36" s="1" t="s">
        <v>2505</v>
      </c>
      <c r="AR36" s="1" t="s">
        <v>2505</v>
      </c>
      <c r="AS36" s="1" t="s">
        <v>2570</v>
      </c>
    </row>
    <row r="37" spans="1:45" s="1" customFormat="1">
      <c r="A37" s="1" t="s">
        <v>2581</v>
      </c>
      <c r="B37" s="1" t="s">
        <v>2559</v>
      </c>
      <c r="C37" s="1" t="s">
        <v>1770</v>
      </c>
      <c r="D37" s="1" t="s">
        <v>947</v>
      </c>
      <c r="E37" s="1" t="s">
        <v>2505</v>
      </c>
      <c r="F37" s="1" t="s">
        <v>2581</v>
      </c>
      <c r="G37" s="1" t="s">
        <v>2560</v>
      </c>
      <c r="H37" s="1">
        <v>2016014</v>
      </c>
      <c r="I37" s="1" t="s">
        <v>1770</v>
      </c>
      <c r="J37" s="1">
        <v>50253.4</v>
      </c>
      <c r="K37" s="1">
        <v>35177.379999999997</v>
      </c>
      <c r="L37" s="1" t="s">
        <v>2593</v>
      </c>
      <c r="M37" s="1" t="s">
        <v>2505</v>
      </c>
      <c r="N37" s="1" t="s">
        <v>2642</v>
      </c>
      <c r="O37" s="1" t="s">
        <v>2505</v>
      </c>
      <c r="P37" s="1" t="s">
        <v>2505</v>
      </c>
      <c r="Q37" s="1" t="s">
        <v>2505</v>
      </c>
      <c r="R37" s="1" t="s">
        <v>2505</v>
      </c>
      <c r="S37" s="1" t="s">
        <v>2505</v>
      </c>
      <c r="T37" s="1" t="s">
        <v>2505</v>
      </c>
      <c r="U37" s="1" t="s">
        <v>2505</v>
      </c>
      <c r="V37" s="1" t="s">
        <v>2505</v>
      </c>
      <c r="W37" s="1" t="s">
        <v>2596</v>
      </c>
      <c r="X37" s="1" t="s">
        <v>2657</v>
      </c>
      <c r="Y37" s="1" t="s">
        <v>2657</v>
      </c>
      <c r="Z37" s="1" t="s">
        <v>2658</v>
      </c>
      <c r="AA37" s="1" t="s">
        <v>2658</v>
      </c>
      <c r="AB37" s="1" t="s">
        <v>2659</v>
      </c>
      <c r="AC37" s="1" t="s">
        <v>2567</v>
      </c>
      <c r="AD37" s="1" t="s">
        <v>2660</v>
      </c>
      <c r="AE37" s="1">
        <v>644</v>
      </c>
      <c r="AF37" s="1">
        <v>644</v>
      </c>
      <c r="AG37" s="1">
        <v>644</v>
      </c>
      <c r="AH37" s="1">
        <v>8.5399999999999991</v>
      </c>
      <c r="AI37" s="1">
        <v>8.5399999999999991</v>
      </c>
      <c r="AJ37" s="1">
        <v>183.07</v>
      </c>
      <c r="AK37" s="1">
        <v>183.06</v>
      </c>
      <c r="AL37" s="1" t="s">
        <v>2505</v>
      </c>
      <c r="AM37" s="1" t="s">
        <v>2505</v>
      </c>
      <c r="AN37" s="1">
        <v>0</v>
      </c>
      <c r="AO37" s="1" t="s">
        <v>2569</v>
      </c>
      <c r="AP37" s="1" t="s">
        <v>2505</v>
      </c>
      <c r="AQ37" s="1" t="s">
        <v>2505</v>
      </c>
      <c r="AR37" s="1" t="s">
        <v>2505</v>
      </c>
      <c r="AS37" s="1" t="s">
        <v>2570</v>
      </c>
    </row>
    <row r="38" spans="1:45" s="1" customFormat="1">
      <c r="A38" s="1" t="s">
        <v>2661</v>
      </c>
      <c r="B38" s="1" t="s">
        <v>2559</v>
      </c>
      <c r="C38" s="1" t="s">
        <v>1770</v>
      </c>
      <c r="D38" s="1" t="s">
        <v>947</v>
      </c>
      <c r="E38" s="1" t="s">
        <v>2505</v>
      </c>
      <c r="F38" s="1" t="s">
        <v>2661</v>
      </c>
      <c r="G38" s="1" t="s">
        <v>2560</v>
      </c>
      <c r="H38" s="1">
        <v>2016013</v>
      </c>
      <c r="I38" s="1" t="s">
        <v>1770</v>
      </c>
      <c r="J38" s="1">
        <v>23359</v>
      </c>
      <c r="K38" s="1">
        <v>16351.3</v>
      </c>
      <c r="L38" s="1" t="s">
        <v>2593</v>
      </c>
      <c r="M38" s="1" t="s">
        <v>2505</v>
      </c>
      <c r="N38" s="1" t="s">
        <v>2642</v>
      </c>
      <c r="O38" s="1" t="s">
        <v>2505</v>
      </c>
      <c r="P38" s="1" t="s">
        <v>2505</v>
      </c>
      <c r="Q38" s="1" t="s">
        <v>2505</v>
      </c>
      <c r="R38" s="1" t="s">
        <v>2505</v>
      </c>
      <c r="S38" s="1" t="s">
        <v>2505</v>
      </c>
      <c r="T38" s="1" t="s">
        <v>2505</v>
      </c>
      <c r="U38" s="1" t="s">
        <v>2505</v>
      </c>
      <c r="V38" s="1" t="s">
        <v>2505</v>
      </c>
      <c r="W38" s="1" t="s">
        <v>2596</v>
      </c>
      <c r="X38" s="1" t="s">
        <v>2657</v>
      </c>
      <c r="Y38" s="1" t="s">
        <v>2657</v>
      </c>
      <c r="Z38" s="1" t="s">
        <v>2658</v>
      </c>
      <c r="AA38" s="1" t="s">
        <v>2658</v>
      </c>
      <c r="AB38" s="1" t="s">
        <v>2659</v>
      </c>
      <c r="AC38" s="1" t="s">
        <v>2567</v>
      </c>
      <c r="AD38" s="1" t="s">
        <v>2662</v>
      </c>
      <c r="AE38" s="1">
        <v>421</v>
      </c>
      <c r="AF38" s="1">
        <v>421</v>
      </c>
      <c r="AG38" s="1">
        <v>421</v>
      </c>
      <c r="AH38" s="1">
        <v>12.02</v>
      </c>
      <c r="AI38" s="1">
        <v>12.02</v>
      </c>
      <c r="AJ38" s="1">
        <v>257.47000000000003</v>
      </c>
      <c r="AK38" s="1">
        <v>257.47000000000003</v>
      </c>
      <c r="AL38" s="1" t="s">
        <v>2505</v>
      </c>
      <c r="AM38" s="1" t="s">
        <v>2505</v>
      </c>
      <c r="AN38" s="1">
        <v>0</v>
      </c>
      <c r="AO38" s="1" t="s">
        <v>2569</v>
      </c>
      <c r="AP38" s="1" t="s">
        <v>2505</v>
      </c>
      <c r="AQ38" s="1" t="s">
        <v>2505</v>
      </c>
      <c r="AR38" s="1" t="s">
        <v>2505</v>
      </c>
      <c r="AS38" s="1" t="s">
        <v>2570</v>
      </c>
    </row>
    <row r="39" spans="1:45" s="1" customFormat="1">
      <c r="A39" s="1" t="s">
        <v>2663</v>
      </c>
      <c r="B39" s="1" t="s">
        <v>2559</v>
      </c>
      <c r="C39" s="1" t="s">
        <v>1770</v>
      </c>
      <c r="D39" s="1" t="s">
        <v>947</v>
      </c>
      <c r="E39" s="1" t="s">
        <v>2505</v>
      </c>
      <c r="F39" s="1" t="s">
        <v>2663</v>
      </c>
      <c r="G39" s="1" t="s">
        <v>2560</v>
      </c>
      <c r="H39" s="1">
        <v>2015029</v>
      </c>
      <c r="I39" s="1" t="s">
        <v>1770</v>
      </c>
      <c r="J39" s="1">
        <v>6667</v>
      </c>
      <c r="K39" s="1">
        <v>4666.8999999999996</v>
      </c>
      <c r="L39" s="1" t="s">
        <v>2593</v>
      </c>
      <c r="M39" s="1" t="s">
        <v>2505</v>
      </c>
      <c r="N39" s="1" t="s">
        <v>2642</v>
      </c>
      <c r="O39" s="1" t="s">
        <v>2505</v>
      </c>
      <c r="P39" s="1" t="s">
        <v>2505</v>
      </c>
      <c r="Q39" s="1" t="s">
        <v>2505</v>
      </c>
      <c r="R39" s="1" t="s">
        <v>2505</v>
      </c>
      <c r="S39" s="1" t="s">
        <v>2505</v>
      </c>
      <c r="T39" s="1" t="s">
        <v>2505</v>
      </c>
      <c r="U39" s="1" t="s">
        <v>2505</v>
      </c>
      <c r="V39" s="1" t="s">
        <v>2505</v>
      </c>
      <c r="W39" s="1" t="s">
        <v>2596</v>
      </c>
      <c r="X39" s="1" t="s">
        <v>2657</v>
      </c>
      <c r="Y39" s="1" t="s">
        <v>2657</v>
      </c>
      <c r="Z39" s="1" t="s">
        <v>2658</v>
      </c>
      <c r="AA39" s="1" t="s">
        <v>2658</v>
      </c>
      <c r="AB39" s="1" t="s">
        <v>2659</v>
      </c>
      <c r="AC39" s="1" t="s">
        <v>2567</v>
      </c>
      <c r="AD39" s="1" t="s">
        <v>2664</v>
      </c>
      <c r="AE39" s="1">
        <v>121</v>
      </c>
      <c r="AF39" s="1">
        <v>121</v>
      </c>
      <c r="AG39" s="1">
        <v>121</v>
      </c>
      <c r="AH39" s="1">
        <v>12.1</v>
      </c>
      <c r="AI39" s="1">
        <v>12.1</v>
      </c>
      <c r="AJ39" s="1">
        <v>259.27</v>
      </c>
      <c r="AK39" s="1">
        <v>259.26</v>
      </c>
      <c r="AL39" s="1" t="s">
        <v>2505</v>
      </c>
      <c r="AM39" s="1" t="s">
        <v>2505</v>
      </c>
      <c r="AN39" s="1">
        <v>0</v>
      </c>
      <c r="AO39" s="1" t="s">
        <v>2569</v>
      </c>
      <c r="AP39" s="1" t="s">
        <v>2505</v>
      </c>
      <c r="AQ39" s="1" t="s">
        <v>2505</v>
      </c>
      <c r="AR39" s="1" t="s">
        <v>2505</v>
      </c>
      <c r="AS39" s="1" t="s">
        <v>2570</v>
      </c>
    </row>
    <row r="40" spans="1:45" s="1" customFormat="1">
      <c r="A40" s="1" t="s">
        <v>2571</v>
      </c>
      <c r="B40" s="1" t="s">
        <v>2559</v>
      </c>
      <c r="C40" s="1" t="s">
        <v>1770</v>
      </c>
      <c r="D40" s="1" t="s">
        <v>947</v>
      </c>
      <c r="E40" s="1" t="s">
        <v>2505</v>
      </c>
      <c r="F40" s="1" t="s">
        <v>2571</v>
      </c>
      <c r="G40" s="1" t="s">
        <v>2560</v>
      </c>
      <c r="H40" s="1">
        <v>2016010</v>
      </c>
      <c r="I40" s="1" t="s">
        <v>1770</v>
      </c>
      <c r="J40" s="1">
        <v>22859</v>
      </c>
      <c r="K40" s="1">
        <v>16001.3</v>
      </c>
      <c r="L40" s="1" t="s">
        <v>2593</v>
      </c>
      <c r="M40" s="1" t="s">
        <v>2505</v>
      </c>
      <c r="N40" s="1" t="s">
        <v>2628</v>
      </c>
      <c r="O40" s="1" t="s">
        <v>2505</v>
      </c>
      <c r="P40" s="1" t="s">
        <v>2505</v>
      </c>
      <c r="Q40" s="1" t="s">
        <v>2505</v>
      </c>
      <c r="R40" s="1" t="s">
        <v>2505</v>
      </c>
      <c r="S40" s="1" t="s">
        <v>2505</v>
      </c>
      <c r="T40" s="1" t="s">
        <v>2505</v>
      </c>
      <c r="U40" s="1" t="s">
        <v>2505</v>
      </c>
      <c r="V40" s="1" t="s">
        <v>2505</v>
      </c>
      <c r="W40" s="1" t="s">
        <v>2665</v>
      </c>
      <c r="X40" s="1" t="s">
        <v>2666</v>
      </c>
      <c r="Y40" s="1" t="s">
        <v>2667</v>
      </c>
      <c r="Z40" s="1" t="s">
        <v>2668</v>
      </c>
      <c r="AA40" s="1" t="s">
        <v>2669</v>
      </c>
      <c r="AB40" s="1" t="s">
        <v>2670</v>
      </c>
      <c r="AC40" s="1" t="s">
        <v>2567</v>
      </c>
      <c r="AD40" s="1" t="s">
        <v>2671</v>
      </c>
      <c r="AE40" s="1">
        <v>412</v>
      </c>
      <c r="AF40" s="1">
        <v>412</v>
      </c>
      <c r="AG40" s="1">
        <v>412</v>
      </c>
      <c r="AH40" s="1">
        <v>12.02</v>
      </c>
      <c r="AI40" s="1">
        <v>12.02</v>
      </c>
      <c r="AJ40" s="1">
        <v>257.47000000000003</v>
      </c>
      <c r="AK40" s="1">
        <v>257.48</v>
      </c>
      <c r="AL40" s="1" t="s">
        <v>2505</v>
      </c>
      <c r="AM40" s="1" t="s">
        <v>2505</v>
      </c>
      <c r="AN40" s="1">
        <v>0</v>
      </c>
      <c r="AO40" s="1" t="s">
        <v>2569</v>
      </c>
      <c r="AP40" s="1" t="s">
        <v>2505</v>
      </c>
      <c r="AQ40" s="1" t="s">
        <v>2505</v>
      </c>
      <c r="AR40" s="1" t="s">
        <v>2505</v>
      </c>
      <c r="AS40" s="1" t="s">
        <v>2570</v>
      </c>
    </row>
    <row r="41" spans="1:45" s="1" customFormat="1">
      <c r="A41" s="1" t="s">
        <v>2672</v>
      </c>
      <c r="B41" s="1" t="s">
        <v>2559</v>
      </c>
      <c r="C41" s="1" t="s">
        <v>1770</v>
      </c>
      <c r="D41" s="1" t="s">
        <v>947</v>
      </c>
      <c r="E41" s="1" t="s">
        <v>2505</v>
      </c>
      <c r="F41" s="1" t="s">
        <v>2672</v>
      </c>
      <c r="G41" s="1" t="s">
        <v>2560</v>
      </c>
      <c r="H41" s="1">
        <v>2016009</v>
      </c>
      <c r="I41" s="1" t="s">
        <v>1770</v>
      </c>
      <c r="J41" s="1">
        <v>33333</v>
      </c>
      <c r="K41" s="1">
        <v>23333.1</v>
      </c>
      <c r="L41" s="1" t="s">
        <v>2593</v>
      </c>
      <c r="M41" s="1" t="s">
        <v>2505</v>
      </c>
      <c r="N41" s="1" t="s">
        <v>2628</v>
      </c>
      <c r="O41" s="1" t="s">
        <v>2505</v>
      </c>
      <c r="P41" s="1" t="s">
        <v>2505</v>
      </c>
      <c r="Q41" s="1" t="s">
        <v>2505</v>
      </c>
      <c r="R41" s="1" t="s">
        <v>2505</v>
      </c>
      <c r="S41" s="1" t="s">
        <v>2505</v>
      </c>
      <c r="T41" s="1" t="s">
        <v>2505</v>
      </c>
      <c r="U41" s="1" t="s">
        <v>2505</v>
      </c>
      <c r="V41" s="1" t="s">
        <v>2505</v>
      </c>
      <c r="W41" s="1" t="s">
        <v>2665</v>
      </c>
      <c r="X41" s="1" t="s">
        <v>2666</v>
      </c>
      <c r="Y41" s="1" t="s">
        <v>2667</v>
      </c>
      <c r="Z41" s="1" t="s">
        <v>2669</v>
      </c>
      <c r="AA41" s="1" t="s">
        <v>2669</v>
      </c>
      <c r="AB41" s="1" t="s">
        <v>2670</v>
      </c>
      <c r="AC41" s="1" t="s">
        <v>2567</v>
      </c>
      <c r="AD41" s="1" t="s">
        <v>2673</v>
      </c>
      <c r="AE41" s="1">
        <v>600</v>
      </c>
      <c r="AF41" s="1">
        <v>600</v>
      </c>
      <c r="AG41" s="1">
        <v>600</v>
      </c>
      <c r="AH41" s="1">
        <v>12</v>
      </c>
      <c r="AI41" s="1">
        <v>12</v>
      </c>
      <c r="AJ41" s="1">
        <v>257.14</v>
      </c>
      <c r="AK41" s="1">
        <v>257.14</v>
      </c>
      <c r="AL41" s="1" t="s">
        <v>2505</v>
      </c>
      <c r="AM41" s="1" t="s">
        <v>2505</v>
      </c>
      <c r="AN41" s="1">
        <v>0</v>
      </c>
      <c r="AO41" s="1" t="s">
        <v>2569</v>
      </c>
      <c r="AP41" s="1" t="s">
        <v>2505</v>
      </c>
      <c r="AQ41" s="1" t="s">
        <v>2505</v>
      </c>
      <c r="AR41" s="1" t="s">
        <v>2505</v>
      </c>
      <c r="AS41" s="1" t="s">
        <v>2570</v>
      </c>
    </row>
    <row r="42" spans="1:45" s="1" customFormat="1">
      <c r="A42" s="1" t="s">
        <v>2663</v>
      </c>
      <c r="B42" s="1" t="s">
        <v>2559</v>
      </c>
      <c r="C42" s="1" t="s">
        <v>1770</v>
      </c>
      <c r="D42" s="1" t="s">
        <v>947</v>
      </c>
      <c r="E42" s="1" t="s">
        <v>2505</v>
      </c>
      <c r="F42" s="1" t="s">
        <v>2663</v>
      </c>
      <c r="G42" s="1" t="s">
        <v>2560</v>
      </c>
      <c r="H42" s="1">
        <v>2016005</v>
      </c>
      <c r="I42" s="1" t="s">
        <v>1770</v>
      </c>
      <c r="J42" s="1">
        <v>441</v>
      </c>
      <c r="K42" s="1">
        <v>308.7</v>
      </c>
      <c r="L42" s="1" t="s">
        <v>2593</v>
      </c>
      <c r="M42" s="1" t="s">
        <v>2505</v>
      </c>
      <c r="N42" s="1" t="s">
        <v>2628</v>
      </c>
      <c r="O42" s="1" t="s">
        <v>2505</v>
      </c>
      <c r="P42" s="1" t="s">
        <v>2505</v>
      </c>
      <c r="Q42" s="1" t="s">
        <v>2505</v>
      </c>
      <c r="R42" s="1" t="s">
        <v>2505</v>
      </c>
      <c r="S42" s="1" t="s">
        <v>2505</v>
      </c>
      <c r="T42" s="1" t="s">
        <v>2505</v>
      </c>
      <c r="U42" s="1" t="s">
        <v>2505</v>
      </c>
      <c r="V42" s="1" t="s">
        <v>2505</v>
      </c>
      <c r="W42" s="1" t="s">
        <v>2665</v>
      </c>
      <c r="X42" s="1" t="s">
        <v>2666</v>
      </c>
      <c r="Y42" s="1" t="s">
        <v>2667</v>
      </c>
      <c r="Z42" s="1" t="s">
        <v>2669</v>
      </c>
      <c r="AA42" s="1" t="s">
        <v>2669</v>
      </c>
      <c r="AB42" s="1" t="s">
        <v>2670</v>
      </c>
      <c r="AC42" s="1" t="s">
        <v>2567</v>
      </c>
      <c r="AD42" s="1" t="s">
        <v>2674</v>
      </c>
      <c r="AE42" s="1">
        <v>8</v>
      </c>
      <c r="AF42" s="1">
        <v>8</v>
      </c>
      <c r="AG42" s="1">
        <v>8</v>
      </c>
      <c r="AH42" s="1">
        <v>12.09</v>
      </c>
      <c r="AI42" s="1">
        <v>12.09</v>
      </c>
      <c r="AJ42" s="1">
        <v>259.14999999999998</v>
      </c>
      <c r="AK42" s="1">
        <v>259.14</v>
      </c>
      <c r="AL42" s="1" t="s">
        <v>2505</v>
      </c>
      <c r="AM42" s="1" t="s">
        <v>2505</v>
      </c>
      <c r="AN42" s="1">
        <v>0</v>
      </c>
      <c r="AO42" s="1" t="s">
        <v>2569</v>
      </c>
      <c r="AP42" s="1" t="s">
        <v>2505</v>
      </c>
      <c r="AQ42" s="1" t="s">
        <v>2505</v>
      </c>
      <c r="AR42" s="1" t="s">
        <v>2505</v>
      </c>
      <c r="AS42" s="1" t="s">
        <v>2570</v>
      </c>
    </row>
    <row r="43" spans="1:45" s="1" customFormat="1">
      <c r="A43" s="1" t="s">
        <v>2675</v>
      </c>
      <c r="B43" s="1" t="s">
        <v>2559</v>
      </c>
      <c r="C43" s="1" t="s">
        <v>1770</v>
      </c>
      <c r="D43" s="1" t="s">
        <v>947</v>
      </c>
      <c r="E43" s="1" t="s">
        <v>2505</v>
      </c>
      <c r="F43" s="1" t="s">
        <v>2675</v>
      </c>
      <c r="G43" s="1" t="s">
        <v>2560</v>
      </c>
      <c r="H43" s="1">
        <v>2015040</v>
      </c>
      <c r="I43" s="1" t="s">
        <v>1770</v>
      </c>
      <c r="J43" s="1">
        <v>13082</v>
      </c>
      <c r="K43" s="1">
        <v>9157.4</v>
      </c>
      <c r="L43" s="1" t="s">
        <v>2593</v>
      </c>
      <c r="M43" s="1" t="s">
        <v>2505</v>
      </c>
      <c r="N43" s="1" t="s">
        <v>2642</v>
      </c>
      <c r="O43" s="1" t="s">
        <v>2505</v>
      </c>
      <c r="P43" s="1" t="s">
        <v>2505</v>
      </c>
      <c r="Q43" s="1" t="s">
        <v>2505</v>
      </c>
      <c r="R43" s="1" t="s">
        <v>2505</v>
      </c>
      <c r="S43" s="1" t="s">
        <v>2505</v>
      </c>
      <c r="T43" s="1" t="s">
        <v>2505</v>
      </c>
      <c r="U43" s="1" t="s">
        <v>2505</v>
      </c>
      <c r="V43" s="1" t="s">
        <v>2505</v>
      </c>
      <c r="W43" s="1" t="s">
        <v>2596</v>
      </c>
      <c r="X43" s="1" t="s">
        <v>2676</v>
      </c>
      <c r="Y43" s="1" t="s">
        <v>2677</v>
      </c>
      <c r="Z43" s="1" t="s">
        <v>2678</v>
      </c>
      <c r="AA43" s="1" t="s">
        <v>2678</v>
      </c>
      <c r="AB43" s="1" t="s">
        <v>2679</v>
      </c>
      <c r="AC43" s="1" t="s">
        <v>2567</v>
      </c>
      <c r="AD43" s="1" t="s">
        <v>2680</v>
      </c>
      <c r="AE43" s="1">
        <v>167</v>
      </c>
      <c r="AF43" s="1">
        <v>167</v>
      </c>
      <c r="AG43" s="1">
        <v>167</v>
      </c>
      <c r="AH43" s="1">
        <v>8.51</v>
      </c>
      <c r="AI43" s="1">
        <v>8.51</v>
      </c>
      <c r="AJ43" s="1">
        <v>182.36</v>
      </c>
      <c r="AK43" s="1">
        <v>182.37</v>
      </c>
      <c r="AL43" s="1" t="s">
        <v>2505</v>
      </c>
      <c r="AM43" s="1" t="s">
        <v>2505</v>
      </c>
      <c r="AN43" s="1">
        <v>0</v>
      </c>
      <c r="AO43" s="1" t="s">
        <v>2569</v>
      </c>
      <c r="AP43" s="1" t="s">
        <v>2505</v>
      </c>
      <c r="AQ43" s="1" t="s">
        <v>2505</v>
      </c>
      <c r="AR43" s="1" t="s">
        <v>2505</v>
      </c>
      <c r="AS43" s="1" t="s">
        <v>2570</v>
      </c>
    </row>
    <row r="44" spans="1:45" s="1" customFormat="1">
      <c r="A44" s="1" t="s">
        <v>2681</v>
      </c>
      <c r="B44" s="1" t="s">
        <v>2559</v>
      </c>
      <c r="C44" s="1" t="s">
        <v>1770</v>
      </c>
      <c r="D44" s="1" t="s">
        <v>947</v>
      </c>
      <c r="E44" s="1" t="s">
        <v>2505</v>
      </c>
      <c r="F44" s="1" t="s">
        <v>2681</v>
      </c>
      <c r="G44" s="1" t="s">
        <v>2560</v>
      </c>
      <c r="H44" s="1">
        <v>2015039</v>
      </c>
      <c r="I44" s="1" t="s">
        <v>1770</v>
      </c>
      <c r="J44" s="1">
        <v>5513</v>
      </c>
      <c r="K44" s="1">
        <v>3859.1</v>
      </c>
      <c r="L44" s="1" t="s">
        <v>2593</v>
      </c>
      <c r="M44" s="1" t="s">
        <v>2505</v>
      </c>
      <c r="N44" s="1" t="s">
        <v>2642</v>
      </c>
      <c r="O44" s="1" t="s">
        <v>2505</v>
      </c>
      <c r="P44" s="1" t="s">
        <v>2505</v>
      </c>
      <c r="Q44" s="1" t="s">
        <v>2505</v>
      </c>
      <c r="R44" s="1" t="s">
        <v>2505</v>
      </c>
      <c r="S44" s="1" t="s">
        <v>2505</v>
      </c>
      <c r="T44" s="1" t="s">
        <v>2505</v>
      </c>
      <c r="U44" s="1" t="s">
        <v>2505</v>
      </c>
      <c r="V44" s="1" t="s">
        <v>2505</v>
      </c>
      <c r="W44" s="1" t="s">
        <v>2596</v>
      </c>
      <c r="X44" s="1" t="s">
        <v>2676</v>
      </c>
      <c r="Y44" s="1" t="s">
        <v>2677</v>
      </c>
      <c r="Z44" s="1" t="s">
        <v>2678</v>
      </c>
      <c r="AA44" s="1" t="s">
        <v>2678</v>
      </c>
      <c r="AB44" s="1" t="s">
        <v>2679</v>
      </c>
      <c r="AC44" s="1" t="s">
        <v>2567</v>
      </c>
      <c r="AD44" s="1" t="s">
        <v>2682</v>
      </c>
      <c r="AE44" s="1">
        <v>67</v>
      </c>
      <c r="AF44" s="1">
        <v>67</v>
      </c>
      <c r="AG44" s="1">
        <v>67</v>
      </c>
      <c r="AH44" s="1">
        <v>8.1</v>
      </c>
      <c r="AI44" s="1">
        <v>8.1</v>
      </c>
      <c r="AJ44" s="1">
        <v>173.61</v>
      </c>
      <c r="AK44" s="1">
        <v>173.62</v>
      </c>
      <c r="AL44" s="1" t="s">
        <v>2505</v>
      </c>
      <c r="AM44" s="1" t="s">
        <v>2505</v>
      </c>
      <c r="AN44" s="1">
        <v>0</v>
      </c>
      <c r="AO44" s="1" t="s">
        <v>2569</v>
      </c>
      <c r="AP44" s="1" t="s">
        <v>2505</v>
      </c>
      <c r="AQ44" s="1" t="s">
        <v>2505</v>
      </c>
      <c r="AR44" s="1" t="s">
        <v>2505</v>
      </c>
      <c r="AS44" s="1" t="s">
        <v>2570</v>
      </c>
    </row>
    <row r="45" spans="1:45" s="3" customFormat="1">
      <c r="A45" s="3" t="s">
        <v>2683</v>
      </c>
      <c r="B45" s="3" t="s">
        <v>2559</v>
      </c>
      <c r="C45" s="3" t="s">
        <v>1770</v>
      </c>
      <c r="D45" s="3" t="s">
        <v>947</v>
      </c>
      <c r="E45" s="3" t="s">
        <v>2505</v>
      </c>
      <c r="F45" s="3" t="s">
        <v>2683</v>
      </c>
      <c r="G45" s="3" t="s">
        <v>2560</v>
      </c>
      <c r="H45" s="3">
        <v>2015035</v>
      </c>
      <c r="I45" s="3" t="s">
        <v>1770</v>
      </c>
      <c r="J45" s="3">
        <v>26667</v>
      </c>
      <c r="K45" s="3">
        <v>18666.900000000001</v>
      </c>
      <c r="L45" s="3" t="s">
        <v>2593</v>
      </c>
      <c r="M45" s="3" t="s">
        <v>2505</v>
      </c>
      <c r="N45" s="3" t="s">
        <v>2642</v>
      </c>
      <c r="O45" s="3" t="s">
        <v>2505</v>
      </c>
      <c r="P45" s="3" t="s">
        <v>2505</v>
      </c>
      <c r="Q45" s="3" t="s">
        <v>2505</v>
      </c>
      <c r="R45" s="3" t="s">
        <v>2505</v>
      </c>
      <c r="S45" s="3" t="s">
        <v>2505</v>
      </c>
      <c r="T45" s="3" t="s">
        <v>2505</v>
      </c>
      <c r="U45" s="3" t="s">
        <v>2505</v>
      </c>
      <c r="V45" s="3" t="s">
        <v>2505</v>
      </c>
      <c r="W45" s="3" t="s">
        <v>2665</v>
      </c>
      <c r="X45" s="3" t="s">
        <v>2684</v>
      </c>
      <c r="Y45" s="3" t="s">
        <v>2685</v>
      </c>
      <c r="Z45" s="3" t="s">
        <v>2686</v>
      </c>
      <c r="AA45" s="3" t="s">
        <v>2686</v>
      </c>
      <c r="AB45" s="3" t="s">
        <v>2687</v>
      </c>
      <c r="AC45" s="3" t="s">
        <v>2567</v>
      </c>
      <c r="AD45" s="3" t="s">
        <v>2688</v>
      </c>
      <c r="AE45" s="3">
        <v>320</v>
      </c>
      <c r="AF45" s="3">
        <v>320</v>
      </c>
      <c r="AG45" s="3">
        <v>320</v>
      </c>
      <c r="AH45" s="3">
        <v>8</v>
      </c>
      <c r="AI45" s="3">
        <v>8</v>
      </c>
      <c r="AJ45" s="3">
        <v>171.42</v>
      </c>
      <c r="AK45" s="3">
        <v>171.43</v>
      </c>
      <c r="AL45" s="3" t="s">
        <v>2505</v>
      </c>
      <c r="AM45" s="3" t="s">
        <v>2505</v>
      </c>
      <c r="AN45" s="3">
        <v>0</v>
      </c>
      <c r="AO45" s="3" t="s">
        <v>2569</v>
      </c>
      <c r="AP45" s="3" t="s">
        <v>2505</v>
      </c>
      <c r="AQ45" s="3" t="s">
        <v>2505</v>
      </c>
      <c r="AR45" s="3" t="s">
        <v>2505</v>
      </c>
      <c r="AS45" s="3" t="s">
        <v>2570</v>
      </c>
    </row>
    <row r="46" spans="1:45" s="3" customFormat="1">
      <c r="A46" s="3" t="s">
        <v>2689</v>
      </c>
      <c r="B46" s="3" t="s">
        <v>2559</v>
      </c>
      <c r="C46" s="3" t="s">
        <v>1770</v>
      </c>
      <c r="D46" s="3" t="s">
        <v>947</v>
      </c>
      <c r="E46" s="3" t="s">
        <v>2505</v>
      </c>
      <c r="F46" s="3" t="s">
        <v>2689</v>
      </c>
      <c r="G46" s="3" t="s">
        <v>2560</v>
      </c>
      <c r="H46" s="3">
        <v>2015034</v>
      </c>
      <c r="I46" s="3" t="s">
        <v>1770</v>
      </c>
      <c r="J46" s="3">
        <v>28983</v>
      </c>
      <c r="K46" s="3">
        <v>20288.099999999999</v>
      </c>
      <c r="L46" s="3" t="s">
        <v>2593</v>
      </c>
      <c r="M46" s="3" t="s">
        <v>2505</v>
      </c>
      <c r="N46" s="3" t="s">
        <v>2642</v>
      </c>
      <c r="O46" s="3" t="s">
        <v>2505</v>
      </c>
      <c r="P46" s="3" t="s">
        <v>2505</v>
      </c>
      <c r="Q46" s="3" t="s">
        <v>2505</v>
      </c>
      <c r="R46" s="3" t="s">
        <v>2505</v>
      </c>
      <c r="S46" s="3" t="s">
        <v>2505</v>
      </c>
      <c r="T46" s="3" t="s">
        <v>2505</v>
      </c>
      <c r="U46" s="3" t="s">
        <v>2505</v>
      </c>
      <c r="V46" s="3" t="s">
        <v>2505</v>
      </c>
      <c r="W46" s="3" t="s">
        <v>2665</v>
      </c>
      <c r="X46" s="3" t="s">
        <v>2684</v>
      </c>
      <c r="Y46" s="3" t="s">
        <v>2685</v>
      </c>
      <c r="Z46" s="3" t="s">
        <v>2686</v>
      </c>
      <c r="AA46" s="3" t="s">
        <v>2686</v>
      </c>
      <c r="AB46" s="3" t="s">
        <v>2687</v>
      </c>
      <c r="AC46" s="3" t="s">
        <v>2567</v>
      </c>
      <c r="AD46" s="3" t="s">
        <v>2690</v>
      </c>
      <c r="AE46" s="3">
        <v>348</v>
      </c>
      <c r="AF46" s="3">
        <v>348</v>
      </c>
      <c r="AG46" s="3">
        <v>348</v>
      </c>
      <c r="AH46" s="3">
        <v>8</v>
      </c>
      <c r="AI46" s="3">
        <v>8</v>
      </c>
      <c r="AJ46" s="3">
        <v>171.52</v>
      </c>
      <c r="AK46" s="3">
        <v>171.53</v>
      </c>
      <c r="AL46" s="3" t="s">
        <v>2505</v>
      </c>
      <c r="AM46" s="3" t="s">
        <v>2505</v>
      </c>
      <c r="AN46" s="3">
        <v>0</v>
      </c>
      <c r="AO46" s="3" t="s">
        <v>2569</v>
      </c>
      <c r="AP46" s="3" t="s">
        <v>2505</v>
      </c>
      <c r="AQ46" s="3" t="s">
        <v>2505</v>
      </c>
      <c r="AR46" s="3" t="s">
        <v>2505</v>
      </c>
      <c r="AS46" s="3" t="s">
        <v>2570</v>
      </c>
    </row>
    <row r="47" spans="1:45" s="3" customFormat="1">
      <c r="A47" s="3" t="s">
        <v>2691</v>
      </c>
      <c r="B47" s="3" t="s">
        <v>2559</v>
      </c>
      <c r="C47" s="3" t="s">
        <v>1770</v>
      </c>
      <c r="D47" s="3" t="s">
        <v>947</v>
      </c>
      <c r="E47" s="3" t="s">
        <v>2505</v>
      </c>
      <c r="F47" s="3" t="s">
        <v>2691</v>
      </c>
      <c r="G47" s="3" t="s">
        <v>2560</v>
      </c>
      <c r="H47" s="3">
        <v>2015037</v>
      </c>
      <c r="I47" s="3" t="s">
        <v>1770</v>
      </c>
      <c r="J47" s="3">
        <v>26821</v>
      </c>
      <c r="K47" s="3">
        <v>18774.7</v>
      </c>
      <c r="L47" s="3" t="s">
        <v>2593</v>
      </c>
      <c r="M47" s="3" t="s">
        <v>2505</v>
      </c>
      <c r="N47" s="3" t="s">
        <v>2642</v>
      </c>
      <c r="O47" s="3" t="s">
        <v>2505</v>
      </c>
      <c r="P47" s="3" t="s">
        <v>2505</v>
      </c>
      <c r="Q47" s="3" t="s">
        <v>2505</v>
      </c>
      <c r="R47" s="3" t="s">
        <v>2505</v>
      </c>
      <c r="S47" s="3" t="s">
        <v>2505</v>
      </c>
      <c r="T47" s="3" t="s">
        <v>2505</v>
      </c>
      <c r="U47" s="3" t="s">
        <v>2505</v>
      </c>
      <c r="V47" s="3" t="s">
        <v>2505</v>
      </c>
      <c r="W47" s="3" t="s">
        <v>2665</v>
      </c>
      <c r="X47" s="3" t="s">
        <v>2692</v>
      </c>
      <c r="Y47" s="3" t="s">
        <v>2693</v>
      </c>
      <c r="Z47" s="3" t="s">
        <v>2694</v>
      </c>
      <c r="AA47" s="3" t="s">
        <v>2694</v>
      </c>
      <c r="AB47" s="3" t="s">
        <v>2695</v>
      </c>
      <c r="AC47" s="3" t="s">
        <v>2567</v>
      </c>
      <c r="AD47" s="3" t="s">
        <v>2696</v>
      </c>
      <c r="AE47" s="3">
        <v>483</v>
      </c>
      <c r="AF47" s="3">
        <v>483</v>
      </c>
      <c r="AG47" s="3">
        <v>483</v>
      </c>
      <c r="AH47" s="3">
        <v>12.01</v>
      </c>
      <c r="AI47" s="3">
        <v>12.01</v>
      </c>
      <c r="AJ47" s="3">
        <v>257.26</v>
      </c>
      <c r="AK47" s="3">
        <v>257.25</v>
      </c>
      <c r="AL47" s="3" t="s">
        <v>2505</v>
      </c>
      <c r="AM47" s="3" t="s">
        <v>2505</v>
      </c>
      <c r="AN47" s="3">
        <v>0</v>
      </c>
      <c r="AO47" s="3" t="s">
        <v>2569</v>
      </c>
      <c r="AP47" s="3" t="s">
        <v>2505</v>
      </c>
      <c r="AQ47" s="3" t="s">
        <v>2505</v>
      </c>
      <c r="AR47" s="3" t="s">
        <v>2505</v>
      </c>
      <c r="AS47" s="3" t="s">
        <v>2570</v>
      </c>
    </row>
    <row r="48" spans="1:45" s="3" customFormat="1">
      <c r="A48" s="3" t="s">
        <v>2663</v>
      </c>
      <c r="B48" s="3" t="s">
        <v>2559</v>
      </c>
      <c r="C48" s="3" t="s">
        <v>1770</v>
      </c>
      <c r="D48" s="3" t="s">
        <v>947</v>
      </c>
      <c r="E48" s="3" t="s">
        <v>2505</v>
      </c>
      <c r="F48" s="3" t="s">
        <v>2663</v>
      </c>
      <c r="G48" s="3" t="s">
        <v>2560</v>
      </c>
      <c r="H48" s="3">
        <v>2015031</v>
      </c>
      <c r="I48" s="3" t="s">
        <v>1770</v>
      </c>
      <c r="J48" s="3">
        <v>6870</v>
      </c>
      <c r="K48" s="3">
        <v>4809</v>
      </c>
      <c r="L48" s="3" t="s">
        <v>2593</v>
      </c>
      <c r="M48" s="3" t="s">
        <v>2505</v>
      </c>
      <c r="N48" s="3" t="s">
        <v>2642</v>
      </c>
      <c r="O48" s="3" t="s">
        <v>2505</v>
      </c>
      <c r="P48" s="3" t="s">
        <v>2505</v>
      </c>
      <c r="Q48" s="3" t="s">
        <v>2505</v>
      </c>
      <c r="R48" s="3" t="s">
        <v>2505</v>
      </c>
      <c r="S48" s="3" t="s">
        <v>2505</v>
      </c>
      <c r="T48" s="3" t="s">
        <v>2505</v>
      </c>
      <c r="U48" s="3" t="s">
        <v>2505</v>
      </c>
      <c r="V48" s="3" t="s">
        <v>2505</v>
      </c>
      <c r="W48" s="3" t="s">
        <v>2665</v>
      </c>
      <c r="X48" s="3" t="s">
        <v>2692</v>
      </c>
      <c r="Y48" s="3" t="s">
        <v>2693</v>
      </c>
      <c r="Z48" s="3" t="s">
        <v>2694</v>
      </c>
      <c r="AA48" s="3" t="s">
        <v>2694</v>
      </c>
      <c r="AB48" s="3" t="s">
        <v>2695</v>
      </c>
      <c r="AC48" s="3" t="s">
        <v>2567</v>
      </c>
      <c r="AD48" s="3" t="s">
        <v>2697</v>
      </c>
      <c r="AE48" s="3">
        <v>124</v>
      </c>
      <c r="AF48" s="3">
        <v>124</v>
      </c>
      <c r="AG48" s="3">
        <v>124</v>
      </c>
      <c r="AH48" s="3">
        <v>12.03</v>
      </c>
      <c r="AI48" s="3">
        <v>12.03</v>
      </c>
      <c r="AJ48" s="3">
        <v>257.83999999999997</v>
      </c>
      <c r="AK48" s="3">
        <v>257.85000000000002</v>
      </c>
      <c r="AL48" s="3" t="s">
        <v>2505</v>
      </c>
      <c r="AM48" s="3" t="s">
        <v>2505</v>
      </c>
      <c r="AN48" s="3">
        <v>0</v>
      </c>
      <c r="AO48" s="3" t="s">
        <v>2569</v>
      </c>
      <c r="AP48" s="3" t="s">
        <v>2505</v>
      </c>
      <c r="AQ48" s="3" t="s">
        <v>2505</v>
      </c>
      <c r="AR48" s="3" t="s">
        <v>2505</v>
      </c>
      <c r="AS48" s="3" t="s">
        <v>2570</v>
      </c>
    </row>
    <row r="49" spans="1:45" s="3" customFormat="1">
      <c r="A49" s="3" t="s">
        <v>2698</v>
      </c>
      <c r="B49" s="3" t="s">
        <v>2559</v>
      </c>
      <c r="C49" s="3" t="s">
        <v>1770</v>
      </c>
      <c r="D49" s="3" t="s">
        <v>947</v>
      </c>
      <c r="E49" s="3" t="s">
        <v>2505</v>
      </c>
      <c r="F49" s="3" t="s">
        <v>2698</v>
      </c>
      <c r="G49" s="3" t="s">
        <v>2560</v>
      </c>
      <c r="H49" s="3">
        <v>2015023</v>
      </c>
      <c r="I49" s="3" t="s">
        <v>1774</v>
      </c>
      <c r="J49" s="3">
        <v>5636</v>
      </c>
      <c r="K49" s="3">
        <v>3945.2</v>
      </c>
      <c r="L49" s="3" t="s">
        <v>2593</v>
      </c>
      <c r="M49" s="3" t="s">
        <v>2505</v>
      </c>
      <c r="N49" s="3" t="s">
        <v>2642</v>
      </c>
      <c r="O49" s="3" t="s">
        <v>2505</v>
      </c>
      <c r="P49" s="3" t="s">
        <v>2505</v>
      </c>
      <c r="Q49" s="3" t="s">
        <v>2505</v>
      </c>
      <c r="R49" s="3" t="s">
        <v>2505</v>
      </c>
      <c r="S49" s="3" t="s">
        <v>2505</v>
      </c>
      <c r="T49" s="3" t="s">
        <v>2505</v>
      </c>
      <c r="U49" s="3" t="s">
        <v>2505</v>
      </c>
      <c r="V49" s="3" t="s">
        <v>2505</v>
      </c>
      <c r="W49" s="3" t="s">
        <v>2665</v>
      </c>
      <c r="X49" s="3" t="s">
        <v>2692</v>
      </c>
      <c r="Y49" s="3" t="s">
        <v>2693</v>
      </c>
      <c r="Z49" s="3" t="s">
        <v>2694</v>
      </c>
      <c r="AA49" s="3" t="s">
        <v>2694</v>
      </c>
      <c r="AB49" s="3" t="s">
        <v>2695</v>
      </c>
      <c r="AC49" s="3" t="s">
        <v>2567</v>
      </c>
      <c r="AD49" s="3" t="s">
        <v>2699</v>
      </c>
      <c r="AE49" s="3">
        <v>112</v>
      </c>
      <c r="AF49" s="3">
        <v>112</v>
      </c>
      <c r="AG49" s="3">
        <v>112</v>
      </c>
      <c r="AH49" s="3">
        <v>13.25</v>
      </c>
      <c r="AI49" s="3">
        <v>13.25</v>
      </c>
      <c r="AJ49" s="3">
        <v>283.88</v>
      </c>
      <c r="AK49" s="3">
        <v>283.88</v>
      </c>
      <c r="AL49" s="3" t="s">
        <v>2505</v>
      </c>
      <c r="AM49" s="3" t="s">
        <v>2505</v>
      </c>
      <c r="AN49" s="3">
        <v>0</v>
      </c>
      <c r="AO49" s="3" t="s">
        <v>2569</v>
      </c>
      <c r="AP49" s="3" t="s">
        <v>2505</v>
      </c>
      <c r="AQ49" s="3" t="s">
        <v>2505</v>
      </c>
      <c r="AR49" s="3" t="s">
        <v>2505</v>
      </c>
      <c r="AS49" s="3" t="s">
        <v>2570</v>
      </c>
    </row>
    <row r="50" spans="1:45" s="3" customFormat="1">
      <c r="A50" s="3" t="s">
        <v>2691</v>
      </c>
      <c r="B50" s="3" t="s">
        <v>2559</v>
      </c>
      <c r="C50" s="3" t="s">
        <v>1770</v>
      </c>
      <c r="D50" s="3" t="s">
        <v>947</v>
      </c>
      <c r="E50" s="3" t="s">
        <v>2505</v>
      </c>
      <c r="F50" s="3" t="s">
        <v>2691</v>
      </c>
      <c r="G50" s="3" t="s">
        <v>2560</v>
      </c>
      <c r="H50" s="3">
        <v>2015038</v>
      </c>
      <c r="I50" s="3" t="s">
        <v>1770</v>
      </c>
      <c r="J50" s="3">
        <v>224</v>
      </c>
      <c r="K50" s="3">
        <v>156.80000000000001</v>
      </c>
      <c r="L50" s="3" t="s">
        <v>2593</v>
      </c>
      <c r="M50" s="3" t="s">
        <v>2505</v>
      </c>
      <c r="N50" s="3" t="s">
        <v>2642</v>
      </c>
      <c r="O50" s="3" t="s">
        <v>2505</v>
      </c>
      <c r="P50" s="3" t="s">
        <v>2505</v>
      </c>
      <c r="Q50" s="3" t="s">
        <v>2505</v>
      </c>
      <c r="R50" s="3" t="s">
        <v>2505</v>
      </c>
      <c r="S50" s="3" t="s">
        <v>2505</v>
      </c>
      <c r="T50" s="3" t="s">
        <v>2505</v>
      </c>
      <c r="U50" s="3" t="s">
        <v>2505</v>
      </c>
      <c r="V50" s="3" t="s">
        <v>2505</v>
      </c>
      <c r="W50" s="3" t="s">
        <v>2665</v>
      </c>
      <c r="X50" s="3" t="s">
        <v>2692</v>
      </c>
      <c r="Y50" s="3" t="s">
        <v>2693</v>
      </c>
      <c r="Z50" s="3" t="s">
        <v>2694</v>
      </c>
      <c r="AA50" s="3" t="s">
        <v>2694</v>
      </c>
      <c r="AB50" s="3" t="s">
        <v>2695</v>
      </c>
      <c r="AC50" s="3" t="s">
        <v>2567</v>
      </c>
      <c r="AD50" s="3" t="s">
        <v>2696</v>
      </c>
      <c r="AE50" s="3">
        <v>4.0999999999999996</v>
      </c>
      <c r="AF50" s="3">
        <v>4.09</v>
      </c>
      <c r="AG50" s="3">
        <v>4.09</v>
      </c>
      <c r="AH50" s="3">
        <v>12.17</v>
      </c>
      <c r="AI50" s="3">
        <v>12.17</v>
      </c>
      <c r="AJ50" s="3">
        <v>261.47000000000003</v>
      </c>
      <c r="AK50" s="3">
        <v>261.48</v>
      </c>
      <c r="AL50" s="3" t="s">
        <v>2505</v>
      </c>
      <c r="AM50" s="3" t="s">
        <v>2505</v>
      </c>
      <c r="AN50" s="3">
        <v>0</v>
      </c>
      <c r="AO50" s="3" t="s">
        <v>2569</v>
      </c>
      <c r="AP50" s="3" t="s">
        <v>2505</v>
      </c>
      <c r="AQ50" s="3" t="s">
        <v>2505</v>
      </c>
      <c r="AR50" s="3" t="s">
        <v>2505</v>
      </c>
      <c r="AS50" s="3" t="s">
        <v>2570</v>
      </c>
    </row>
    <row r="51" spans="1:45" s="3" customFormat="1">
      <c r="A51" s="3" t="s">
        <v>2700</v>
      </c>
      <c r="B51" s="3" t="s">
        <v>2559</v>
      </c>
      <c r="C51" s="3" t="s">
        <v>1770</v>
      </c>
      <c r="D51" s="3" t="s">
        <v>947</v>
      </c>
      <c r="E51" s="3" t="s">
        <v>2505</v>
      </c>
      <c r="F51" s="3" t="s">
        <v>2700</v>
      </c>
      <c r="G51" s="3" t="s">
        <v>2560</v>
      </c>
      <c r="H51" s="3">
        <v>2015010</v>
      </c>
      <c r="I51" s="3" t="s">
        <v>1774</v>
      </c>
      <c r="J51" s="3">
        <v>23027</v>
      </c>
      <c r="K51" s="3">
        <v>16118.9</v>
      </c>
      <c r="L51" s="3" t="s">
        <v>2593</v>
      </c>
      <c r="M51" s="3" t="s">
        <v>2505</v>
      </c>
      <c r="N51" s="3" t="s">
        <v>2642</v>
      </c>
      <c r="O51" s="3" t="s">
        <v>2505</v>
      </c>
      <c r="P51" s="3" t="s">
        <v>2505</v>
      </c>
      <c r="Q51" s="3" t="s">
        <v>2505</v>
      </c>
      <c r="R51" s="3" t="s">
        <v>2505</v>
      </c>
      <c r="S51" s="3" t="s">
        <v>2505</v>
      </c>
      <c r="T51" s="3" t="s">
        <v>2505</v>
      </c>
      <c r="U51" s="3" t="s">
        <v>2505</v>
      </c>
      <c r="V51" s="3" t="s">
        <v>2505</v>
      </c>
      <c r="W51" s="3" t="s">
        <v>2665</v>
      </c>
      <c r="X51" s="3" t="s">
        <v>2701</v>
      </c>
      <c r="Y51" s="3" t="s">
        <v>2702</v>
      </c>
      <c r="Z51" s="3" t="s">
        <v>2703</v>
      </c>
      <c r="AA51" s="3" t="s">
        <v>2703</v>
      </c>
      <c r="AB51" s="3" t="s">
        <v>2704</v>
      </c>
      <c r="AC51" s="3" t="s">
        <v>2567</v>
      </c>
      <c r="AD51" s="3" t="s">
        <v>2705</v>
      </c>
      <c r="AE51" s="3">
        <v>277</v>
      </c>
      <c r="AF51" s="3">
        <v>277</v>
      </c>
      <c r="AG51" s="3">
        <v>277</v>
      </c>
      <c r="AH51" s="3">
        <v>8.02</v>
      </c>
      <c r="AI51" s="3">
        <v>8.02</v>
      </c>
      <c r="AJ51" s="3">
        <v>171.84</v>
      </c>
      <c r="AK51" s="3">
        <v>171.84</v>
      </c>
      <c r="AL51" s="3" t="s">
        <v>2505</v>
      </c>
      <c r="AM51" s="3" t="s">
        <v>2505</v>
      </c>
      <c r="AN51" s="3">
        <v>0</v>
      </c>
      <c r="AO51" s="3" t="s">
        <v>2569</v>
      </c>
      <c r="AP51" s="3" t="s">
        <v>2505</v>
      </c>
      <c r="AQ51" s="3" t="s">
        <v>2505</v>
      </c>
      <c r="AR51" s="3" t="s">
        <v>2505</v>
      </c>
      <c r="AS51" s="3" t="s">
        <v>2570</v>
      </c>
    </row>
    <row r="52" spans="1:45" s="3" customFormat="1">
      <c r="A52" s="3" t="s">
        <v>2706</v>
      </c>
      <c r="B52" s="3" t="s">
        <v>2559</v>
      </c>
      <c r="C52" s="3" t="s">
        <v>1770</v>
      </c>
      <c r="D52" s="3" t="s">
        <v>947</v>
      </c>
      <c r="E52" s="3" t="s">
        <v>2505</v>
      </c>
      <c r="F52" s="3" t="s">
        <v>2706</v>
      </c>
      <c r="G52" s="3" t="s">
        <v>2560</v>
      </c>
      <c r="H52" s="3">
        <v>2015011</v>
      </c>
      <c r="I52" s="3" t="s">
        <v>1770</v>
      </c>
      <c r="J52" s="3">
        <v>18880</v>
      </c>
      <c r="K52" s="3">
        <v>13216</v>
      </c>
      <c r="L52" s="3" t="s">
        <v>2593</v>
      </c>
      <c r="M52" s="3" t="s">
        <v>2505</v>
      </c>
      <c r="N52" s="3" t="s">
        <v>2642</v>
      </c>
      <c r="O52" s="3" t="s">
        <v>2505</v>
      </c>
      <c r="P52" s="3" t="s">
        <v>2505</v>
      </c>
      <c r="Q52" s="3" t="s">
        <v>2505</v>
      </c>
      <c r="R52" s="3" t="s">
        <v>2505</v>
      </c>
      <c r="S52" s="3" t="s">
        <v>2505</v>
      </c>
      <c r="T52" s="3" t="s">
        <v>2505</v>
      </c>
      <c r="U52" s="3" t="s">
        <v>2505</v>
      </c>
      <c r="V52" s="3" t="s">
        <v>2505</v>
      </c>
      <c r="W52" s="3" t="s">
        <v>2665</v>
      </c>
      <c r="X52" s="3" t="s">
        <v>2701</v>
      </c>
      <c r="Y52" s="3" t="s">
        <v>2702</v>
      </c>
      <c r="Z52" s="3" t="s">
        <v>2703</v>
      </c>
      <c r="AA52" s="3" t="s">
        <v>2703</v>
      </c>
      <c r="AB52" s="3" t="s">
        <v>2704</v>
      </c>
      <c r="AC52" s="3" t="s">
        <v>2567</v>
      </c>
      <c r="AD52" s="3" t="s">
        <v>2707</v>
      </c>
      <c r="AE52" s="3">
        <v>227</v>
      </c>
      <c r="AF52" s="3">
        <v>227</v>
      </c>
      <c r="AG52" s="3">
        <v>227</v>
      </c>
      <c r="AH52" s="3">
        <v>8.02</v>
      </c>
      <c r="AI52" s="3">
        <v>8.02</v>
      </c>
      <c r="AJ52" s="3">
        <v>171.76</v>
      </c>
      <c r="AK52" s="3">
        <v>171.75</v>
      </c>
      <c r="AL52" s="3" t="s">
        <v>2505</v>
      </c>
      <c r="AM52" s="3" t="s">
        <v>2505</v>
      </c>
      <c r="AN52" s="3">
        <v>0</v>
      </c>
      <c r="AO52" s="3" t="s">
        <v>2569</v>
      </c>
      <c r="AP52" s="3" t="s">
        <v>2505</v>
      </c>
      <c r="AQ52" s="3" t="s">
        <v>2505</v>
      </c>
      <c r="AR52" s="3" t="s">
        <v>2505</v>
      </c>
      <c r="AS52" s="3" t="s">
        <v>2570</v>
      </c>
    </row>
    <row r="53" spans="1:45" s="3" customFormat="1">
      <c r="A53" s="3" t="s">
        <v>2708</v>
      </c>
      <c r="B53" s="3" t="s">
        <v>2559</v>
      </c>
      <c r="C53" s="3" t="s">
        <v>1770</v>
      </c>
      <c r="D53" s="3" t="s">
        <v>947</v>
      </c>
      <c r="E53" s="3" t="s">
        <v>2505</v>
      </c>
      <c r="F53" s="3" t="s">
        <v>2708</v>
      </c>
      <c r="G53" s="3" t="s">
        <v>2560</v>
      </c>
      <c r="H53" s="3">
        <v>2015012</v>
      </c>
      <c r="I53" s="3" t="s">
        <v>1770</v>
      </c>
      <c r="J53" s="3">
        <v>25355</v>
      </c>
      <c r="K53" s="3">
        <v>17748.5</v>
      </c>
      <c r="L53" s="3" t="s">
        <v>2593</v>
      </c>
      <c r="M53" s="3" t="s">
        <v>2505</v>
      </c>
      <c r="N53" s="3" t="s">
        <v>2642</v>
      </c>
      <c r="O53" s="3" t="s">
        <v>2505</v>
      </c>
      <c r="P53" s="3" t="s">
        <v>2505</v>
      </c>
      <c r="Q53" s="3" t="s">
        <v>2505</v>
      </c>
      <c r="R53" s="3" t="s">
        <v>2505</v>
      </c>
      <c r="S53" s="3" t="s">
        <v>2505</v>
      </c>
      <c r="T53" s="3" t="s">
        <v>2505</v>
      </c>
      <c r="U53" s="3" t="s">
        <v>2505</v>
      </c>
      <c r="V53" s="3" t="s">
        <v>2505</v>
      </c>
      <c r="W53" s="3" t="s">
        <v>2665</v>
      </c>
      <c r="X53" s="3" t="s">
        <v>2701</v>
      </c>
      <c r="Y53" s="3" t="s">
        <v>2702</v>
      </c>
      <c r="Z53" s="3" t="s">
        <v>2703</v>
      </c>
      <c r="AA53" s="3" t="s">
        <v>2703</v>
      </c>
      <c r="AB53" s="3" t="s">
        <v>2704</v>
      </c>
      <c r="AC53" s="3" t="s">
        <v>2567</v>
      </c>
      <c r="AD53" s="3" t="s">
        <v>2707</v>
      </c>
      <c r="AE53" s="3">
        <v>305</v>
      </c>
      <c r="AF53" s="3">
        <v>305</v>
      </c>
      <c r="AG53" s="3">
        <v>305</v>
      </c>
      <c r="AH53" s="3">
        <v>8.02</v>
      </c>
      <c r="AI53" s="3">
        <v>8.02</v>
      </c>
      <c r="AJ53" s="3">
        <v>171.84</v>
      </c>
      <c r="AK53" s="3">
        <v>171.84</v>
      </c>
      <c r="AL53" s="3" t="s">
        <v>2505</v>
      </c>
      <c r="AM53" s="3" t="s">
        <v>2505</v>
      </c>
      <c r="AN53" s="3">
        <v>0</v>
      </c>
      <c r="AO53" s="3" t="s">
        <v>2569</v>
      </c>
      <c r="AP53" s="3" t="s">
        <v>2505</v>
      </c>
      <c r="AQ53" s="3" t="s">
        <v>2505</v>
      </c>
      <c r="AR53" s="3" t="s">
        <v>2505</v>
      </c>
      <c r="AS53" s="3" t="s">
        <v>2570</v>
      </c>
    </row>
    <row r="54" spans="1:45" s="3" customFormat="1">
      <c r="A54" s="3" t="s">
        <v>2709</v>
      </c>
      <c r="B54" s="3" t="s">
        <v>2559</v>
      </c>
      <c r="C54" s="3" t="s">
        <v>1770</v>
      </c>
      <c r="D54" s="3" t="s">
        <v>947</v>
      </c>
      <c r="E54" s="3" t="s">
        <v>2505</v>
      </c>
      <c r="F54" s="3" t="s">
        <v>2709</v>
      </c>
      <c r="G54" s="3" t="s">
        <v>2560</v>
      </c>
      <c r="H54" s="3">
        <v>2015005</v>
      </c>
      <c r="I54" s="3" t="s">
        <v>1770</v>
      </c>
      <c r="J54" s="3">
        <v>13334</v>
      </c>
      <c r="K54" s="3">
        <v>13334</v>
      </c>
      <c r="L54" s="3" t="s">
        <v>2582</v>
      </c>
      <c r="M54" s="3" t="s">
        <v>2505</v>
      </c>
      <c r="N54" s="3" t="s">
        <v>2642</v>
      </c>
      <c r="O54" s="3" t="s">
        <v>2505</v>
      </c>
      <c r="P54" s="3" t="s">
        <v>2505</v>
      </c>
      <c r="Q54" s="3" t="s">
        <v>2505</v>
      </c>
      <c r="R54" s="3" t="s">
        <v>2505</v>
      </c>
      <c r="S54" s="3" t="s">
        <v>2505</v>
      </c>
      <c r="T54" s="3" t="s">
        <v>2505</v>
      </c>
      <c r="U54" s="3" t="s">
        <v>2505</v>
      </c>
      <c r="V54" s="3" t="s">
        <v>2505</v>
      </c>
      <c r="W54" s="3" t="s">
        <v>2665</v>
      </c>
      <c r="X54" s="3" t="s">
        <v>2710</v>
      </c>
      <c r="Y54" s="3" t="s">
        <v>2711</v>
      </c>
      <c r="Z54" s="3" t="s">
        <v>2712</v>
      </c>
      <c r="AA54" s="3" t="s">
        <v>2712</v>
      </c>
      <c r="AB54" s="3" t="s">
        <v>2713</v>
      </c>
      <c r="AC54" s="3" t="s">
        <v>2567</v>
      </c>
      <c r="AD54" s="3" t="s">
        <v>2714</v>
      </c>
      <c r="AE54" s="3">
        <v>170</v>
      </c>
      <c r="AF54" s="3">
        <v>170</v>
      </c>
      <c r="AG54" s="3">
        <v>170</v>
      </c>
      <c r="AH54" s="3">
        <v>8.5</v>
      </c>
      <c r="AI54" s="3">
        <v>8.5</v>
      </c>
      <c r="AJ54" s="3">
        <v>127.49</v>
      </c>
      <c r="AK54" s="3">
        <v>127.48</v>
      </c>
      <c r="AL54" s="3" t="s">
        <v>2505</v>
      </c>
      <c r="AM54" s="3" t="s">
        <v>2505</v>
      </c>
      <c r="AN54" s="3">
        <v>0</v>
      </c>
      <c r="AO54" s="3" t="s">
        <v>2569</v>
      </c>
      <c r="AP54" s="3" t="s">
        <v>2505</v>
      </c>
      <c r="AQ54" s="3" t="s">
        <v>2505</v>
      </c>
      <c r="AR54" s="3" t="s">
        <v>2505</v>
      </c>
      <c r="AS54" s="3" t="s">
        <v>2570</v>
      </c>
    </row>
    <row r="55" spans="1:45" s="3" customFormat="1">
      <c r="A55" s="3" t="s">
        <v>2715</v>
      </c>
      <c r="B55" s="3" t="s">
        <v>2559</v>
      </c>
      <c r="C55" s="3" t="s">
        <v>1770</v>
      </c>
      <c r="D55" s="3" t="s">
        <v>947</v>
      </c>
      <c r="E55" s="3" t="s">
        <v>2505</v>
      </c>
      <c r="F55" s="3" t="s">
        <v>2715</v>
      </c>
      <c r="G55" s="3" t="s">
        <v>2560</v>
      </c>
      <c r="H55" s="3">
        <v>2015007</v>
      </c>
      <c r="I55" s="3" t="s">
        <v>1770</v>
      </c>
      <c r="J55" s="3">
        <v>8983</v>
      </c>
      <c r="K55" s="3">
        <v>6288.1</v>
      </c>
      <c r="L55" s="3" t="s">
        <v>2593</v>
      </c>
      <c r="M55" s="3" t="s">
        <v>2505</v>
      </c>
      <c r="N55" s="3" t="s">
        <v>2642</v>
      </c>
      <c r="O55" s="3" t="s">
        <v>2505</v>
      </c>
      <c r="P55" s="3" t="s">
        <v>2505</v>
      </c>
      <c r="Q55" s="3" t="s">
        <v>2505</v>
      </c>
      <c r="R55" s="3" t="s">
        <v>2505</v>
      </c>
      <c r="S55" s="3" t="s">
        <v>2505</v>
      </c>
      <c r="T55" s="3" t="s">
        <v>2505</v>
      </c>
      <c r="U55" s="3" t="s">
        <v>2505</v>
      </c>
      <c r="V55" s="3" t="s">
        <v>2505</v>
      </c>
      <c r="W55" s="3" t="s">
        <v>2665</v>
      </c>
      <c r="X55" s="3" t="s">
        <v>2716</v>
      </c>
      <c r="Y55" s="3" t="s">
        <v>2717</v>
      </c>
      <c r="Z55" s="3" t="s">
        <v>2718</v>
      </c>
      <c r="AA55" s="3" t="s">
        <v>2718</v>
      </c>
      <c r="AB55" s="3" t="s">
        <v>2719</v>
      </c>
      <c r="AC55" s="3" t="s">
        <v>2567</v>
      </c>
      <c r="AD55" s="3" t="s">
        <v>2720</v>
      </c>
      <c r="AE55" s="3">
        <v>162</v>
      </c>
      <c r="AF55" s="3">
        <v>162</v>
      </c>
      <c r="AG55" s="3">
        <v>162</v>
      </c>
      <c r="AH55" s="3">
        <v>12.02</v>
      </c>
      <c r="AI55" s="3">
        <v>12.02</v>
      </c>
      <c r="AJ55" s="3">
        <v>257.62</v>
      </c>
      <c r="AK55" s="3">
        <v>257.62</v>
      </c>
      <c r="AL55" s="3" t="s">
        <v>2505</v>
      </c>
      <c r="AM55" s="3" t="s">
        <v>2505</v>
      </c>
      <c r="AN55" s="3">
        <v>0</v>
      </c>
      <c r="AO55" s="3" t="s">
        <v>2569</v>
      </c>
      <c r="AP55" s="3" t="s">
        <v>2505</v>
      </c>
      <c r="AQ55" s="3" t="s">
        <v>2505</v>
      </c>
      <c r="AR55" s="3" t="s">
        <v>2505</v>
      </c>
      <c r="AS55" s="3" t="s">
        <v>2570</v>
      </c>
    </row>
    <row r="56" spans="1:45" s="3" customFormat="1">
      <c r="A56" s="3" t="s">
        <v>2715</v>
      </c>
      <c r="B56" s="3" t="s">
        <v>2559</v>
      </c>
      <c r="C56" s="3" t="s">
        <v>1770</v>
      </c>
      <c r="D56" s="3" t="s">
        <v>947</v>
      </c>
      <c r="E56" s="3" t="s">
        <v>2505</v>
      </c>
      <c r="F56" s="3" t="s">
        <v>2715</v>
      </c>
      <c r="G56" s="3" t="s">
        <v>2560</v>
      </c>
      <c r="H56" s="3">
        <v>2015006</v>
      </c>
      <c r="I56" s="3" t="s">
        <v>1770</v>
      </c>
      <c r="J56" s="3">
        <v>17036</v>
      </c>
      <c r="K56" s="3">
        <v>11925.2</v>
      </c>
      <c r="L56" s="3" t="s">
        <v>2593</v>
      </c>
      <c r="M56" s="3" t="s">
        <v>2505</v>
      </c>
      <c r="N56" s="3" t="s">
        <v>2642</v>
      </c>
      <c r="O56" s="3" t="s">
        <v>2505</v>
      </c>
      <c r="P56" s="3" t="s">
        <v>2505</v>
      </c>
      <c r="Q56" s="3" t="s">
        <v>2505</v>
      </c>
      <c r="R56" s="3" t="s">
        <v>2505</v>
      </c>
      <c r="S56" s="3" t="s">
        <v>2505</v>
      </c>
      <c r="T56" s="3" t="s">
        <v>2505</v>
      </c>
      <c r="U56" s="3" t="s">
        <v>2505</v>
      </c>
      <c r="V56" s="3" t="s">
        <v>2505</v>
      </c>
      <c r="W56" s="3" t="s">
        <v>2665</v>
      </c>
      <c r="X56" s="3" t="s">
        <v>2716</v>
      </c>
      <c r="Y56" s="3" t="s">
        <v>2717</v>
      </c>
      <c r="Z56" s="3" t="s">
        <v>2718</v>
      </c>
      <c r="AA56" s="3" t="s">
        <v>2718</v>
      </c>
      <c r="AB56" s="3" t="s">
        <v>2719</v>
      </c>
      <c r="AC56" s="3" t="s">
        <v>2567</v>
      </c>
      <c r="AD56" s="3" t="s">
        <v>2720</v>
      </c>
      <c r="AE56" s="3">
        <v>307</v>
      </c>
      <c r="AF56" s="3">
        <v>307</v>
      </c>
      <c r="AG56" s="3">
        <v>307</v>
      </c>
      <c r="AH56" s="3">
        <v>12.01</v>
      </c>
      <c r="AI56" s="3">
        <v>12.01</v>
      </c>
      <c r="AJ56" s="3">
        <v>257.43</v>
      </c>
      <c r="AK56" s="3">
        <v>257.43</v>
      </c>
      <c r="AL56" s="3" t="s">
        <v>2505</v>
      </c>
      <c r="AM56" s="3" t="s">
        <v>2505</v>
      </c>
      <c r="AN56" s="3">
        <v>0</v>
      </c>
      <c r="AO56" s="3" t="s">
        <v>2569</v>
      </c>
      <c r="AP56" s="3" t="s">
        <v>2505</v>
      </c>
      <c r="AQ56" s="3" t="s">
        <v>2505</v>
      </c>
      <c r="AR56" s="3" t="s">
        <v>2505</v>
      </c>
      <c r="AS56" s="3" t="s">
        <v>2570</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95" t="str">
        <f>IF(项目基本情况!B9="房地产市场价值","估价结果一览表","结果表-2")</f>
        <v>结果表-2</v>
      </c>
      <c r="B1" s="2995"/>
      <c r="C1" s="2995"/>
      <c r="D1" s="2995"/>
      <c r="E1" s="2995"/>
      <c r="F1" s="2995"/>
      <c r="G1" s="2995"/>
      <c r="H1" s="2995"/>
      <c r="I1" s="2995"/>
    </row>
    <row r="2" spans="1:9" ht="30" customHeight="1">
      <c r="A2" s="2996" t="s">
        <v>107</v>
      </c>
      <c r="B2" s="2996" t="s">
        <v>108</v>
      </c>
      <c r="C2" s="2996" t="s">
        <v>109</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1059</v>
      </c>
      <c r="E4" s="2913">
        <f ca="1">结果表!E118</f>
        <v>589</v>
      </c>
      <c r="F4" s="2913">
        <f ca="1">结果表!F118</f>
        <v>4342</v>
      </c>
      <c r="G4" s="2913">
        <f ca="1">结果表!G118</f>
        <v>2414</v>
      </c>
      <c r="H4" s="2913">
        <f ca="1">结果表!H118</f>
        <v>5401</v>
      </c>
      <c r="I4" s="2913">
        <f ca="1">结果表!I118</f>
        <v>3003</v>
      </c>
    </row>
    <row r="5" spans="1:9" ht="30" customHeight="1">
      <c r="A5" s="2990" t="s">
        <v>112</v>
      </c>
      <c r="B5" s="2990"/>
      <c r="C5" s="2990"/>
      <c r="D5" s="2991" t="str">
        <f ca="1">结果表!D119</f>
        <v>壹仟零伍拾玖万元整</v>
      </c>
      <c r="E5" s="2991"/>
      <c r="F5" s="2991" t="str">
        <f ca="1">结果表!F119</f>
        <v>肆仟叁佰肆拾贰万元整</v>
      </c>
      <c r="G5" s="2991"/>
      <c r="H5" s="2991" t="str">
        <f ca="1">结果表!H119</f>
        <v>伍仟肆佰零壹万元整</v>
      </c>
      <c r="I5" s="2991"/>
    </row>
    <row r="6" spans="1:9" ht="15.75">
      <c r="A6" s="2986" t="str">
        <f>结果表!A120</f>
        <v>估价师知悉的法定优先受偿款</v>
      </c>
      <c r="B6" s="2986"/>
      <c r="C6" s="2986"/>
      <c r="D6" s="2986">
        <f>结果表!D120</f>
        <v>0</v>
      </c>
      <c r="E6" s="2986"/>
      <c r="F6" s="2986"/>
      <c r="G6" s="2986"/>
      <c r="H6" s="2986"/>
      <c r="I6" s="2986"/>
    </row>
    <row r="7" spans="1:9" ht="15">
      <c r="A7" s="2990" t="s">
        <v>112</v>
      </c>
      <c r="B7" s="2990"/>
      <c r="C7" s="2990"/>
      <c r="D7" s="2992" t="str">
        <f>结果表!D121</f>
        <v>零元整</v>
      </c>
      <c r="E7" s="2993"/>
      <c r="F7" s="2993"/>
      <c r="G7" s="2993"/>
      <c r="H7" s="2993"/>
      <c r="I7" s="2994"/>
    </row>
    <row r="8" spans="1:9" ht="15.75">
      <c r="A8" s="2986" t="str">
        <f>结果表!A122</f>
        <v>房地产抵押价值</v>
      </c>
      <c r="B8" s="2986"/>
      <c r="C8" s="2986"/>
      <c r="D8" s="2986">
        <f ca="1">结果表!D122</f>
        <v>5401</v>
      </c>
      <c r="E8" s="2986"/>
      <c r="F8" s="2986"/>
      <c r="G8" s="2986"/>
      <c r="H8" s="2986"/>
      <c r="I8" s="2986"/>
    </row>
    <row r="9" spans="1:9" ht="15">
      <c r="A9" s="2990" t="s">
        <v>112</v>
      </c>
      <c r="B9" s="2990"/>
      <c r="C9" s="2990"/>
      <c r="D9" s="2991" t="str">
        <f ca="1">结果表!D123</f>
        <v>伍仟肆佰零壹万元整</v>
      </c>
      <c r="E9" s="2991"/>
      <c r="F9" s="2991"/>
      <c r="G9" s="2991"/>
      <c r="H9" s="2991"/>
      <c r="I9" s="2991"/>
    </row>
    <row r="10" spans="1:9" ht="15.75">
      <c r="A10" s="2986" t="str">
        <f>结果表!A124</f>
        <v/>
      </c>
      <c r="B10" s="2986"/>
      <c r="C10" s="2986"/>
      <c r="D10" s="2986" t="str">
        <f>结果表!D124</f>
        <v>——</v>
      </c>
      <c r="E10" s="2986"/>
      <c r="F10" s="2986"/>
      <c r="G10" s="2986"/>
      <c r="H10" s="2986"/>
      <c r="I10" s="2986"/>
    </row>
    <row r="11" spans="1:9" ht="15">
      <c r="A11" s="2990" t="s">
        <v>112</v>
      </c>
      <c r="B11" s="2990"/>
      <c r="C11" s="2990"/>
      <c r="D11" s="2991" t="e">
        <f>结果表!D125</f>
        <v>#VALUE!</v>
      </c>
      <c r="E11" s="2991"/>
      <c r="F11" s="2991"/>
      <c r="G11" s="2991"/>
      <c r="H11" s="2991"/>
      <c r="I11" s="2991"/>
    </row>
    <row r="12" spans="1:9" ht="15.75">
      <c r="A12" s="2986" t="str">
        <f>结果表!A126</f>
        <v/>
      </c>
      <c r="B12" s="2986"/>
      <c r="C12" s="2986"/>
      <c r="D12" s="2986" t="str">
        <f>结果表!D126</f>
        <v>——</v>
      </c>
      <c r="E12" s="2986"/>
      <c r="F12" s="2986"/>
      <c r="G12" s="2986"/>
      <c r="H12" s="2986"/>
      <c r="I12" s="2986"/>
    </row>
    <row r="13" spans="1:9" ht="15">
      <c r="A13" s="2987" t="s">
        <v>112</v>
      </c>
      <c r="B13" s="2987"/>
      <c r="C13" s="2987"/>
      <c r="D13" s="2988" t="e">
        <f>结果表!D127</f>
        <v>#VALUE!</v>
      </c>
      <c r="E13" s="2988"/>
      <c r="F13" s="2988"/>
      <c r="G13" s="2988"/>
      <c r="H13" s="2988"/>
      <c r="I13" s="2988"/>
    </row>
    <row r="14" spans="1:9">
      <c r="A14" s="2989" t="s">
        <v>113</v>
      </c>
      <c r="B14" s="2989"/>
      <c r="C14" s="2989"/>
      <c r="D14" s="2989"/>
      <c r="E14" s="2989"/>
      <c r="F14" s="2989"/>
      <c r="G14" s="2989"/>
      <c r="H14" s="2989"/>
      <c r="I14" s="2989"/>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003" t="s">
        <v>114</v>
      </c>
      <c r="B1" s="3003"/>
      <c r="C1" s="3003"/>
      <c r="D1" s="3003"/>
    </row>
    <row r="2" spans="1:4" ht="18">
      <c r="A2" s="3004" t="s">
        <v>115</v>
      </c>
      <c r="B2" s="3004"/>
      <c r="C2" s="3004"/>
      <c r="D2" s="3004"/>
    </row>
    <row r="3" spans="1:4" ht="18.75">
      <c r="A3" s="2901" t="s">
        <v>116</v>
      </c>
      <c r="B3" s="2901" t="s">
        <v>117</v>
      </c>
      <c r="C3" s="2901" t="s">
        <v>118</v>
      </c>
      <c r="D3" s="2901" t="s">
        <v>119</v>
      </c>
    </row>
    <row r="4" spans="1:4" ht="56.25" customHeight="1">
      <c r="A4" s="2902" t="str">
        <f>项目基本情况!B4</f>
        <v>郑燚</v>
      </c>
      <c r="B4" s="2903">
        <f ca="1">项目基本情况!C4</f>
        <v>1120070131</v>
      </c>
      <c r="C4" s="2904"/>
      <c r="D4" s="2905" t="s">
        <v>120</v>
      </c>
    </row>
    <row r="5" spans="1:4" ht="56.25" customHeight="1">
      <c r="A5" s="2902" t="str">
        <f>项目基本情况!D4</f>
        <v>崔锴</v>
      </c>
      <c r="B5" s="2903">
        <f ca="1">项目基本情况!E4</f>
        <v>0</v>
      </c>
      <c r="C5" s="2906"/>
      <c r="D5" s="2905" t="s">
        <v>120</v>
      </c>
    </row>
    <row r="6" spans="1:4" ht="18">
      <c r="A6" s="3004" t="s">
        <v>121</v>
      </c>
      <c r="B6" s="3004"/>
      <c r="C6" s="3004"/>
      <c r="D6" s="3004"/>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3005" t="s">
        <v>126</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8" t="str">
        <f>IF(项目基本情况!B8="抵押","4.本次评估估价师所知悉的法定优先受偿款情况说明如下：","——")</f>
        <v>4.本次评估估价师所知悉的法定优先受偿款情况说明如下：</v>
      </c>
      <c r="B14" s="3001"/>
      <c r="C14" s="3001"/>
      <c r="D14" s="3001"/>
    </row>
    <row r="15" spans="1:4" ht="42" customHeight="1">
      <c r="A15" s="2998" t="str">
        <f>IF(项目基本情况!B8="抵押","（1）"&amp;CONCATENATE(项目基本情况!L20,项目基本情况!L21,项目基本情况!L22),"——")</f>
        <v>（1）根据估价对象《不动产权证书》原件、，截至价值时点，估价对象抵押权未见登记。</v>
      </c>
      <c r="B15" s="2998"/>
      <c r="C15" s="2998"/>
      <c r="D15" s="2998"/>
    </row>
    <row r="16" spans="1:4" ht="30" customHeight="1">
      <c r="A16" s="3002" t="s">
        <v>127</v>
      </c>
      <c r="B16" s="3002"/>
      <c r="C16" s="3002"/>
      <c r="D16" s="3002"/>
    </row>
    <row r="17" spans="1:4" ht="144" customHeight="1">
      <c r="A17" s="3002" t="s">
        <v>128</v>
      </c>
      <c r="B17" s="3002"/>
      <c r="C17" s="3002"/>
      <c r="D17" s="3002"/>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129</v>
      </c>
      <c r="B22" s="3000"/>
      <c r="C22" s="3000"/>
      <c r="D22" s="3000"/>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08" t="s">
        <v>146</v>
      </c>
      <c r="B15" s="3013" t="s">
        <v>147</v>
      </c>
      <c r="C15" s="3007"/>
    </row>
    <row r="16" spans="1:7" ht="13.5">
      <c r="A16" s="3009"/>
      <c r="B16" s="3013" t="s">
        <v>148</v>
      </c>
      <c r="C16" s="3007"/>
    </row>
    <row r="17" spans="1:3" ht="13.5">
      <c r="A17" s="3009"/>
      <c r="B17" s="3012" t="s">
        <v>149</v>
      </c>
      <c r="C17" s="2889" t="s">
        <v>146</v>
      </c>
    </row>
    <row r="18" spans="1:3" ht="13.5">
      <c r="A18" s="3009"/>
      <c r="B18" s="3012"/>
      <c r="C18" s="2889" t="s">
        <v>150</v>
      </c>
    </row>
    <row r="19" spans="1:3" ht="13.5">
      <c r="A19" s="3009"/>
      <c r="B19" s="3012"/>
      <c r="C19" s="2889" t="s">
        <v>151</v>
      </c>
    </row>
    <row r="20" spans="1:3" ht="13.5">
      <c r="A20" s="3010"/>
      <c r="B20" s="3006" t="s">
        <v>152</v>
      </c>
      <c r="C20" s="3007"/>
    </row>
    <row r="21" spans="1:3" ht="13.5">
      <c r="A21" s="2890" t="s">
        <v>153</v>
      </c>
      <c r="B21" s="2891"/>
      <c r="C21" s="2892"/>
    </row>
    <row r="22" spans="1:3" ht="13.5">
      <c r="A22" s="3011" t="s">
        <v>154</v>
      </c>
      <c r="B22" s="3006" t="s">
        <v>155</v>
      </c>
      <c r="C22" s="3007"/>
    </row>
    <row r="23" spans="1:3" ht="13.5">
      <c r="A23" s="3011"/>
      <c r="B23" s="3006" t="s">
        <v>156</v>
      </c>
      <c r="C23" s="3007"/>
    </row>
    <row r="24" spans="1:3" ht="13.5">
      <c r="A24" s="3011"/>
      <c r="B24" s="3006" t="s">
        <v>157</v>
      </c>
      <c r="C24" s="3007"/>
    </row>
    <row r="25" spans="1:3" ht="13.5">
      <c r="A25" s="3011"/>
      <c r="B25" s="3012" t="s">
        <v>158</v>
      </c>
      <c r="C25" s="2889" t="s">
        <v>159</v>
      </c>
    </row>
    <row r="26" spans="1:3" ht="13.5">
      <c r="A26" s="3011"/>
      <c r="B26" s="3012"/>
      <c r="C26" s="2889" t="s">
        <v>160</v>
      </c>
    </row>
    <row r="27" spans="1:3" ht="13.5">
      <c r="A27" s="3011"/>
      <c r="B27" s="3012"/>
      <c r="C27" s="2889" t="s">
        <v>161</v>
      </c>
    </row>
    <row r="28" spans="1:3" ht="13.5">
      <c r="A28" s="3011"/>
      <c r="B28" s="3012"/>
      <c r="C28" s="2889" t="s">
        <v>162</v>
      </c>
    </row>
    <row r="29" spans="1:3" ht="13.5">
      <c r="A29" s="3011"/>
      <c r="B29" s="3012"/>
      <c r="C29" s="2889" t="s">
        <v>163</v>
      </c>
    </row>
    <row r="30" spans="1:3" ht="13.5">
      <c r="A30" s="3011"/>
      <c r="B30" s="3012"/>
      <c r="C30" s="2889" t="s">
        <v>164</v>
      </c>
    </row>
    <row r="31" spans="1:3" ht="13.5">
      <c r="A31" s="3011"/>
      <c r="B31" s="3012"/>
      <c r="C31" s="2889" t="s">
        <v>165</v>
      </c>
    </row>
    <row r="32" spans="1:3" ht="13.5">
      <c r="A32" s="3011"/>
      <c r="B32" s="3012"/>
      <c r="C32" s="2889" t="s">
        <v>166</v>
      </c>
    </row>
    <row r="33" spans="1:3" ht="13.5">
      <c r="A33" s="3011"/>
      <c r="B33" s="3012"/>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43637</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t="str">
        <f ca="1">IF(C11&lt;B2,"已过期",1120100036)</f>
        <v>已过期</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4" t="s">
        <v>197</v>
      </c>
      <c r="B25" s="3014"/>
      <c r="C25" s="3014"/>
      <c r="D25" s="3014"/>
      <c r="E25" s="3014"/>
      <c r="F25" s="3014"/>
      <c r="G25" s="3014"/>
    </row>
    <row r="26" spans="1:7" s="2847" customFormat="1" ht="24" customHeight="1">
      <c r="A26" s="3015" t="s">
        <v>198</v>
      </c>
      <c r="B26" s="3015"/>
      <c r="C26" s="3016"/>
      <c r="D26" s="3017" t="s">
        <v>199</v>
      </c>
      <c r="E26" s="3015"/>
      <c r="F26" s="3015"/>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2019-06-21T02:11:42Z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