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9" i="74"/>
  <c r="H10" i="74" l="1"/>
  <c r="I11" i="74" s="1"/>
  <c r="D14" i="74" l="1"/>
  <c r="I9" i="74" s="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E10" i="76"/>
  <c r="E8" i="76"/>
  <c r="F40" i="67"/>
  <c r="B7" i="76"/>
  <c r="B13" i="76"/>
  <c r="C76" i="67"/>
  <c r="F6" i="73"/>
  <c r="F3" i="73"/>
  <c r="M8" i="15"/>
  <c r="D4" i="73"/>
  <c r="F8" i="15"/>
  <c r="F5" i="73"/>
  <c r="F40" i="15"/>
  <c r="J15" i="67"/>
  <c r="M28" i="67"/>
  <c r="F20" i="31"/>
  <c r="F26" i="67"/>
  <c r="E12" i="76"/>
  <c r="F6" i="15"/>
  <c r="M22" i="15"/>
  <c r="D7" i="73"/>
  <c r="E2" i="69"/>
  <c r="F13" i="67"/>
  <c r="D3" i="73"/>
  <c r="B8" i="76"/>
  <c r="F4" i="73"/>
  <c r="M9" i="15"/>
  <c r="F8" i="67"/>
  <c r="F43" i="15"/>
  <c r="M28" i="15"/>
  <c r="E13" i="76"/>
  <c r="M24" i="67"/>
  <c r="F42" i="15"/>
  <c r="F36" i="15"/>
  <c r="M26" i="15"/>
  <c r="F38" i="67"/>
  <c r="M29" i="15"/>
  <c r="F7" i="67"/>
  <c r="B11" i="76"/>
  <c r="F7" i="73"/>
  <c r="E7" i="76"/>
  <c r="J15" i="15"/>
  <c r="F37" i="67"/>
  <c r="M23" i="15"/>
  <c r="F7" i="15"/>
  <c r="M9" i="67"/>
  <c r="M6" i="67"/>
  <c r="M24" i="15"/>
  <c r="F38" i="15"/>
  <c r="B12" i="76"/>
  <c r="M23" i="67"/>
  <c r="L47" i="15"/>
  <c r="F26" i="15"/>
  <c r="C76" i="15"/>
  <c r="F9" i="15"/>
  <c r="M26" i="67"/>
  <c r="F16" i="67"/>
  <c r="F9" i="67"/>
  <c r="M8" i="67"/>
  <c r="F36" i="67"/>
  <c r="B9" i="76"/>
  <c r="E11" i="76"/>
  <c r="M6" i="15"/>
  <c r="D6" i="73"/>
  <c r="L47" i="67"/>
  <c r="F42" i="67"/>
  <c r="F6" i="67"/>
  <c r="M29" i="67"/>
  <c r="B10" i="76"/>
  <c r="F37" i="15"/>
  <c r="D5" i="73"/>
  <c r="M22" i="67"/>
  <c r="E2" i="68"/>
  <c r="L48" i="15"/>
  <c r="E9" i="76"/>
  <c r="AO13" i="1"/>
  <c r="F16" i="15"/>
  <c r="F13"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L48" i="67"/>
  <c r="G1" i="73"/>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67"/>
  <c r="F35" i="15"/>
  <c r="M21"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C19" i="9"/>
  <c r="D2" i="37"/>
  <c r="D2" i="34"/>
  <c r="L51" i="15"/>
  <c r="D2" i="35"/>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6" i="1"/>
  <c r="D35" i="9"/>
  <c r="AO8" i="1"/>
  <c r="AO7" i="1"/>
  <c r="AO9" i="1"/>
  <c r="C20" i="9"/>
  <c r="AO12" i="1"/>
  <c r="AO10" i="1"/>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<sst xmlns="http://schemas.openxmlformats.org/spreadsheetml/2006/main" count="7883" uniqueCount="3417">
  <si>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</si>
  <si>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</si>
  <si>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</si>
  <si>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</si>
  <si>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</si>
  <si>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</si>
  <si>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</si>
  <si>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</si>
  <si>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</si>
  <si>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</si>
  <si>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</si>
  <si>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</si>
  <si>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</si>
  <si>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</si>
  <si>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</si>
  <si>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</si>
  <si>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</si>
  <si>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</si>
  <si>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</si>
  <si>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</si>
  <si>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</si>
  <si>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</si>
  <si>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</si>
  <si>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</si>
  <si>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</si>
  <si>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</si>
  <si>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</si>
  <si>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</si>
  <si>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</si>
  <si>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</si>
  <si>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</si>
  <si>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</si>
  <si>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</si>
  <si>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</si>
  <si>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</si>
  <si>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</si>
  <si>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</si>
  <si>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</si>
  <si>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</si>
  <si>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</si>
  <si>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</si>
  <si>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</si>
  <si>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</si>
  <si>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</si>
  <si>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</si>
  <si>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</si>
  <si>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</si>
  <si>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</si>
  <si>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</si>
  <si>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</si>
  <si>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</si>
  <si>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</si>
  <si>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</si>
  <si>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</si>
  <si>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</si>
  <si>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</si>
  <si>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</si>
  <si>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</si>
  <si>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</si>
  <si>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</si>
  <si>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</si>
  <si>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</si>
  <si>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</si>
  <si>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</si>
  <si>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</si>
  <si>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</si>
  <si>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</si>
  <si>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</si>
  <si>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</si>
  <si>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</si>
  <si>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</si>
  <si>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</si>
  <si>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</si>
  <si>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</si>
  <si>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</si>
  <si>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</si>
  <si>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</si>
  <si>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</si>
  <si>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</si>
  <si>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</si>
  <si>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</si>
  <si>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</si>
  <si>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</si>
  <si>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</si>
  <si>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</si>
  <si>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</si>
  <si>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</si>
  <si>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</si>
  <si>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</si>
  <si>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</si>
  <si>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</si>
  <si>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</si>
  <si>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</si>
  <si>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</si>
  <si>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</si>
  <si>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</si>
  <si>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</si>
  <si>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</si>
  <si>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</si>
  <si>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</si>
  <si>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</si>
  <si>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</si>
  <si>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</si>
  <si>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</si>
  <si>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</si>
  <si>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</si>
  <si>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</si>
  <si>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</si>
  <si>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</si>
  <si>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</si>
  <si>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</si>
  <si>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</si>
  <si>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</si>
  <si>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</si>
  <si>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</si>
  <si>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</si>
  <si>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</si>
  <si>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</si>
  <si>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</si>
  <si>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</si>
  <si>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</si>
  <si>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</si>
  <si>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</si>
  <si>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</si>
  <si>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</si>
  <si>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</si>
  <si>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</si>
  <si>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</si>
  <si>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</si>
  <si>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</si>
  <si>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</si>
  <si>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</si>
  <si>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</si>
  <si>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</si>
  <si>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</si>
  <si>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</si>
  <si>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</si>
  <si>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</si>
  <si>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</si>
  <si>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</si>
  <si>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</si>
  <si>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</si>
  <si>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</si>
  <si>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</si>
  <si>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</si>
  <si>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</si>
  <si>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</si>
  <si>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</si>
  <si>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</si>
  <si>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</si>
  <si>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</si>
  <si>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</si>
  <si>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</si>
  <si>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</si>
  <si>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</si>
  <si>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</si>
  <si>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</si>
  <si>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</si>
  <si>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</si>
  <si>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</si>
  <si>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</si>
  <si>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</si>
  <si>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</si>
  <si>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</si>
  <si>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</si>
  <si>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</si>
  <si>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</si>
  <si>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</si>
  <si>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</si>
  <si>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</si>
  <si>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</si>
  <si>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</si>
  <si>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</si>
  <si>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</si>
  <si>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</si>
  <si>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</si>
  <si>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</si>
  <si>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</si>
  <si>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</si>
  <si>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</si>
  <si>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</si>
  <si>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</si>
  <si>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</si>
  <si>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</si>
  <si>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</si>
  <si>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</si>
  <si>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</si>
  <si>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</si>
  <si>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</si>
  <si>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</si>
  <si>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</si>
  <si>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</si>
  <si>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</si>
  <si>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</si>
  <si>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</si>
  <si>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</si>
  <si>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</si>
  <si>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</si>
  <si>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</si>
  <si>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</si>
  <si>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</si>
  <si>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</si>
  <si>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</si>
  <si>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</si>
  <si>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</si>
  <si>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</si>
  <si>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</si>
  <si>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</si>
  <si>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</si>
  <si>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</si>
  <si>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</si>
  <si>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</si>
  <si>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</si>
  <si>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</si>
  <si>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</si>
  <si>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</si>
  <si>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</si>
  <si>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</si>
  <si>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</si>
  <si>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</si>
  <si>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</si>
  <si>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</si>
  <si>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</si>
  <si>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</si>
  <si>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</si>
  <si>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</si>
  <si>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</si>
  <si>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</si>
  <si>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</si>
  <si>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</si>
  <si>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</si>
  <si>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</si>
  <si>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</si>
  <si>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</si>
  <si>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</si>
  <si>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</si>
  <si>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</si>
  <si>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</si>
  <si>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</si>
  <si>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</si>
  <si>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</si>
  <si>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</si>
  <si>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</si>
  <si>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</si>
  <si>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</si>
  <si>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</si>
  <si>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</si>
  <si>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</si>
  <si>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</si>
  <si>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</si>
  <si>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</si>
  <si>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</si>
  <si>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</si>
  <si>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</si>
  <si>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</si>
  <si>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</si>
  <si>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</si>
  <si>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</si>
  <si>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</si>
  <si>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</si>
  <si>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</si>
  <si>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</si>
  <si>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</si>
  <si>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</si>
  <si>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</si>
  <si>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</si>
  <si>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</si>
  <si>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</si>
  <si>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</si>
  <si>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</si>
  <si>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</si>
  <si>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</si>
  <si>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</si>
  <si>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</si>
  <si>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</si>
  <si>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</si>
  <si>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</si>
  <si>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</si>
  <si>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</si>
  <si>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</si>
  <si>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</si>
  <si>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</si>
  <si>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</si>
  <si>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</si>
  <si>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</si>
  <si>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</si>
  <si>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</si>
  <si>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</si>
  <si>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</si>
  <si>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</si>
  <si>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</si>
  <si>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</si>
  <si>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</si>
  <si>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</si>
  <si>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</si>
  <si>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</si>
  <si>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</si>
  <si>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</si>
  <si>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</si>
  <si>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</si>
  <si>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</si>
  <si>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</si>
  <si>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</si>
  <si>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</si>
  <si>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</si>
  <si>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</si>
  <si>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</si>
  <si>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</si>
  <si>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</si>
  <si>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</si>
  <si>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</si>
  <si>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</si>
  <si>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</si>
  <si>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</si>
  <si>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</si>
  <si>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</si>
  <si>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</si>
  <si>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</si>
  <si>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</si>
  <si>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</si>
  <si>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</si>
  <si>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</si>
  <si>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</si>
  <si>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</si>
  <si>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</si>
  <si>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</si>
  <si>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</si>
  <si>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</si>
  <si>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</si>
  <si>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</si>
  <si>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</si>
  <si>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</si>
  <si>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</si>
  <si>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</si>
  <si>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</si>
  <si>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</si>
  <si>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</si>
  <si>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</si>
  <si>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</si>
  <si>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</si>
  <si>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</si>
  <si>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</si>
  <si>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</si>
  <si>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</si>
  <si>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</si>
  <si>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</si>
  <si>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</si>
  <si>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</si>
  <si>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</si>
  <si>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</si>
  <si>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</si>
  <si>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</si>
  <si>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</si>
  <si>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</si>
  <si>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</si>
  <si>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</si>
  <si>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</si>
  <si>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</si>
  <si>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</si>
  <si>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</si>
  <si>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</si>
  <si>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</si>
  <si>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</si>
  <si>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</si>
  <si>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</si>
  <si>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</si>
  <si>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</si>
  <si>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</si>
  <si>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</si>
  <si>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</si>
  <si>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</si>
  <si>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</si>
  <si>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</si>
  <si>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</si>
  <si>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</si>
  <si>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</si>
  <si>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</si>
  <si>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</si>
  <si>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</si>
  <si>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</si>
  <si>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</si>
  <si>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</si>
  <si>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</si>
  <si>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</si>
  <si>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</si>
  <si>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</si>
  <si>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</si>
  <si>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</si>
  <si>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</si>
  <si>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</si>
  <si>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</si>
  <si>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</si>
  <si>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</si>
  <si>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</si>
  <si>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</si>
  <si>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</si>
  <si>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</si>
  <si>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</si>
  <si>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</si>
  <si>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</si>
  <si>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</si>
  <si>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</si>
  <si>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</si>
  <si>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</si>
  <si>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</si>
  <si>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</si>
  <si>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</si>
  <si>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</si>
  <si>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</si>
  <si>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</si>
  <si>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</si>
  <si>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</si>
  <si>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</si>
  <si>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</si>
  <si>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</si>
  <si>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</si>
  <si>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</si>
  <si>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</si>
  <si>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</si>
  <si>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</si>
  <si>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</si>
  <si>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</si>
  <si>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</si>
  <si>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</si>
  <si>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</si>
  <si>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</si>
  <si>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</si>
  <si>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</si>
  <si>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</si>
  <si>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</si>
  <si>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</si>
  <si>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</si>
  <si>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</si>
  <si>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</si>
  <si>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</si>
  <si>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</si>
  <si>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</si>
  <si>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</si>
  <si>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</si>
  <si>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</si>
  <si>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</si>
  <si>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</si>
  <si>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</si>
  <si>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</si>
  <si>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</si>
  <si>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</si>
  <si>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</si>
  <si>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</si>
  <si>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</si>
  <si>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</si>
  <si>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</si>
  <si>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</si>
  <si>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</si>
  <si>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</si>
  <si>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</si>
  <si>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</si>
  <si>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</si>
  <si>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</si>
  <si>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</si>
  <si>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</si>
  <si>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</si>
  <si>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</si>
  <si>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</si>
  <si>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</si>
  <si>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</si>
  <si>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</si>
  <si>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</si>
  <si>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</si>
  <si>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</si>
  <si>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</si>
  <si>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</si>
  <si>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</si>
  <si>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</si>
  <si>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</si>
  <si>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</si>
  <si>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</si>
  <si>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</si>
  <si>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</si>
  <si>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</si>
  <si>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</si>
  <si>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</si>
  <si>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</si>
  <si>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</si>
  <si>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</si>
  <si>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</si>
  <si>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</si>
  <si>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</si>
  <si>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</si>
  <si>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</si>
  <si>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</si>
  <si>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</si>
  <si>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</si>
  <si>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</si>
  <si>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</si>
  <si>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</si>
  <si>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</si>
  <si>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</si>
  <si>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</si>
  <si>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</si>
  <si>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</si>
  <si>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</si>
  <si>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</si>
  <si>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</si>
  <si>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</si>
  <si>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</si>
  <si>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</si>
  <si>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</si>
  <si>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</si>
  <si>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</si>
  <si>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</si>
  <si>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</si>
  <si>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</si>
  <si>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</si>
  <si>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</si>
  <si>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</si>
  <si>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</si>
  <si>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</si>
  <si>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</si>
  <si>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</si>
  <si>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</si>
  <si>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</si>
  <si>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</si>
  <si>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</si>
  <si>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</si>
  <si>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</si>
  <si>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</si>
  <si>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</si>
  <si>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</si>
  <si>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</si>
  <si>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</si>
  <si>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</si>
  <si>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</si>
  <si>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</si>
  <si>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</si>
  <si>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</si>
  <si>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</si>
  <si>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</si>
  <si>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</si>
  <si>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</si>
  <si>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</si>
  <si>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</si>
  <si>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</si>
  <si>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</si>
  <si>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</si>
  <si>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</si>
  <si>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</si>
  <si>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</si>
  <si>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</si>
  <si>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</si>
  <si>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</si>
  <si>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</si>
  <si>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</si>
  <si>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</si>
  <si>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</si>
  <si>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</si>
  <si>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</si>
  <si>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</si>
  <si>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</si>
  <si>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</si>
  <si>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</si>
  <si>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</si>
  <si>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</si>
  <si>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</si>
  <si>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</si>
  <si>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</si>
  <si>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</si>
  <si>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</si>
  <si>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</si>
  <si>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</si>
  <si>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</si>
  <si>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</si>
  <si>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</si>
  <si>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</si>
  <si>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</si>
  <si>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</si>
  <si>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</si>
  <si>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</si>
  <si>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</si>
  <si>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</si>
  <si>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</si>
  <si>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</si>
  <si>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</si>
  <si>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</si>
  <si>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</si>
  <si>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</si>
  <si>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</si>
  <si>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</si>
  <si>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</si>
  <si>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</si>
  <si>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</si>
  <si>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</si>
  <si>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</si>
  <si>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</si>
  <si>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</si>
  <si>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</si>
  <si>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</si>
  <si>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</si>
  <si>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</si>
  <si>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</si>
  <si>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</si>
  <si>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</si>
  <si>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</si>
  <si>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</si>
  <si>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</si>
  <si>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</si>
  <si>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</si>
  <si>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</si>
  <si>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</si>
  <si>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</si>
  <si>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</si>
  <si>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</si>
  <si>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</si>
  <si>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</si>
  <si>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</si>
  <si>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</si>
  <si>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</si>
  <si>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</si>
  <si>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</si>
  <si>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</si>
  <si>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</si>
  <si>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</si>
  <si>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</si>
  <si>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</si>
  <si>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</si>
  <si>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</si>
  <si>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</si>
  <si>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</si>
  <si>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</si>
  <si>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</si>
  <si>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</si>
  <si>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</si>
  <si>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</si>
  <si>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</si>
  <si>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</si>
  <si>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</si>
  <si>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</si>
  <si>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</si>
  <si>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</si>
  <si>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</si>
  <si>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</si>
  <si>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</si>
  <si>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</si>
  <si>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</si>
  <si>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</si>
  <si>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</si>
  <si>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</si>
  <si>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</si>
  <si>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</si>
  <si>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</si>
  <si>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</si>
  <si>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</si>
  <si>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</si>
  <si>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</si>
  <si>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</si>
  <si>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</si>
  <si>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</si>
  <si>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</si>
  <si>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</si>
  <si>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</si>
  <si>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</si>
  <si>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</si>
  <si>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</si>
  <si>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</si>
  <si>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</si>
  <si>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</si>
  <si>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</si>
  <si>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</si>
  <si>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</si>
  <si>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</si>
  <si>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</si>
  <si>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</si>
  <si>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</si>
  <si>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</si>
  <si>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</si>
  <si>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</si>
  <si>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</si>
  <si>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</si>
  <si>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</si>
  <si>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</si>
  <si>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</si>
  <si>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</si>
  <si>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</si>
  <si>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</si>
  <si>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</si>
  <si>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</si>
  <si>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</si>
  <si>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</si>
  <si>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</si>
  <si>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</si>
  <si>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</si>
  <si>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</si>
  <si>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</si>
  <si>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</si>
  <si>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</si>
  <si>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</si>
  <si>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</si>
  <si>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</si>
  <si>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</si>
  <si>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</si>
  <si>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</si>
  <si>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</si>
  <si>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</si>
  <si>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</si>
  <si>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</si>
  <si>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</si>
  <si>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</si>
  <si>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</si>
  <si>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</si>
  <si>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</si>
  <si>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</si>
  <si>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</si>
  <si>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</si>
  <si>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</si>
  <si>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</si>
  <si>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</si>
  <si>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</si>
  <si>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</si>
  <si>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</si>
  <si>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</si>
  <si>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</si>
  <si>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</si>
  <si>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</si>
  <si>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</si>
  <si>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</si>
  <si>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</si>
  <si>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</si>
  <si>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</si>
  <si>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</si>
  <si>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</si>
  <si>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</si>
  <si>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</si>
  <si>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</si>
  <si>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</si>
  <si>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</si>
  <si>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</si>
  <si>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</si>
  <si>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</si>
  <si>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</si>
  <si>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</si>
  <si>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</si>
  <si>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</si>
  <si>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</si>
  <si>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</si>
  <si>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</si>
  <si>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</si>
  <si>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</si>
  <si>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</si>
  <si>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</si>
  <si>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</si>
  <si>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</si>
  <si>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</si>
  <si>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</si>
  <si>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</si>
  <si>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</si>
  <si>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</si>
  <si>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</si>
  <si>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</si>
  <si>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</si>
  <si>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</si>
  <si>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</si>
  <si>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</si>
  <si>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</si>
  <si>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</si>
  <si>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</si>
  <si>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</si>
  <si>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</si>
  <si>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</si>
  <si>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</si>
  <si>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</si>
  <si>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</si>
  <si>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</si>
  <si>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</si>
  <si>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</si>
  <si>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</si>
  <si>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</si>
  <si>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</si>
  <si>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</si>
  <si>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</si>
  <si>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</si>
  <si>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</si>
  <si>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</si>
  <si>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</si>
  <si>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</si>
  <si>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</si>
  <si>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</si>
  <si>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</si>
  <si>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</si>
  <si>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</si>
  <si>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</si>
  <si>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</si>
  <si>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</si>
  <si>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</si>
  <si>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</si>
  <si>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</si>
  <si>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</si>
  <si>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</si>
  <si>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</si>
  <si>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</si>
  <si>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</si>
  <si>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</si>
  <si>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</si>
  <si>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</si>
  <si>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</si>
  <si>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</si>
  <si>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</si>
  <si>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</si>
  <si>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</si>
  <si>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</si>
  <si>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</si>
  <si>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</si>
  <si>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</si>
  <si>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</si>
  <si>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</si>
  <si>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</si>
  <si>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</si>
  <si>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</si>
  <si>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</si>
  <si>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</si>
  <si>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</si>
  <si>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</si>
  <si>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</si>
  <si>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</si>
  <si>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</si>
  <si>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</si>
  <si>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</si>
  <si>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</si>
  <si>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</si>
  <si>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</si>
  <si>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</si>
  <si>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</si>
  <si>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</si>
  <si>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</si>
  <si>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</si>
  <si>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</si>
  <si>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</si>
  <si>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</si>
  <si>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</si>
  <si>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</si>
  <si>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</si>
  <si>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</si>
  <si>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</si>
  <si>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</si>
  <si>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</si>
  <si>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</si>
  <si>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</si>
  <si>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</si>
  <si>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</si>
  <si>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</si>
  <si>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</si>
  <si>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</si>
  <si>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</si>
  <si>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</si>
  <si>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</si>
  <si>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</si>
  <si>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</si>
  <si>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</si>
  <si>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</si>
  <si>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</si>
  <si>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</si>
  <si>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</si>
  <si>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</si>
  <si>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</si>
  <si>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</si>
  <si>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</si>
  <si>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</si>
  <si>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</si>
  <si>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</si>
  <si>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</si>
  <si>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</si>
  <si>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</si>
  <si>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</si>
  <si>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</si>
  <si>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</si>
  <si>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</si>
  <si>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</si>
  <si>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</si>
  <si>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</si>
  <si>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</si>
  <si>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</si>
  <si>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</si>
  <si>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</si>
  <si>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</si>
  <si>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</si>
  <si>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</si>
  <si>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</si>
  <si>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</si>
  <si>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</si>
  <si>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</si>
  <si>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</si>
  <si>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</si>
  <si>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</si>
  <si>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</si>
  <si>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</si>
  <si>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</si>
  <si>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</si>
  <si>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</si>
  <si>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</si>
  <si>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</si>
  <si>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</si>
  <si>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</si>
  <si>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</si>
  <si>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</si>
  <si>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</si>
  <si>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</si>
  <si>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</si>
  <si>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</si>
  <si>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</si>
  <si>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</si>
  <si>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</si>
  <si>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</si>
  <si>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</si>
  <si>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</si>
  <si>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</si>
  <si>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</si>
  <si>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</si>
  <si>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</si>
  <si>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</si>
  <si>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</si>
  <si>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</si>
  <si>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</si>
  <si>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</si>
  <si>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</si>
  <si>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</si>
  <si>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</si>
  <si>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</si>
  <si>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</si>
  <si>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</si>
  <si>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</si>
  <si>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</si>
  <si>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</si>
  <si>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</si>
  <si>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</si>
  <si>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</si>
  <si>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</si>
  <si>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</si>
  <si>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</si>
  <si>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</si>
  <si>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</si>
  <si>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</si>
  <si>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</si>
  <si>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</si>
  <si>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</si>
  <si>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</si>
  <si>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</si>
  <si>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</si>
  <si>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</si>
  <si>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</si>
  <si>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</si>
  <si>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</si>
  <si>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</si>
  <si>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</si>
  <si>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</si>
  <si>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</si>
  <si>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</si>
  <si>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</si>
  <si>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</si>
  <si>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</si>
  <si>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</si>
  <si>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</si>
  <si>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</si>
  <si>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</si>
  <si>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</si>
  <si>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</si>
  <si>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</si>
  <si>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</si>
  <si>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</si>
  <si>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</si>
  <si>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</si>
  <si>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</si>
  <si>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</si>
  <si>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</si>
  <si>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</si>
  <si>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</si>
  <si>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</si>
  <si>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</si>
  <si>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</si>
  <si>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</si>
  <si>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</si>
  <si>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</si>
  <si>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</si>
  <si>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</si>
  <si>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</si>
  <si>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</si>
  <si>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</si>
  <si>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</si>
  <si>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</si>
  <si>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</si>
  <si>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</si>
  <si>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</si>
  <si>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</si>
  <si>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</si>
  <si>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</si>
  <si>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</si>
  <si>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</si>
  <si>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</si>
  <si>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</si>
  <si>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</si>
  <si>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</si>
  <si>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</si>
  <si>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</si>
  <si>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</si>
  <si>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</si>
  <si>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</si>
  <si>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</si>
  <si>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</si>
  <si>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</si>
  <si>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</si>
  <si>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</si>
  <si>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</si>
  <si>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</si>
  <si>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</si>
  <si>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</si>
  <si>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</si>
  <si>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</si>
  <si>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</si>
  <si>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</si>
  <si>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</si>
  <si>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</si>
  <si>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</si>
  <si>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</si>
  <si>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</si>
  <si>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</si>
  <si>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</si>
  <si>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</si>
  <si>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</si>
  <si>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</si>
  <si>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</si>
  <si>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</si>
  <si>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</si>
  <si>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</si>
  <si>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</si>
  <si>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</si>
  <si>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</si>
  <si>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</si>
  <si>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</si>
  <si>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</si>
  <si>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</si>
  <si>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</si>
  <si>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</si>
  <si>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</si>
  <si>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</si>
  <si>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</si>
  <si>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</si>
  <si>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</si>
  <si>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</si>
  <si>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</si>
  <si>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</si>
  <si>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</si>
  <si>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</si>
  <si>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</si>
  <si>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</si>
  <si>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</si>
  <si>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</si>
  <si>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</si>
  <si>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</si>
  <si>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</si>
  <si>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</si>
  <si>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</si>
  <si>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</si>
  <si>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</si>
  <si>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</si>
  <si>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</si>
  <si>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</si>
  <si>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</si>
  <si>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</si>
  <si>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</si>
  <si>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</si>
  <si>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</si>
  <si>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</si>
  <si>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</si>
  <si>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</si>
  <si>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</si>
  <si>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</si>
  <si>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</si>
  <si>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</si>
  <si>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</si>
  <si>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</si>
  <si>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</si>
  <si>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</si>
  <si>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</si>
  <si>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</si>
  <si>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</si>
  <si>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</si>
  <si>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</si>
  <si>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</si>
  <si>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</si>
  <si>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</si>
  <si>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</si>
  <si>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</si>
  <si>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</si>
  <si>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</si>
  <si>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</si>
  <si>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</si>
  <si>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</si>
  <si>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</si>
  <si>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</si>
  <si>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</si>
  <si>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</si>
  <si>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</si>
  <si>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</si>
  <si>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</si>
  <si>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</si>
  <si>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</si>
  <si>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</si>
  <si>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</si>
  <si>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</si>
  <si>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</si>
  <si>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</si>
  <si>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</si>
  <si>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</si>
  <si>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</si>
  <si>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</si>
  <si>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</si>
  <si>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</si>
  <si>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</si>
  <si>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</si>
  <si>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</si>
  <si>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</si>
  <si>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</si>
  <si>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</si>
  <si>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</si>
  <si>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</si>
  <si>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</si>
  <si>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</si>
  <si>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</si>
  <si>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</si>
  <si>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</si>
  <si>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</si>
  <si>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</si>
  <si>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</si>
  <si>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</si>
  <si>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</si>
  <si>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</si>
  <si>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</si>
  <si>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</si>
  <si>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</si>
  <si>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</si>
  <si>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</si>
  <si>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</si>
  <si>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</si>
  <si>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</si>
  <si>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</si>
  <si>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</si>
  <si>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</si>
  <si>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</si>
  <si>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</si>
  <si>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</si>
  <si>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</si>
  <si>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</si>
  <si>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</si>
  <si>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</si>
  <si>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</si>
  <si>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</si>
  <si>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</si>
  <si>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</si>
  <si>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</si>
  <si>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</si>
  <si>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</si>
  <si>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</si>
  <si>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</si>
  <si>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</si>
  <si>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</si>
  <si>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</si>
  <si>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</si>
  <si>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</si>
  <si>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</si>
  <si>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</si>
  <si>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</si>
  <si>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</si>
  <si>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</si>
  <si>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</si>
  <si>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</si>
  <si>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</si>
  <si>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</si>
  <si>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</si>
  <si>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</si>
  <si>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</si>
  <si>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</si>
  <si>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</si>
  <si>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</si>
  <si>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</si>
  <si>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</si>
  <si>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</si>
  <si>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</si>
  <si>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</si>
  <si>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</si>
  <si>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</si>
  <si>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</si>
  <si>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</si>
  <si>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</si>
  <si>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</si>
  <si>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</si>
  <si>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</si>
  <si>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</si>
  <si>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</si>
  <si>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</si>
  <si>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</si>
  <si>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</si>
  <si>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</si>
  <si>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</si>
  <si>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</si>
  <si>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</si>
  <si>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</si>
  <si>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</si>
  <si>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</si>
  <si>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</si>
  <si>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</si>
  <si>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</si>
  <si>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</si>
  <si>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</si>
  <si>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</si>
  <si>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</si>
  <si>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</si>
  <si>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</si>
  <si>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</si>
  <si>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</si>
  <si>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</si>
  <si>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</si>
  <si>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</si>
  <si>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</si>
  <si>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</si>
  <si>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</si>
  <si>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</si>
  <si>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</si>
  <si>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</si>
  <si>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</si>
  <si>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</si>
  <si>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</si>
  <si>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</si>
  <si>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</si>
  <si>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</si>
  <si>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</si>
  <si>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</si>
  <si>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</si>
  <si>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</si>
  <si>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</si>
  <si>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</si>
  <si>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</si>
  <si>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</si>
  <si>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</si>
  <si>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</si>
  <si>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</si>
  <si>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</si>
  <si>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</si>
  <si>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</si>
  <si>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</si>
  <si>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</si>
  <si>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</si>
  <si>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</si>
  <si>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</si>
  <si>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</si>
  <si>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</si>
  <si>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</si>
  <si>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</si>
  <si>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</si>
  <si>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</si>
  <si>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</si>
  <si>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</si>
  <si>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</si>
  <si>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</si>
  <si>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</si>
  <si>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</si>
  <si>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</si>
  <si>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</si>
  <si>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</si>
  <si>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</si>
  <si>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</si>
  <si>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</si>
  <si>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</si>
  <si>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</si>
  <si>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</si>
  <si>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</si>
  <si>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</si>
  <si>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</si>
  <si>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</si>
  <si>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</si>
  <si>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</si>
  <si>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</si>
  <si>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</si>
  <si>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</si>
  <si>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</si>
  <si>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</si>
  <si>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</si>
  <si>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</si>
  <si>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</si>
  <si>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</si>
  <si>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</si>
  <si>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</si>
  <si>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</si>
  <si>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</si>
  <si>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</si>
  <si>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</si>
  <si>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</si>
  <si>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</si>
  <si>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</si>
  <si>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</si>
  <si>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</si>
  <si>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</si>
  <si>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</si>
  <si>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</si>
  <si>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</si>
  <si>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</si>
  <si>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</si>
  <si>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</si>
  <si>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</si>
  <si>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</si>
  <si>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</si>
  <si>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</si>
  <si>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</si>
  <si>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</si>
  <si>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</si>
  <si>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</si>
  <si>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</si>
  <si>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</si>
  <si>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</si>
  <si>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</si>
  <si>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</si>
  <si>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</si>
  <si>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</si>
  <si>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</si>
  <si>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</si>
  <si>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</si>
  <si>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</si>
  <si>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</si>
  <si>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</si>
  <si>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</si>
  <si>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</si>
  <si>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</si>
  <si>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</si>
  <si>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</si>
  <si>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</si>
  <si>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</si>
  <si>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</si>
  <si>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</si>
  <si>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</si>
  <si>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</si>
  <si>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</si>
  <si>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</si>
  <si>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</si>
  <si>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</si>
  <si>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</si>
  <si>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</si>
  <si>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</si>
  <si>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</si>
  <si>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</si>
  <si>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</si>
  <si>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</si>
  <si>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</si>
  <si>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</si>
  <si>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</si>
  <si>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</si>
  <si>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</si>
  <si>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</si>
  <si>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</si>
  <si>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</si>
  <si>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</si>
  <si>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</si>
  <si>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</si>
  <si>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</si>
  <si>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</si>
  <si>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</si>
  <si>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</si>
  <si>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</si>
  <si>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</si>
  <si>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</si>
  <si>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</si>
  <si>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</si>
  <si>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</si>
  <si>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</si>
  <si>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</si>
  <si>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</si>
  <si>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</si>
  <si>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</si>
  <si>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</si>
  <si>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</si>
  <si>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</si>
  <si>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</si>
  <si>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</si>
  <si>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</si>
  <si>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</si>
  <si>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</si>
  <si>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</si>
  <si>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</si>
  <si>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</si>
  <si>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</si>
  <si>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</si>
  <si>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</si>
  <si>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</si>
  <si>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</si>
  <si>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</si>
  <si>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</si>
  <si>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</si>
  <si>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</si>
  <si>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</si>
  <si>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</si>
  <si>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</si>
  <si>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</si>
  <si>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</si>
  <si>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</si>
  <si>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</si>
  <si>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</si>
  <si>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</si>
  <si>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</si>
  <si>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</si>
  <si>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</si>
  <si>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</si>
  <si>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</si>
  <si>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</si>
  <si>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</si>
  <si>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</si>
  <si>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</si>
  <si>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</si>
  <si>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</si>
  <si>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</si>
  <si>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</si>
  <si>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</si>
  <si>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</si>
  <si>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</si>
  <si>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</si>
  <si>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</si>
  <si>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</si>
  <si>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</si>
  <si>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</si>
  <si>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</si>
  <si>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</si>
  <si>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</si>
  <si>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</si>
  <si>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</si>
  <si>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</si>
  <si>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</si>
  <si>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</si>
  <si>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</si>
  <si>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</si>
  <si>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</si>
  <si>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</si>
  <si>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</si>
  <si>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</si>
  <si>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</si>
  <si>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</si>
  <si>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</si>
  <si>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</si>
  <si>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</si>
  <si>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</si>
  <si>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</si>
  <si>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</si>
  <si>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</si>
  <si>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</si>
  <si>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</si>
  <si>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</si>
  <si>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</si>
  <si>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</si>
  <si>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</si>
  <si>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</si>
  <si>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</si>
  <si>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</si>
  <si>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</si>
  <si>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</si>
  <si>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</si>
  <si>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</si>
  <si>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</si>
  <si>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</si>
  <si>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</si>
  <si>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</si>
  <si>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</si>
  <si>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</si>
  <si>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</si>
  <si>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</si>
  <si>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</si>
  <si>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</si>
  <si>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</si>
  <si>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</si>
  <si>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</si>
  <si>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</si>
  <si>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</si>
  <si>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</si>
  <si>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</si>
  <si>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</si>
  <si>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</si>
  <si>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</si>
  <si>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</si>
  <si>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</si>
  <si>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</si>
  <si>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</si>
  <si>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</si>
  <si>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</si>
  <si>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</si>
  <si>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</si>
  <si>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</si>
  <si>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</si>
  <si>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</si>
  <si>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</si>
  <si>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</si>
  <si>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</si>
  <si>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</si>
  <si>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</si>
  <si>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</si>
  <si>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</si>
  <si>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</si>
  <si>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</si>
  <si>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</si>
  <si>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</si>
  <si>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</si>
  <si>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</si>
  <si>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</si>
  <si>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</si>
  <si>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</si>
  <si>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</si>
  <si>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</si>
  <si>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</si>
  <si>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</si>
  <si>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</si>
  <si>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</si>
  <si>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</si>
  <si>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</si>
  <si>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</si>
  <si>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</si>
  <si>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</si>
  <si>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</si>
  <si>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</si>
  <si>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</si>
  <si>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</si>
  <si>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</si>
  <si>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</si>
  <si>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</si>
  <si>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</si>
  <si>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</si>
  <si>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</si>
  <si>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</si>
  <si>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</si>
  <si>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</si>
  <si>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</si>
  <si>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</si>
  <si>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</si>
  <si>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</si>
  <si>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</si>
  <si>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</si>
  <si>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</si>
  <si>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</si>
  <si>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</si>
  <si>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</si>
  <si>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</si>
  <si>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</si>
  <si>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</si>
  <si>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</si>
  <si>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</si>
  <si>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</si>
  <si>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</si>
  <si>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</si>
  <si>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</si>
  <si>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</si>
  <si>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</si>
  <si>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</si>
  <si>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</si>
  <si>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</si>
  <si>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</si>
  <si>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</si>
  <si>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</si>
  <si>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</si>
  <si>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</si>
  <si>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</si>
  <si>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</si>
  <si>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</si>
  <si>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</si>
  <si>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</si>
  <si>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</si>
  <si>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</si>
  <si>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</si>
  <si>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</si>
  <si>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</si>
  <si>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</si>
  <si>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</si>
  <si>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</si>
  <si>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</si>
  <si>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</si>
  <si>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</si>
  <si>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</si>
  <si>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</si>
  <si>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</si>
  <si>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</si>
  <si>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</si>
  <si>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</si>
  <si>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</si>
  <si>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</si>
  <si>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</si>
  <si>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</si>
  <si>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</si>
  <si>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</si>
  <si>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</si>
  <si>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</si>
  <si>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</si>
  <si>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</si>
  <si>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</si>
  <si>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</si>
  <si>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</si>
  <si>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</si>
  <si>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</si>
  <si>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</si>
  <si>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</si>
  <si>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</si>
  <si>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</si>
  <si>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</si>
  <si>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</si>
  <si>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</si>
  <si>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</si>
  <si>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</si>
  <si>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</si>
  <si>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</si>
  <si>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</si>
  <si>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</si>
  <si>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</si>
  <si>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</si>
  <si>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</si>
  <si>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</si>
  <si>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</si>
  <si>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</si>
  <si>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</si>
  <si>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</si>
  <si>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</si>
  <si>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</si>
  <si>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</si>
  <si>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</si>
  <si>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</si>
  <si>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</si>
  <si>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</si>
  <si>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</si>
  <si>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</si>
  <si>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</si>
  <si>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</si>
  <si>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</si>
  <si>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</si>
  <si>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</si>
  <si>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</si>
  <si>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</si>
  <si>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</si>
  <si>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</si>
  <si>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</si>
  <si>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</si>
  <si>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</si>
  <si>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</si>
  <si>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</si>
  <si>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</si>
  <si>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</si>
  <si>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</si>
  <si>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</si>
  <si>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</si>
  <si>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</si>
  <si>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</si>
  <si>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</si>
  <si>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</si>
  <si>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</si>
  <si>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</si>
  <si>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</si>
  <si>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</si>
  <si>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</si>
  <si>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</si>
  <si>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</si>
  <si>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</si>
  <si>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</si>
  <si>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</si>
  <si>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</si>
  <si>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</si>
  <si>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</si>
  <si>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</si>
  <si>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</si>
  <si>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</si>
  <si>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</si>
  <si>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</si>
  <si>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</si>
  <si>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</si>
  <si>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</si>
  <si>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</si>
  <si>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</si>
  <si>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</si>
  <si>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</si>
  <si>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</si>
  <si>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</si>
  <si>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</si>
  <si>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</si>
  <si>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</si>
  <si>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</si>
  <si>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</si>
  <si>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</si>
  <si>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</si>
  <si>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</si>
  <si>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</si>
  <si>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</si>
  <si>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</si>
  <si>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</si>
  <si>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</si>
  <si>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</si>
  <si>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</si>
  <si>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</si>
  <si>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</si>
  <si>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</si>
  <si>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</si>
  <si>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</si>
  <si>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</si>
  <si>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</si>
  <si>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</si>
  <si>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</si>
  <si>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</si>
  <si>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</si>
  <si>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</si>
  <si>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</si>
  <si>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</si>
  <si>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</si>
  <si>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</si>
  <si>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</si>
  <si>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</si>
  <si>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</si>
  <si>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</si>
  <si>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</si>
  <si>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</si>
  <si>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</si>
  <si>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</si>
  <si>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</si>
  <si>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</si>
  <si>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</si>
  <si>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</si>
  <si>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</si>
  <si>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</si>
  <si>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</si>
  <si>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</si>
  <si>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</si>
  <si>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</si>
  <si>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</si>
  <si>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</si>
  <si>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</si>
  <si>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</si>
  <si>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</si>
  <si>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</si>
  <si>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</si>
  <si>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</si>
  <si>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</si>
  <si>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</si>
  <si>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</si>
  <si>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</si>
  <si>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</si>
  <si>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</si>
  <si>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</si>
  <si>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</si>
  <si>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</si>
  <si>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</si>
  <si>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</si>
  <si>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</si>
  <si>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</si>
  <si>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</si>
  <si>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</si>
  <si>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</si>
  <si>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</si>
  <si>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</si>
  <si>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</si>
  <si>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</si>
  <si>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</si>
  <si>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</si>
  <si>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</si>
  <si>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</si>
  <si>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</si>
  <si>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</si>
  <si>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</si>
  <si>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</si>
  <si>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</si>
  <si>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</si>
  <si>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</si>
  <si>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</si>
  <si>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</si>
  <si>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</si>
  <si>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</si>
  <si>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</si>
  <si>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</si>
  <si>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</si>
  <si>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</si>
  <si>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</si>
  <si>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</si>
  <si>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</si>
  <si>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</si>
  <si>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</si>
  <si>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</si>
  <si>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</si>
  <si>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</si>
  <si>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</si>
  <si>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</si>
  <si>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</si>
  <si>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</si>
  <si>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</si>
  <si>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</si>
  <si>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</si>
  <si>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</si>
  <si>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</si>
  <si>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</si>
  <si>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</si>
  <si>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</si>
  <si>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</si>
  <si>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</si>
  <si>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</si>
  <si>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</si>
  <si>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</si>
  <si>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</si>
  <si>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</si>
  <si>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</si>
  <si>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</si>
  <si>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</si>
  <si>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</si>
  <si>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</si>
  <si>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</si>
  <si>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</si>
  <si>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</si>
  <si>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</si>
  <si>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</si>
  <si>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</si>
  <si>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</si>
  <si>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</si>
  <si>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</si>
  <si>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</si>
  <si>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</si>
  <si>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</si>
  <si>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</si>
  <si>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</si>
  <si>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</si>
  <si>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</si>
  <si>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</si>
  <si>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</si>
  <si>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</si>
  <si>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</si>
  <si>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</si>
  <si>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</si>
  <si>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</si>
  <si>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</si>
  <si>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</si>
  <si>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</si>
  <si>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</si>
  <si>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</si>
  <si>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</si>
  <si>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</si>
  <si>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</si>
  <si>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</si>
  <si>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</si>
  <si>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</si>
  <si>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</si>
  <si>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</si>
  <si>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</si>
  <si>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</si>
  <si>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</si>
  <si>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</si>
  <si>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</si>
  <si>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</si>
  <si>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</si>
  <si>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</si>
  <si>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</si>
  <si>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</si>
  <si>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</si>
  <si>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</si>
  <si>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</si>
  <si>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</si>
  <si>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</si>
  <si>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</si>
  <si>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</si>
  <si>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</si>
  <si>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</si>
  <si>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</si>
  <si>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</si>
  <si>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</si>
  <si>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</si>
  <si>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</si>
  <si>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</si>
  <si>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</si>
  <si>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</si>
  <si>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</si>
  <si>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</si>
  <si>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</si>
  <si>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</si>
  <si>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</si>
  <si>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</si>
  <si>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</si>
  <si>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</si>
  <si>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</si>
  <si>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</si>
  <si>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</si>
  <si>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</si>
  <si>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</si>
  <si>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</si>
  <si>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</si>
  <si>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</si>
  <si>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</si>
  <si>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</si>
  <si>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</si>
  <si>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</si>
  <si>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</si>
  <si>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</si>
  <si>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</si>
  <si>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</si>
  <si>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</si>
  <si>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</si>
  <si>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</si>
  <si>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</si>
  <si>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</si>
  <si>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</si>
  <si>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</si>
  <si>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</si>
  <si>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</si>
  <si>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</si>
  <si>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</si>
  <si>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</si>
  <si>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</si>
  <si>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</si>
  <si>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</si>
  <si>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</si>
  <si>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</si>
  <si>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</si>
  <si>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</si>
  <si>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</si>
  <si>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</si>
  <si>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</si>
  <si>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</si>
  <si>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</si>
  <si>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</si>
  <si>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</si>
  <si>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</si>
  <si>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</si>
  <si>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</si>
  <si>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</si>
  <si>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</si>
  <si>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</si>
  <si>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</si>
  <si>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</si>
  <si>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</si>
  <si>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</si>
  <si>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</si>
  <si>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</si>
  <si>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</si>
  <si>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</si>
  <si>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</si>
  <si>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</si>
  <si>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</si>
  <si>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</si>
  <si>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</si>
  <si>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</si>
  <si>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</si>
  <si>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</si>
  <si>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</si>
  <si>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</si>
  <si>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</si>
  <si>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</si>
  <si>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</si>
  <si>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</si>
  <si>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</si>
  <si>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</si>
  <si>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</si>
  <si>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</si>
  <si>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</si>
  <si>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</si>
  <si>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</si>
  <si>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</si>
  <si>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</si>
  <si>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</si>
  <si>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</si>
  <si>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</si>
  <si>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</si>
  <si>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</si>
  <si>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</si>
  <si>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</si>
  <si>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</si>
  <si>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</si>
  <si>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</si>
  <si>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</si>
  <si>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</si>
  <si>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</si>
  <si>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</si>
  <si>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</si>
  <si>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</si>
  <si>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</si>
  <si>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</si>
  <si>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</si>
  <si>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</si>
  <si>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</si>
  <si>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</si>
  <si>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</si>
  <si>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</si>
  <si>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</si>
  <si>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</si>
  <si>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</si>
  <si>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</si>
  <si>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</si>
  <si>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</si>
  <si>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</si>
  <si>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</si>
  <si>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</si>
  <si>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</si>
  <si>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</si>
  <si>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</si>
  <si>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</si>
  <si>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</si>
  <si>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</si>
  <si>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</si>
  <si>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</si>
  <si>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</si>
  <si>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</si>
  <si>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</si>
  <si>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</si>
  <si>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</si>
  <si>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</si>
  <si>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</si>
  <si>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</si>
  <si>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</si>
  <si>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</si>
  <si>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</si>
  <si>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</si>
  <si>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</si>
  <si>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</si>
  <si>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</si>
  <si>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</si>
  <si>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</si>
  <si>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</si>
  <si>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</si>
  <si>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</si>
  <si>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</si>
  <si>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</si>
  <si>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</si>
  <si>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</si>
  <si>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</si>
  <si>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</si>
  <si>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</si>
  <si>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</si>
  <si>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</si>
  <si>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</si>
  <si>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</si>
  <si>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</si>
  <si>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</si>
  <si>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</si>
  <si>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</si>
  <si>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</si>
  <si>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</si>
  <si>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</si>
  <si>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</si>
  <si>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</si>
  <si>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</si>
  <si>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</si>
  <si>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</si>
  <si>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</si>
  <si>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</si>
  <si>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</si>
  <si>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</si>
  <si>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</si>
  <si>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</si>
  <si>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</si>
  <si>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</si>
  <si>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</si>
  <si>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</si>
  <si>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</si>
  <si>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</si>
  <si>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</si>
  <si>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</si>
  <si>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</si>
  <si>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</si>
  <si>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</si>
  <si>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</si>
  <si>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</si>
  <si>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</si>
  <si>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</si>
  <si>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</si>
  <si>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</si>
  <si>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</si>
  <si>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</si>
  <si>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</si>
  <si>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</si>
  <si>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</si>
  <si>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</si>
  <si>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</si>
  <si>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</si>
  <si>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</si>
  <si>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</si>
  <si>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</si>
  <si>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</si>
  <si>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</si>
  <si>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</si>
  <si>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</si>
  <si>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</si>
  <si>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</si>
  <si>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</si>
  <si>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</si>
  <si>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</si>
  <si>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</si>
  <si>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</si>
  <si>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</si>
  <si>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</si>
  <si>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</si>
  <si>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</si>
  <si>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</si>
  <si>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</si>
  <si>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</si>
  <si>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</si>
  <si>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</si>
  <si>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</si>
  <si>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</si>
  <si>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</si>
  <si>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</si>
  <si>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</si>
  <si>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</si>
  <si>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</si>
  <si>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</si>
  <si>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</si>
  <si>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</si>
  <si>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</si>
  <si>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</si>
  <si>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</si>
  <si>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</si>
  <si>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</si>
  <si>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</si>
  <si>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</si>
  <si>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</si>
  <si>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</si>
  <si>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</si>
  <si>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</si>
  <si>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</si>
  <si>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</si>
  <si>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</si>
  <si>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</si>
  <si>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</si>
  <si>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</si>
  <si>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</si>
  <si>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</si>
  <si>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</si>
  <si>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</si>
  <si>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</si>
  <si>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</si>
  <si>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</si>
  <si>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</si>
  <si>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</si>
  <si>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</si>
  <si>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</si>
  <si>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</si>
  <si>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</si>
  <si>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</si>
  <si>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</si>
  <si>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</si>
  <si>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</si>
  <si>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</si>
  <si>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</si>
  <si>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</si>
  <si>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</si>
  <si>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</si>
  <si>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</si>
  <si>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</si>
  <si>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</si>
  <si>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</si>
  <si>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</si>
  <si>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</si>
  <si>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</si>
  <si>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</si>
  <si>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</si>
  <si>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</si>
  <si>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</si>
  <si>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</si>
  <si>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</si>
  <si>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</si>
  <si>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</si>
  <si>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</si>
  <si>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</si>
  <si>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</si>
  <si>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</si>
  <si>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</si>
  <si>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</si>
  <si>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</si>
  <si>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</si>
  <si>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</si>
  <si>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</si>
  <si>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</si>
  <si>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</si>
  <si>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</si>
  <si>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</si>
  <si>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</si>
  <si>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</si>
  <si>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</si>
  <si>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</si>
  <si>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</si>
  <si>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</si>
  <si>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</si>
  <si>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</si>
  <si>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</si>
  <si>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</si>
  <si>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</si>
  <si>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</si>
  <si>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</si>
  <si>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</si>
  <si>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</si>
  <si>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</si>
  <si>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</si>
  <si>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</si>
  <si>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</si>
  <si>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</si>
  <si>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</si>
  <si>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</si>
  <si>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</si>
  <si>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</si>
  <si>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</si>
  <si>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</si>
  <si>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</si>
  <si>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</si>
  <si>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</si>
  <si>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</si>
  <si>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</si>
  <si>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</si>
  <si>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</si>
  <si>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</si>
  <si>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</si>
  <si>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</si>
  <si>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</si>
  <si>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</si>
  <si>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</si>
  <si>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</si>
  <si>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</si>
  <si>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</si>
  <si>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</si>
  <si>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</si>
  <si>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</si>
  <si>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</si>
  <si>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</si>
  <si>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</si>
  <si>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</si>
  <si>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</si>
  <si>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</si>
  <si>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</si>
  <si>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</si>
  <si>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</si>
  <si>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</si>
  <si>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</si>
  <si>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</si>
  <si>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</si>
  <si>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</si>
  <si>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</si>
  <si>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</si>
  <si>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</si>
  <si>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</si>
  <si>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</si>
  <si>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</si>
  <si>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</si>
  <si>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</si>
  <si>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</si>
  <si>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</si>
  <si>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</si>
  <si>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</si>
  <si>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</si>
  <si>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</si>
  <si>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</si>
  <si>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</si>
  <si>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</si>
  <si>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</si>
  <si>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</si>
  <si>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</si>
  <si>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</si>
  <si>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</si>
  <si>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</si>
  <si>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</si>
  <si>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</si>
  <si>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</si>
  <si>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</si>
  <si>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</si>
  <si>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</si>
  <si>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</si>
  <si>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</si>
  <si>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</si>
  <si>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</si>
  <si>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</si>
  <si>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</si>
  <si>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</si>
  <si>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</si>
  <si>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</si>
  <si>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</si>
  <si>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</si>
  <si>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</si>
  <si>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</si>
  <si>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</si>
  <si>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</si>
  <si>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</si>
  <si>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</si>
  <si>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</si>
  <si>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</si>
  <si>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</si>
  <si>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</si>
  <si>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</si>
  <si>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</si>
  <si>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</si>
  <si>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</si>
  <si>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</si>
  <si>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</si>
  <si>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</si>
  <si>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</si>
  <si>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</si>
  <si>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</si>
  <si>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</si>
  <si>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</si>
  <si>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</si>
  <si>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</si>
  <si>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</si>
  <si>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</si>
  <si>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</si>
  <si>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</si>
  <si>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</si>
  <si>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</si>
  <si>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</si>
  <si>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</si>
  <si>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</si>
  <si>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</si>
  <si>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</si>
  <si>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</si>
  <si>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</si>
  <si>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</si>
  <si>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</si>
  <si>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</si>
  <si>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</si>
  <si>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</si>
  <si>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</si>
  <si>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</si>
  <si>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</si>
  <si>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</si>
  <si>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</si>
  <si>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</si>
  <si>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</si>
  <si>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</si>
  <si>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</si>
  <si>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</si>
  <si>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</si>
  <si>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</si>
  <si>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</si>
  <si>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</si>
  <si>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</si>
  <si>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</si>
  <si>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</si>
  <si>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</si>
  <si>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</si>
  <si>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</si>
  <si>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</si>
  <si>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</si>
  <si>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</si>
  <si>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</si>
  <si>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</si>
  <si>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</si>
  <si>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</si>
  <si>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</si>
  <si>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</si>
  <si>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</si>
  <si>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</si>
  <si>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</si>
  <si>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</si>
  <si>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</si>
  <si>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</si>
  <si>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</si>
  <si>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</si>
  <si>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</si>
  <si>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</si>
  <si>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</si>
  <si>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</si>
  <si>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</si>
  <si>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</si>
  <si>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</si>
  <si>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</si>
  <si>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</si>
  <si>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</si>
  <si>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</si>
  <si>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</si>
  <si>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</si>
  <si>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</si>
  <si>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</si>
  <si>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</si>
  <si>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</si>
  <si>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</si>
  <si>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</si>
  <si>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</si>
  <si>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</si>
  <si>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</si>
  <si>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</si>
  <si>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</si>
  <si>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</si>
  <si>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</si>
  <si>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</si>
  <si>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</si>
  <si>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</si>
  <si>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</si>
  <si>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</si>
  <si>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</si>
  <si>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</si>
  <si>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</si>
  <si>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</si>
  <si>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</si>
  <si>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</si>
  <si>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</si>
  <si>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</si>
  <si>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</si>
  <si>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</si>
  <si>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</si>
  <si>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</si>
  <si>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</si>
  <si>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</si>
  <si>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</si>
  <si>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</si>
  <si>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</si>
  <si>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</si>
  <si>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</si>
  <si>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</si>
  <si>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</si>
  <si>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</si>
  <si>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</si>
  <si>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</si>
  <si>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</si>
  <si>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</si>
  <si>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</si>
  <si>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</si>
  <si>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</si>
  <si>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</si>
  <si>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</si>
  <si>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</si>
  <si>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</si>
  <si>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</si>
  <si>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</si>
  <si>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</si>
  <si>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</si>
  <si>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</si>
  <si>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</si>
  <si>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</si>
  <si>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</si>
  <si>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</si>
  <si>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</si>
  <si>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</si>
  <si>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</si>
  <si>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</si>
  <si>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</si>
  <si>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</si>
  <si>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</si>
  <si>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</si>
  <si>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</si>
  <si>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</si>
  <si>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</si>
  <si>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</si>
  <si>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</si>
  <si>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</si>
  <si>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</si>
  <si>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</si>
  <si>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</si>
  <si>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</si>
  <si>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</si>
  <si>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</si>
  <si>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</si>
  <si>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</si>
  <si>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</si>
  <si>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</si>
  <si>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</si>
  <si>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</si>
  <si>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</si>
  <si>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</si>
  <si>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</si>
  <si>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</si>
  <si>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</si>
  <si>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</si>
  <si>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</si>
  <si>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</si>
  <si>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</si>
  <si>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</si>
  <si>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</si>
  <si>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</si>
  <si>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</si>
  <si>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</si>
  <si>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</si>
  <si>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</si>
  <si>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</si>
  <si>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</si>
  <si>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</si>
  <si>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</si>
  <si>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</si>
  <si>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</si>
  <si>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</si>
  <si>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</si>
  <si>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</si>
  <si>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</si>
  <si>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</si>
  <si>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</si>
  <si>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</si>
  <si>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</si>
  <si>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</si>
  <si>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</si>
  <si>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</si>
  <si>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</si>
  <si>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</si>
  <si>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</si>
  <si>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</si>
  <si>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</si>
  <si>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</si>
  <si>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</si>
  <si>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</si>
  <si>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</si>
  <si>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</si>
  <si>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</si>
  <si>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</si>
  <si>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</si>
  <si>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</si>
  <si>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</si>
  <si>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</si>
  <si>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</si>
  <si>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</si>
  <si>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</si>
  <si>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</si>
  <si>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</si>
  <si>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</si>
  <si>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</si>
  <si>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</si>
  <si>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</si>
  <si>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</si>
  <si>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</si>
  <si>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</si>
  <si>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</si>
  <si>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</si>
  <si>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</si>
  <si>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</si>
  <si>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</si>
  <si>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</si>
  <si>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</si>
  <si>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</si>
  <si>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</si>
  <si>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</si>
  <si>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</si>
  <si>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</si>
  <si>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</si>
  <si>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</si>
  <si>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</si>
  <si>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</si>
  <si>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</si>
  <si>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</si>
  <si>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</si>
  <si>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</si>
  <si>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</si>
  <si>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</si>
  <si>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</si>
  <si>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</si>
  <si>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</si>
  <si>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</si>
  <si>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</si>
  <si>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</si>
  <si>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</si>
  <si>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</si>
  <si>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</si>
  <si>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</si>
  <si>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</si>
  <si>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</si>
  <si>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</si>
  <si>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</si>
  <si>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</si>
  <si>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</si>
  <si>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</si>
  <si>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</si>
  <si>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</si>
  <si>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</si>
  <si>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</si>
  <si>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</si>
  <si>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</si>
  <si>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</si>
  <si>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</si>
  <si>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</si>
  <si>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</si>
  <si>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</si>
  <si>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</si>
  <si>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</si>
  <si>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</si>
  <si>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</si>
  <si>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</si>
  <si>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</si>
  <si>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</si>
  <si>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</si>
  <si>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</si>
  <si>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</si>
  <si>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</si>
  <si>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</si>
  <si>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</si>
  <si>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</si>
  <si>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</si>
  <si>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</si>
  <si>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</si>
  <si>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</si>
  <si>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</si>
  <si>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</si>
  <si>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</si>
  <si>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</si>
  <si>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</si>
  <si>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</si>
  <si>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</si>
  <si>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</si>
  <si>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</si>
  <si>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</si>
  <si>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</si>
  <si>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</si>
  <si>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</si>
  <si>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</si>
  <si>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</si>
  <si>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</si>
  <si>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</si>
  <si>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</si>
  <si>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</si>
  <si>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</si>
  <si>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</si>
  <si>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</si>
  <si>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</si>
  <si>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</si>
  <si>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</si>
  <si>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</si>
  <si>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</si>
  <si>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</si>
  <si>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</si>
  <si>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</si>
  <si>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</si>
  <si>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</si>
  <si>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</si>
  <si>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</si>
  <si>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</si>
  <si>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</si>
  <si>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</si>
  <si>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</si>
  <si>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</si>
  <si>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</si>
  <si>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</si>
  <si>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</si>
  <si>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</si>
  <si>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</si>
  <si>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</si>
  <si>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</si>
  <si>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</si>
  <si>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</si>
  <si>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</si>
  <si>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</si>
  <si>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</si>
  <si>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</si>
  <si>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</si>
  <si>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</si>
  <si>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</si>
  <si>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</si>
  <si>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</si>
  <si>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</si>
  <si>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</si>
  <si>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</si>
  <si>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</si>
  <si>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</si>
  <si>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</si>
  <si>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</si>
  <si>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</si>
  <si>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</si>
  <si>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</si>
  <si>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</si>
  <si>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</si>
  <si>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</si>
  <si>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</si>
  <si>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</si>
  <si>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</si>
  <si>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</si>
  <si>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</si>
  <si>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</si>
  <si>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</si>
  <si>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</si>
  <si>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</si>
  <si>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</si>
  <si>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</si>
  <si>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</si>
  <si>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</si>
  <si>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</si>
  <si>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</si>
  <si>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</si>
  <si>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</si>
  <si>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</si>
  <si>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</si>
  <si>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</si>
  <si>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</si>
  <si>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</si>
  <si>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</si>
  <si>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</si>
  <si>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</si>
  <si>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</si>
  <si>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</si>
  <si>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</si>
  <si>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</si>
  <si>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</si>
  <si>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</si>
  <si>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</si>
  <si>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</si>
  <si>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</si>
  <si>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</si>
  <si>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</si>
  <si>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</si>
  <si>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</si>
  <si>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</si>
  <si>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</si>
  <si>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</si>
  <si>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</si>
  <si>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</si>
  <si>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</si>
  <si>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</si>
  <si>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</si>
  <si>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</si>
  <si>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</si>
  <si>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</si>
  <si>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</si>
  <si>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</si>
  <si>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</si>
  <si>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</si>
  <si>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</si>
  <si>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</si>
  <si>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</si>
  <si>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</si>
  <si>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</si>
  <si>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</si>
  <si>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</si>
  <si>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</si>
  <si>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</si>
  <si>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</si>
  <si>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</si>
  <si>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</si>
  <si>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</si>
  <si>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</si>
  <si>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</si>
  <si>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</si>
  <si>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</si>
  <si>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</si>
  <si>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</si>
  <si>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</si>
  <si>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</si>
  <si>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</si>
  <si>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</si>
  <si>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</si>
  <si>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</si>
  <si>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</si>
  <si>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</si>
  <si>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</si>
  <si>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</si>
  <si>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</si>
  <si>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</si>
  <si>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</si>
  <si>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</si>
  <si>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</si>
  <si>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</si>
  <si>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</si>
  <si>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</si>
  <si>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</si>
  <si>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</si>
  <si>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</si>
  <si>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</si>
  <si>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</si>
  <si>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</si>
  <si>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</si>
  <si>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</si>
  <si>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</si>
  <si>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</si>
  <si>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</si>
  <si>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</si>
  <si>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</si>
  <si>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</si>
  <si>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</si>
  <si>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</si>
  <si>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</si>
  <si>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</si>
  <si>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</si>
  <si>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</si>
  <si>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</si>
  <si>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</si>
  <si>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</si>
  <si>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</si>
  <si>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</si>
  <si>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</si>
  <si>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</si>
  <si>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</si>
  <si>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</si>
  <si>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</si>
  <si>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</si>
  <si>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</si>
  <si>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</si>
  <si>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</si>
  <si>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</si>
  <si>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</si>
  <si>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</si>
  <si>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</si>
  <si>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</si>
  <si>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</si>
  <si>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</si>
  <si>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</si>
  <si>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</si>
  <si>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</si>
  <si>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</si>
  <si>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</si>
  <si>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</si>
  <si>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</si>
  <si>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</si>
  <si>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</si>
  <si>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</si>
  <si>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</si>
  <si>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</si>
  <si>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</si>
  <si>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</si>
  <si>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</si>
  <si>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</si>
  <si>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</si>
  <si>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</si>
  <si>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</si>
  <si>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</si>
  <si>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</si>
  <si>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</si>
  <si>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</si>
  <si>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</si>
  <si>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</si>
  <si>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</si>
  <si>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</si>
  <si>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</si>
  <si>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</si>
  <si>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</si>
  <si>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</si>
  <si>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</si>
  <si>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</si>
  <si>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</si>
  <si>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</si>
  <si>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</si>
  <si>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</si>
  <si>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</si>
  <si>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</si>
  <si>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</si>
  <si>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</si>
  <si>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</si>
  <si>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</si>
  <si>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</si>
  <si>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</si>
  <si>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</si>
  <si>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</si>
  <si>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</si>
  <si>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</si>
  <si>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</si>
  <si>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</si>
  <si>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</si>
  <si>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</si>
  <si>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</si>
  <si>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</si>
  <si>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</si>
  <si>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</si>
  <si>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</si>
  <si>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</si>
  <si>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</si>
  <si>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</si>
  <si>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</si>
  <si>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</si>
  <si>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</si>
  <si>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</si>
  <si>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</si>
  <si>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</si>
  <si>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</si>
  <si>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</si>
  <si>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</si>
  <si>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</si>
  <si>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</si>
  <si>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</si>
  <si>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</si>
  <si>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</si>
  <si>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</si>
  <si>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</si>
  <si>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</si>
  <si>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</si>
  <si>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</si>
  <si>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</si>
  <si>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</si>
  <si>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</si>
  <si>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</si>
  <si>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</si>
  <si>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</si>
  <si>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</si>
  <si>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</si>
  <si>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</si>
  <si>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</si>
  <si>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</si>
  <si>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</si>
  <si>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</si>
  <si>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</si>
  <si>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</si>
  <si>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</si>
  <si>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</si>
  <si>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</si>
  <si>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</si>
  <si>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</si>
  <si>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</si>
  <si>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</si>
  <si>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</si>
  <si>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</si>
  <si>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</si>
  <si>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</si>
  <si>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</si>
  <si>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</si>
  <si>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</si>
  <si>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</si>
  <si>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</si>
  <si>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</si>
  <si>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</si>
  <si>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</si>
  <si>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</si>
  <si>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</si>
  <si>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</si>
  <si>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</si>
  <si>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</si>
  <si>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</si>
  <si>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</si>
  <si>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</si>
  <si>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</si>
  <si>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</si>
  <si>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</si>
  <si>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</si>
  <si>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</si>
  <si>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</si>
  <si>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</si>
  <si>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</si>
  <si>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</si>
  <si>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</si>
  <si>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</si>
  <si>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</si>
  <si>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</si>
  <si>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</si>
  <si>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</si>
  <si>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</si>
  <si>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</si>
  <si>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</si>
  <si>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</si>
  <si>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</si>
  <si>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</si>
  <si>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</si>
  <si>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</si>
  <si>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</si>
  <si>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</si>
  <si>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</si>
  <si>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</si>
  <si>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</si>
  <si>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</si>
  <si>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</si>
  <si>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</si>
  <si>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</si>
  <si>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</si>
  <si>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</si>
  <si>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</si>
  <si>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</si>
  <si>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</si>
  <si>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</si>
  <si>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</si>
  <si>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</si>
  <si>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</si>
  <si>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</si>
  <si>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</si>
  <si>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</si>
  <si>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</si>
  <si>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</si>
  <si>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</si>
  <si>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</si>
  <si>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</si>
  <si>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</si>
  <si>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</si>
  <si>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</si>
  <si>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</si>
  <si>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</si>
  <si>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</si>
  <si>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</si>
  <si>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</si>
  <si>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</si>
  <si>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</si>
  <si>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</si>
  <si>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</si>
  <si>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</si>
  <si>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</si>
  <si>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</si>
  <si>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</si>
  <si>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</si>
  <si>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</si>
  <si>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</si>
  <si>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</si>
  <si>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</si>
  <si>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</si>
  <si>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</si>
  <si>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</si>
  <si>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</si>
  <si>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</si>
  <si>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</si>
  <si>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</si>
  <si>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</si>
  <si>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</si>
  <si>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</si>
  <si>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</si>
  <si>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</si>
  <si>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</si>
  <si>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</si>
  <si>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</si>
  <si>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</si>
  <si>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</si>
  <si>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</si>
  <si>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</si>
  <si>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</si>
  <si>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</si>
  <si>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</si>
  <si>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</si>
  <si>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</si>
  <si>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</si>
  <si>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</si>
  <si>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</si>
  <si>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</si>
  <si>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</si>
  <si>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</si>
  <si>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</si>
  <si>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</si>
  <si>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</si>
  <si>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</si>
  <si>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</si>
  <si>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</si>
  <si>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</si>
  <si>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</si>
  <si>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</si>
  <si>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</si>
  <si>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</si>
  <si>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</si>
  <si>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</si>
  <si>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</si>
  <si>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</si>
  <si>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</si>
  <si>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</si>
  <si>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</si>
  <si>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</si>
  <si>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</si>
  <si>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</si>
  <si>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</si>
  <si>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</si>
  <si>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</si>
  <si>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</si>
  <si>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</si>
  <si>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</si>
  <si>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</si>
  <si>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</si>
  <si>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</si>
  <si>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</si>
  <si>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</si>
  <si>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</si>
  <si>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</si>
  <si>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</si>
  <si>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</si>
  <si>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</si>
  <si>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</si>
  <si>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</si>
  <si>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</si>
  <si>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</si>
  <si>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</si>
  <si>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</si>
  <si>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</si>
  <si>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</si>
  <si>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</si>
  <si>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</si>
  <si>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</si>
  <si>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</si>
  <si>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</si>
  <si>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</si>
  <si>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</si>
  <si>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</si>
  <si>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</si>
  <si>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</si>
  <si>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</si>
  <si>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</si>
  <si>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</si>
  <si>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</si>
  <si>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</si>
  <si>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</si>
  <si>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</si>
  <si>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</si>
  <si>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</si>
  <si>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</si>
  <si>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</si>
  <si>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</si>
  <si>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</si>
  <si>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</si>
  <si>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</si>
  <si>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</si>
  <si>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</si>
  <si>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</si>
  <si>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</si>
  <si>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</si>
  <si>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</si>
  <si>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</si>
  <si>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</si>
  <si>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</si>
  <si>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</si>
  <si>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</si>
  <si>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</si>
  <si>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</si>
  <si>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</si>
  <si>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</si>
  <si>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</si>
  <si>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</si>
  <si>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</si>
  <si>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</si>
  <si>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</si>
  <si>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</si>
  <si>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</si>
  <si>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</si>
  <si>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</si>
  <si>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</si>
  <si>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</si>
  <si>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</si>
  <si>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</si>
  <si>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</si>
  <si>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</si>
  <si>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</si>
  <si>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</si>
  <si>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</si>
  <si>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</si>
  <si>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</si>
  <si>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</si>
  <si>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</si>
  <si>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</si>
  <si>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</si>
  <si>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</si>
  <si>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</si>
  <si>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</si>
  <si>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</si>
  <si>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</si>
  <si>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</si>
  <si>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</si>
  <si>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</si>
  <si>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</si>
  <si>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</si>
  <si>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</si>
  <si>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</si>
  <si>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</si>
  <si>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</si>
  <si>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</si>
  <si>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</si>
  <si>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</si>
  <si>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</si>
  <si>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</si>
  <si>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</si>
  <si>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</si>
  <si>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</si>
  <si>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</si>
  <si>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</si>
  <si>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</si>
  <si>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</si>
  <si>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</si>
  <si>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</si>
  <si>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</si>
  <si>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</si>
  <si>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</si>
  <si>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</si>
  <si>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</si>
  <si>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</si>
  <si>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</si>
  <si>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</si>
  <si>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</si>
  <si>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</si>
  <si>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</si>
  <si>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</si>
  <si>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</si>
  <si>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</si>
  <si>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</si>
  <si>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</si>
  <si>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</si>
  <si>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</si>
  <si>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</si>
  <si>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</si>
  <si>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</si>
  <si>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</si>
  <si>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</si>
  <si>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</si>
  <si>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</si>
  <si>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</si>
  <si>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</si>
  <si>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</si>
  <si>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</si>
  <si>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</si>
  <si>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</si>
  <si>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</si>
  <si>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</si>
  <si>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</si>
  <si>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</si>
  <si>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</si>
  <si>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</si>
  <si>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</si>
  <si>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</si>
  <si>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</si>
  <si>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</si>
  <si>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</si>
  <si>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</si>
  <si>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</si>
  <si>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</si>
  <si>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</si>
  <si>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</si>
  <si>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</si>
  <si>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</si>
  <si>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</si>
  <si>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</si>
  <si>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</si>
  <si>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</si>
  <si>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</si>
  <si>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</si>
  <si>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</si>
  <si>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</si>
  <si>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</si>
  <si>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</si>
  <si>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</si>
  <si>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</si>
  <si>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</si>
  <si>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</si>
  <si>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</si>
  <si>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</si>
  <si>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</si>
  <si>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</si>
  <si>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</si>
  <si>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</si>
  <si>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</si>
  <si>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</si>
  <si>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</si>
  <si>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</si>
  <si>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</si>
  <si>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</si>
  <si>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</si>
  <si>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</si>
  <si>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</si>
  <si>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</si>
  <si>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</si>
  <si>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</si>
  <si>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</si>
  <si>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</si>
  <si>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</si>
  <si>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</si>
  <si>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</si>
  <si>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</si>
  <si>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</si>
  <si>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</si>
  <si>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</si>
  <si>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</si>
  <si>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</si>
  <si>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</si>
  <si>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</si>
  <si>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</si>
  <si>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</si>
  <si>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</si>
  <si>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</si>
  <si>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</si>
  <si>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</si>
  <si>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</si>
  <si>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</si>
  <si>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</si>
  <si>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</si>
  <si>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</si>
  <si>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</si>
  <si>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</si>
  <si>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</si>
  <si>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</si>
  <si>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</si>
  <si>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</si>
  <si>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</si>
  <si>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</si>
  <si>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</si>
  <si>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</si>
  <si>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</si>
  <si>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</si>
  <si>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</si>
  <si>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</si>
  <si>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</si>
  <si>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</si>
  <si>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</si>
  <si>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</si>
  <si>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</si>
  <si>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</si>
  <si>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</si>
  <si>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</si>
  <si>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</si>
  <si>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</si>
  <si>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</si>
  <si>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</si>
  <si>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</si>
  <si>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</si>
  <si>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</si>
  <si>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</si>
  <si>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</si>
  <si>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</si>
  <si>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</si>
  <si>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</si>
  <si>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</si>
  <si>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</si>
  <si>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</si>
  <si>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</si>
  <si>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</si>
  <si>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</si>
  <si>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</si>
  <si>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</si>
  <si>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</si>
  <si>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</si>
  <si>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</si>
  <si>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</si>
  <si>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</si>
  <si>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</si>
  <si>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</si>
  <si>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</si>
  <si>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</si>
  <si>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</si>
  <si>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</si>
  <si>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</si>
  <si>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</si>
  <si>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</si>
  <si>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</si>
  <si>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</si>
  <si>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</si>
  <si>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</si>
  <si>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</si>
  <si>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</si>
  <si>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</si>
  <si>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</si>
  <si>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</si>
  <si>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</si>
  <si>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</si>
  <si>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</si>
  <si>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</si>
  <si>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</si>
  <si>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</si>
  <si>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</si>
  <si>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</si>
  <si>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</si>
  <si>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</si>
  <si>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</si>
  <si>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</si>
  <si>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</si>
  <si>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</si>
  <si>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</si>
  <si>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</si>
  <si>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</si>
  <si>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</si>
  <si>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</si>
  <si>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</si>
  <si>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</si>
  <si>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</si>
  <si>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</si>
  <si>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</si>
  <si>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</si>
  <si>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</si>
  <si>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</si>
  <si>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</si>
  <si>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</si>
  <si>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</si>
  <si>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</si>
  <si>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</si>
  <si>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</si>
  <si>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</si>
  <si>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</si>
  <si>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</si>
  <si>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</si>
  <si>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</si>
  <si>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</si>
  <si>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</si>
  <si>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</si>
  <si>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</si>
  <si>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</si>
  <si>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</si>
  <si>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</si>
  <si>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</si>
  <si>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</si>
  <si>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</si>
  <si>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</si>
  <si>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</si>
  <si>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</si>
  <si>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</si>
  <si>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</si>
  <si>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</si>
  <si>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</si>
  <si>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</si>
  <si>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</si>
  <si>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</si>
  <si>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</si>
  <si>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</si>
  <si>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</si>
  <si>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</si>
  <si>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</si>
  <si>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</si>
  <si>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</si>
  <si>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</si>
  <si>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</si>
  <si>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</si>
  <si>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</si>
  <si>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</si>
  <si>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</si>
  <si>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</si>
  <si>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</si>
  <si>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</si>
  <si>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</si>
  <si>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</si>
  <si>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</si>
  <si>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</si>
  <si>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</si>
  <si>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</si>
  <si>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</si>
  <si>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</si>
  <si>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</si>
  <si>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</si>
  <si>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</si>
  <si>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</si>
  <si>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</si>
  <si>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</si>
  <si>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</si>
  <si>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</si>
  <si>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</si>
  <si>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</si>
  <si>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</si>
  <si>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</si>
  <si>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</si>
  <si>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</si>
  <si>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</si>
  <si>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</si>
  <si>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</si>
  <si>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</si>
  <si>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</si>
  <si>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</si>
  <si>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</si>
  <si>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</si>
  <si>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</si>
  <si>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</si>
  <si>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</si>
  <si>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</si>
  <si>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</si>
  <si>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</si>
  <si>
    <t>21000-22000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</si>
</sst>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2025年3月12日（评估专业人员实地查勘之日）</v>
      </c>
    </row>
    <row r="13" spans="1:2" s="1201" customFormat="1">
      <c r="A13" s="1199" t="s">
        <v>529</v>
      </c>
      <c r="B13" s="1200"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45728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1.77</v>
      </c>
      <c r="D5" s="3023">
        <f>IF(ISERROR(ROUND(POWER(1+E5,A5-C5)*(POWER(1+E5,C5)-1)/(POWER(1+E5,A5)-1),3)),0,ROUND(POWER(1+E5,A5-C5)*(POWER(1+E5,C5)-1)/(POWER(1+E5,A5)-1),4))</f>
        <v>8.4699999999999998E-2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11.78</v>
      </c>
      <c r="D6" s="3023">
        <f>IF(ISERROR(ROUND(POWER(1+E6,A6-C6)*(POWER(1+E6,C6)-1)/(POWER(1+E6,A6)-1),3)),0,ROUND(POWER(1+E6,A6-C6)*(POWER(1+E6,C6)-1)/(POWER(1+E6,A6)-1),4))</f>
        <v>0.43059999999999998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31.79</v>
      </c>
      <c r="D7" s="3023">
        <f>IF(ISERROR(ROUND(POWER(1+E7,A7-C7)*(POWER(1+E7,C7)-1)/(POWER(1+E7,A7)-1),3)),0,ROUND(POWER(1+E7,A7-C7)*(POWER(1+E7,C7)-1)/(POWER(1+E7,A7)-1),4))</f>
        <v>0.76149999999999995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19" sqref="G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45728</v>
      </c>
      <c r="C3" s="2372" t="s">
        <v>2170</v>
      </c>
      <c r="D3" s="2371">
        <f>B3</f>
        <v>45728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45728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0</v>
      </c>
      <c r="E6" s="855">
        <f>IF(B6="","",SUMIF(项目基本情况!C$12:I$12,C6,项目基本情况!C$13:I$13))</f>
        <v>0</v>
      </c>
      <c r="F6" s="64">
        <f>SUMIF(项目基本情况!C$12:I$12,C6,项目基本情况!C$15:I$15)</f>
        <v>0</v>
      </c>
      <c r="G6" s="65">
        <f>IF(ISERROR(ROUND(POWER(1+H6,D6-F6)*(POWER(1+H6,F6)-1)/(POWER(1+H6,D6)-1),3)),0,ROUND(POWER(1+H6,D6-F6)*(POWER(1+H6,F6)-1)/(POWER(1+H6,D6)-1),3))</f>
        <v>0</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0</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26.086500000000001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389.73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45728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818</v>
      </c>
      <c r="C5" s="2510" t="e">
        <f ca="1">IF(B5=D14,结果表!H102,ROUND(B5*10000/$B$1,0))</f>
        <v>#DIV/0!</v>
      </c>
      <c r="D5" s="2510" t="e">
        <f>ROUND(B5*10000/$B$2,0)</f>
        <v>#DIV/0!</v>
      </c>
      <c r="E5" s="2684"/>
      <c r="F5" s="2685"/>
      <c r="G5" s="2685"/>
      <c r="H5" s="2686"/>
      <c r="I5" s="2686"/>
      <c r="J5" s="2686"/>
      <c r="K5" s="2686"/>
    </row>
    <row r="6" spans="1:11" ht="16.5">
      <c r="A6" s="2510" t="s">
        <v>656</v>
      </c>
      <c r="B6" s="2510">
        <f>SUM(G14:G23)</f>
        <v>818</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ROUND(H10*B14/10000,0)</f>
        <v>896</v>
      </c>
      <c r="I9" s="3450">
        <f>H9/D14</f>
        <v>1.0953545232273838</v>
      </c>
      <c r="J9" s="2686"/>
      <c r="K9" s="2686"/>
    </row>
    <row r="10" spans="1:11" ht="16.5">
      <c r="A10" s="2510" t="s">
        <v>654</v>
      </c>
      <c r="B10" s="2510">
        <f>IF(E10="",0,ROUND(B1*(E10*365/G10)/10000,0))</f>
        <v>0</v>
      </c>
      <c r="C10" s="2510" t="s">
        <v>3359</v>
      </c>
      <c r="D10" s="2510" t="s">
        <v>3360</v>
      </c>
      <c r="E10" s="3439"/>
      <c r="F10" s="3443" t="s">
        <v>3361</v>
      </c>
      <c r="G10" s="3440"/>
      <c r="H10" s="2686">
        <f>H11</f>
        <v>23000</v>
      </c>
      <c r="I10" s="3450">
        <f>H11/E14</f>
        <v>1.0952380952380953</v>
      </c>
      <c r="J10" s="2686"/>
      <c r="K10" s="2686"/>
    </row>
    <row r="11" spans="1:11" ht="16.5">
      <c r="A11" s="2510" t="s">
        <v>670</v>
      </c>
      <c r="B11" s="2518"/>
      <c r="C11" s="2684"/>
      <c r="D11" s="2684"/>
      <c r="E11" s="2684"/>
      <c r="F11" s="2685"/>
      <c r="G11" s="2685" t="s">
        <v>3414</v>
      </c>
      <c r="H11" s="2686">
        <v>23000</v>
      </c>
      <c r="I11" s="2686">
        <f>H10/1.1</f>
        <v>20909.090909090908</v>
      </c>
      <c r="J11" s="2686"/>
      <c r="K11" s="2686"/>
    </row>
    <row r="12" spans="1:11" ht="16.5">
      <c r="A12" s="2684"/>
      <c r="B12" s="2684"/>
      <c r="C12" s="2684"/>
      <c r="D12" s="2684"/>
      <c r="E12" s="2684"/>
      <c r="F12" s="2685"/>
      <c r="G12" s="2685" t="s">
        <v>3415</v>
      </c>
      <c r="H12" s="2686" t="s">
        <v>3416</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389.73</v>
      </c>
      <c r="C14" s="2516"/>
      <c r="D14" s="2516">
        <f>ROUND(E14*B14/10000,0)</f>
        <v>818</v>
      </c>
      <c r="E14" s="2516">
        <v>21000</v>
      </c>
      <c r="F14" s="2516" t="e">
        <f>ROUND(D14*10000/C14,0)</f>
        <v>#DIV/0!</v>
      </c>
      <c r="G14" s="2516">
        <f>D14</f>
        <v>818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45728</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26.086500000000001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4789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26.086500000000001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45728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45728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45728</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45728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98"/>
      <c r="Q10" s="1341" t="str">
        <f t="shared" si="6"/>
        <v>土地使用年限（年）</v>
      </c>
      <c r="R10" s="699" t="s">
        <v>14</v>
      </c>
      <c r="S10" s="700" t="e">
        <f t="shared" si="0"/>
        <v>#DIV/0!</v>
      </c>
      <c r="T10" s="699" t="s">
        <v>14</v>
      </c>
      <c r="U10" s="700" t="e">
        <f t="shared" si="1"/>
        <v>#DIV/0!</v>
      </c>
      <c r="V10" s="699" t="s">
        <v>14</v>
      </c>
      <c r="W10" s="700" t="e">
        <f t="shared" si="2"/>
        <v>#DIV/0!</v>
      </c>
      <c r="X10" s="701"/>
      <c r="Y10" s="3610"/>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45728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98"/>
      <c r="Q10" s="1341" t="str">
        <f t="shared" si="6"/>
        <v>土地使用年限（年）</v>
      </c>
      <c r="R10" s="699" t="s">
        <v>14</v>
      </c>
      <c r="S10" s="700" t="e">
        <f t="shared" si="0"/>
        <v>#DIV/0!</v>
      </c>
      <c r="T10" s="699" t="s">
        <v>14</v>
      </c>
      <c r="U10" s="700" t="e">
        <f t="shared" si="1"/>
        <v>#DIV/0!</v>
      </c>
      <c r="V10" s="699" t="s">
        <v>14</v>
      </c>
      <c r="W10" s="700" t="e">
        <f t="shared" si="2"/>
        <v>#DIV/0!</v>
      </c>
      <c r="X10" s="701"/>
      <c r="Y10" s="3610"/>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26.086500000000001</v>
      </c>
      <c r="C2" s="1385" t="s">
        <v>879</v>
      </c>
      <c r="D2" s="1469">
        <f ca="1">C40+J29+L46</f>
        <v>260865</v>
      </c>
      <c r="E2" s="1386" t="s">
        <v>880</v>
      </c>
      <c r="F2" s="1387"/>
      <c r="G2" s="2704"/>
      <c r="H2" s="2693"/>
      <c r="I2" s="2693"/>
      <c r="J2" s="2693"/>
      <c r="K2" s="2694"/>
      <c r="L2" s="2693"/>
      <c r="M2" s="2693"/>
    </row>
    <row r="3" spans="1:37" ht="18" customHeight="1" thickBot="1">
      <c r="A3" s="1388" t="s">
        <v>881</v>
      </c>
      <c r="B3" s="1389">
        <f ca="1">IF(ISERROR(D2/F43),0,ROUND(D2/F43,0))</f>
        <v>4789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0</v>
      </c>
      <c r="D45" s="3430" t="s">
        <v>3356</v>
      </c>
      <c r="E45" s="1398"/>
      <c r="F45" s="1398"/>
      <c r="O45" s="1401" t="s">
        <v>808</v>
      </c>
      <c r="P45" s="1459"/>
      <c r="Q45" s="1459"/>
      <c r="R45" s="1459"/>
    </row>
    <row r="46" spans="1:18" s="1382" customFormat="1" ht="13.5" thickBot="1">
      <c r="A46" s="1402" t="s">
        <v>809</v>
      </c>
      <c r="C46" s="1403">
        <f ca="1">ROUND(C45,0)</f>
        <v>0</v>
      </c>
      <c r="D46" s="1404" t="str">
        <f>C2</f>
        <v>万元</v>
      </c>
      <c r="I46" s="1405" t="s">
        <v>810</v>
      </c>
      <c r="J46" s="1406"/>
      <c r="K46" s="1407"/>
      <c r="L46" s="1408">
        <f ca="1">IF(M47="住宅",0,IF(L48&gt;J51,L60,J60))</f>
        <v>260865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0</v>
      </c>
      <c r="M47" s="1378" t="str">
        <f>IF(ISNUMBER(FIND("住宅",C1)),"住宅","非住宅")</f>
        <v>非住宅</v>
      </c>
      <c r="O47" s="1416" t="s">
        <v>403</v>
      </c>
      <c r="P47" s="1417" t="s">
        <v>817</v>
      </c>
      <c r="Q47" s="1418">
        <f ca="1">C40+J29</f>
        <v>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0</v>
      </c>
      <c r="O48" s="1416" t="s">
        <v>404</v>
      </c>
      <c r="P48" s="1417" t="s">
        <v>821</v>
      </c>
      <c r="Q48" s="1418">
        <f ca="1">J60</f>
        <v>260865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0.95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37" t="s">
        <v>837</v>
      </c>
      <c r="L53" s="3638"/>
      <c r="O53" s="1416" t="s">
        <v>409</v>
      </c>
      <c r="P53" s="1417" t="s">
        <v>838</v>
      </c>
      <c r="Q53" s="1418">
        <f ca="1">Q47+Q48</f>
        <v>260865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0</v>
      </c>
      <c r="R56" s="1418" t="s">
        <v>818</v>
      </c>
    </row>
    <row r="57" spans="1:18" s="1382" customFormat="1" ht="24.75" thickBot="1">
      <c r="A57" s="1449"/>
      <c r="B57" s="948" t="s">
        <v>767</v>
      </c>
      <c r="C57" s="238">
        <f ca="1">C29</f>
        <v>274595</v>
      </c>
      <c r="D57" s="1450"/>
      <c r="E57" s="1451"/>
      <c r="F57" s="1452"/>
      <c r="I57" s="1453" t="s">
        <v>844</v>
      </c>
      <c r="J57" s="1454">
        <f ca="1">IF(OR(M47="住宅",J51&lt;L48,J56="是"),"——",J51-L48)</f>
        <v>57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260865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260865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0</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0</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45728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45728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45728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45728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2025-03-12T02:40:16Z</dcterms:modified>
</cp:coreProperties>
</file>